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10815" yWindow="-15" windowWidth="10785" windowHeight="13620" tabRatio="899" firstSheet="9" activeTab="17"/>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r:id="rId10"/>
    <sheet name="项目基本情况" sheetId="4" r:id="rId11"/>
    <sheet name="面积指标" sheetId="83" r:id="rId12"/>
    <sheet name="数据-基础表" sheetId="3" r:id="rId13"/>
    <sheet name="抵押物清单（分楼）" sheetId="42" state="hidden" r:id="rId14"/>
    <sheet name="数据-汇总表" sheetId="6" r:id="rId15"/>
    <sheet name="数据-取费表" sheetId="1" r:id="rId16"/>
    <sheet name="估价对象房地状况" sheetId="20" r:id="rId17"/>
    <sheet name="系统读取表" sheetId="74" r:id="rId18"/>
    <sheet name="结果表" sheetId="9" r:id="rId19"/>
    <sheet name="土地比较法-住宅、综合" sheetId="39" r:id="rId20"/>
    <sheet name="基准地价修正" sheetId="43" state="hidden" r:id="rId21"/>
    <sheet name="成本法" sheetId="68" r:id="rId22"/>
    <sheet name="成本法 (元)" sheetId="69" state="hidden" r:id="rId23"/>
    <sheet name="假设开发法" sheetId="12" state="hidden" r:id="rId24"/>
    <sheet name="收益法" sheetId="15" r:id="rId25"/>
    <sheet name="收益法 (元)" sheetId="67" state="hidden" r:id="rId26"/>
    <sheet name="收益法（汇总）" sheetId="70" state="hidden" r:id="rId27"/>
    <sheet name="酒店收入计算" sheetId="66" state="hidden" r:id="rId28"/>
    <sheet name="比较法-住宅" sheetId="21" state="hidden" r:id="rId29"/>
    <sheet name="比较法-商业" sheetId="33" state="hidden" r:id="rId30"/>
    <sheet name="比较法-办公" sheetId="34" state="hidden" r:id="rId31"/>
    <sheet name="比较法-工业" sheetId="37" state="hidden" r:id="rId32"/>
    <sheet name="比较法-车位" sheetId="35" state="hidden" r:id="rId33"/>
    <sheet name="比较法-仓储" sheetId="36" state="hidden" r:id="rId34"/>
    <sheet name="土地比较法-工业" sheetId="40" state="hidden" r:id="rId35"/>
    <sheet name="修正" sheetId="45" state="hidden" r:id="rId36"/>
    <sheet name="容积率修正" sheetId="46" state="hidden" r:id="rId37"/>
    <sheet name="基准地价（汇总）" sheetId="76" state="hidden" r:id="rId38"/>
    <sheet name="地价" sheetId="71" r:id="rId39"/>
    <sheet name="典型户型修正" sheetId="31" state="hidden" r:id="rId40"/>
    <sheet name="成本法（废）" sheetId="11" state="hidden" r:id="rId41"/>
    <sheet name="区片价" sheetId="44" state="hidden" r:id="rId42"/>
    <sheet name="因素修正幅度" sheetId="65" state="hidden" r:id="rId43"/>
    <sheet name="存贷款利率" sheetId="73" state="hidden" r:id="rId44"/>
    <sheet name="区片价（范围）" sheetId="75" state="hidden" r:id="rId45"/>
    <sheet name="资产证券化现金流预测" sheetId="78" state="hidden" r:id="rId46"/>
    <sheet name="土地案例" sheetId="79" state="hidden" r:id="rId47"/>
    <sheet name="面积清单" sheetId="82" state="hidden" r:id="rId48"/>
    <sheet name="Sheet1" sheetId="84" r:id="rId49"/>
  </sheets>
  <externalReferences>
    <externalReference r:id="rId50"/>
  </externalReferences>
  <definedNames>
    <definedName name="_xlnm._FilterDatabase" localSheetId="30" hidden="1">'比较法-办公'!$A$1:$L$50</definedName>
    <definedName name="_xlnm._FilterDatabase" localSheetId="33" hidden="1">'比较法-仓储'!$A$1:$L$37</definedName>
    <definedName name="_xlnm._FilterDatabase" localSheetId="32" hidden="1">'比较法-车位'!$A$1:$L$39</definedName>
    <definedName name="_xlnm._FilterDatabase" localSheetId="31" hidden="1">'比较法-工业'!$A$1:$L$43</definedName>
    <definedName name="_xlnm._FilterDatabase" localSheetId="29" hidden="1">'比较法-商业'!$A$1:$L$49</definedName>
    <definedName name="_xlnm._FilterDatabase" localSheetId="28" hidden="1">'比较法-住宅'!$A$1:$L$49</definedName>
    <definedName name="_xlnm._FilterDatabase" localSheetId="12" hidden="1">'数据-基础表'!$A$12:$AT$587</definedName>
    <definedName name="_xlnm._FilterDatabase" localSheetId="34" hidden="1">'土地比较法-工业'!$A$1:$L$43</definedName>
    <definedName name="_xlnm._FilterDatabase" localSheetId="19" hidden="1">'土地比较法-住宅、综合'!$A$1:$L$48</definedName>
    <definedName name="_xlnm._FilterDatabase" localSheetId="10" hidden="1">项目基本情况!$A$42:$N$42</definedName>
    <definedName name="_xlnm.Print_Area" localSheetId="30">'比较法-办公'!$A$1:$K$55,'比较法-办公'!$A$58:$M$132</definedName>
    <definedName name="_xlnm.Print_Area" localSheetId="33">'比较法-仓储'!$A$1:$K$42,'比较法-仓储'!$A$45:$M$96</definedName>
    <definedName name="_xlnm.Print_Area" localSheetId="32">'比较法-车位'!$A$1:$K$44,'比较法-车位'!$A$47:$M$102</definedName>
    <definedName name="_xlnm.Print_Area" localSheetId="31">'比较法-工业'!$A$1:$K$48,'比较法-工业'!$A$51:$M$113</definedName>
    <definedName name="_xlnm.Print_Area" localSheetId="29">'比较法-商业'!$A$1:$K$54,'比较法-商业'!$A$57:$M$131</definedName>
    <definedName name="_xlnm.Print_Area" localSheetId="28">'比较法-住宅'!$A$1:$K$54,'比较法-住宅'!$A$57:$M$131</definedName>
    <definedName name="_xlnm.Print_Area" localSheetId="21">成本法!$A$1:$G$57</definedName>
    <definedName name="_xlnm.Print_Area" localSheetId="22">'成本法 (元)'!$A$1:$G$57</definedName>
    <definedName name="_xlnm.Print_Area" localSheetId="16">估价对象房地状况!$A$1:$G$24</definedName>
    <definedName name="_xlnm.Print_Area" localSheetId="8">估价师及机构信息!$A$1:$G$22</definedName>
    <definedName name="_xlnm.Print_Area" localSheetId="37">'基准地价（汇总）'!$A$1:$E$13</definedName>
    <definedName name="_xlnm.Print_Area" localSheetId="20">基准地价修正!$A$1:$J$41,基准地价修正!$A$45:$H$88,基准地价修正!$R$1:$V$16</definedName>
    <definedName name="_xlnm.Print_Area" localSheetId="23">假设开发法!$A$1:$K$32</definedName>
    <definedName name="_xlnm.Print_Area" localSheetId="18">结果表!$A$1:$I$127</definedName>
    <definedName name="_xlnm.Print_Area" localSheetId="24">收益法!$A$1:$F$43,收益法!$H$3:$M$29,收益法!$A$46:$F$71,收益法!$I$46:$N$65</definedName>
    <definedName name="_xlnm.Print_Area" localSheetId="25">'收益法 (元)'!$A$1:$F$43,'收益法 (元)'!$H$3:$M$29,'收益法 (元)'!$A$45:$F$71,'收益法 (元)'!$I$46:$N$65</definedName>
    <definedName name="_xlnm.Print_Area" localSheetId="26">'收益法（汇总）'!$A$1:$F$13</definedName>
    <definedName name="_xlnm.Print_Area" localSheetId="14">'数据-汇总表'!$A$1:$P$32</definedName>
    <definedName name="_xlnm.Print_Area" localSheetId="34">'土地比较法-工业'!$A$1:$K$61,'土地比较法-工业'!$A$64:$M$121</definedName>
    <definedName name="_xlnm.Print_Area" localSheetId="19">'土地比较法-住宅、综合'!$A$1:$K$132</definedName>
    <definedName name="_xlnm.Print_Area" localSheetId="17">系统读取表!$A$1:$J$26</definedName>
    <definedName name="_xlnm.Print_Area" localSheetId="10">项目基本情况!$A$1:$I$38</definedName>
    <definedName name="八级">区片价!$O$1:$O$40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区片价!$I$1:$I$20</definedName>
    <definedName name="二级分类">修正!$C$17:$C$39</definedName>
    <definedName name="法定最高年限">定义!$G$1:$G$4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区片价!$P$1:$P$46</definedName>
    <definedName name="居住社区成熟度">定义!$K$1:$K$6</definedName>
    <definedName name="类别">定义!$J$1:$J$3</definedName>
    <definedName name="临街状况">定义!$T$1:$T$5</definedName>
    <definedName name="六级">区片价!$M$1:$M$49</definedName>
    <definedName name="内部装修维护情况">定义!$U$1:$U$6</definedName>
    <definedName name="判定">定义!$D$1:$D$4</definedName>
    <definedName name="七级">区片价!$N$1:$N$49</definedName>
    <definedName name="七通一平">修正!$A$6:$A$14</definedName>
    <definedName name="区域土地利用方向">定义!$P$1:$P$6</definedName>
    <definedName name="三级">区片价!$J$1:$J$21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区片价!$S$1:$S$8</definedName>
    <definedName name="十级">区片价!$Q$1:$Q$27</definedName>
    <definedName name="十一级">区片价!$R$1:$R$22</definedName>
    <definedName name="是否封闭">'比较法-仓储'!$B$89:$M$89</definedName>
    <definedName name="是否直接入户">'比较法-车位'!$B$95:$M$95</definedName>
    <definedName name="四级">区片价!$K$1:$K$28</definedName>
    <definedName name="套工道路等级">'土地比较法-工业'!$B$97:$M$97</definedName>
    <definedName name="套工地质条件">'土地比较法-工业'!$B$114:$M$114</definedName>
    <definedName name="套工工程地质条件">'[1]比较法-工业'!$B$116:$M$116</definedName>
    <definedName name="套工交易情况">'土地比较法-住宅、综合'!$A$73:$M$73</definedName>
    <definedName name="套工开发程度">'[1]比较法-工业'!$B$114:$M$114</definedName>
    <definedName name="套工临街等级">'[1]比较法-工业'!$B$99:$M$99</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估价师及机构信息!$D$3:$D$24</definedName>
    <definedName name="土地级别">定义!$C$1:$C$14</definedName>
    <definedName name="土地利用方向">定义!$P$1:$P$6</definedName>
    <definedName name="土地年限区间">定义!$I$1:$I$8</definedName>
    <definedName name="位置">定义!$E$2:$E$4</definedName>
    <definedName name="五等判定">定义!$W$1:$W$6</definedName>
    <definedName name="五级">区片价!$L$1:$L$35</definedName>
    <definedName name="项目类型">'数据-汇总表'!$C$17:$C$26</definedName>
    <definedName name="写字楼等级">'比较法-办公'!$B$113:$M$113</definedName>
    <definedName name="一级">区片价!$H$1:$H$6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类型">[1]定义!$A$1:$A$50</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alcChain.xml><?xml version="1.0" encoding="utf-8"?>
<calcChain xmlns="http://schemas.openxmlformats.org/spreadsheetml/2006/main">
  <c r="C6" i="68" l="1"/>
  <c r="N71" i="39"/>
  <c r="O71" i="39" s="1"/>
  <c r="I46" i="39"/>
  <c r="G46" i="39"/>
  <c r="E46" i="39"/>
  <c r="I38" i="39"/>
  <c r="G38" i="39"/>
  <c r="E38" i="39"/>
  <c r="C38" i="39"/>
  <c r="I11" i="39"/>
  <c r="G11" i="39"/>
  <c r="I5" i="39"/>
  <c r="G5" i="39"/>
  <c r="G7" i="39"/>
  <c r="E7" i="39"/>
  <c r="E5" i="39"/>
  <c r="I13" i="3" l="1"/>
  <c r="AL13" i="3"/>
  <c r="C22" i="83"/>
  <c r="C21" i="83"/>
  <c r="C20" i="83"/>
  <c r="G20" i="6" l="1"/>
  <c r="D38" i="43" s="1"/>
  <c r="AD13" i="3"/>
  <c r="F19" i="6"/>
  <c r="D29" i="43" l="1"/>
  <c r="AN13" i="3"/>
  <c r="G21" i="6" l="1"/>
  <c r="D39" i="43" s="1"/>
  <c r="D7" i="82"/>
  <c r="E7" i="82"/>
  <c r="D118" i="39" l="1"/>
  <c r="E118" i="39" s="1"/>
  <c r="F118" i="39" s="1"/>
  <c r="G118" i="39" s="1"/>
  <c r="H118" i="39" s="1"/>
  <c r="I11" i="82" l="1"/>
  <c r="I12" i="82"/>
  <c r="I13" i="82"/>
  <c r="I10" i="82"/>
  <c r="F1026" i="82" l="1"/>
  <c r="F805" i="82"/>
  <c r="F586" i="82"/>
  <c r="F449" i="82" l="1"/>
  <c r="F1027" i="82" s="1"/>
  <c r="F341" i="82"/>
  <c r="F212" i="82"/>
  <c r="D3" i="4" l="1"/>
  <c r="D71" i="39" l="1"/>
  <c r="E71" i="39" s="1"/>
  <c r="F71" i="39" s="1"/>
  <c r="G71" i="39" s="1"/>
  <c r="H71" i="39" s="1"/>
  <c r="I71" i="39" s="1"/>
  <c r="J71" i="39" s="1"/>
  <c r="K71" i="39" s="1"/>
  <c r="L71" i="39" s="1"/>
  <c r="M71" i="39" s="1"/>
  <c r="D117" i="39"/>
  <c r="E117" i="39" s="1"/>
  <c r="I7" i="39"/>
  <c r="AH5" i="71"/>
  <c r="AG5" i="71"/>
  <c r="AE5" i="71"/>
  <c r="AF5" i="71"/>
  <c r="AD5" i="71"/>
  <c r="Q5" i="71"/>
  <c r="P5" i="71"/>
  <c r="O5" i="71"/>
  <c r="N5" i="71"/>
  <c r="AH6" i="71"/>
  <c r="AG6" i="71"/>
  <c r="AE6" i="71"/>
  <c r="AF6" i="71"/>
  <c r="AD6" i="71"/>
  <c r="Q6" i="71"/>
  <c r="AB5" i="71"/>
  <c r="P6" i="71"/>
  <c r="AA5" i="71"/>
  <c r="O6" i="71"/>
  <c r="Y5" i="71"/>
  <c r="Z5" i="71"/>
  <c r="N6" i="71"/>
  <c r="X5" i="71"/>
  <c r="C31" i="66"/>
  <c r="H16" i="49"/>
  <c r="D16" i="49"/>
  <c r="D15" i="49"/>
  <c r="B2" i="49"/>
  <c r="F15" i="49" s="1"/>
  <c r="H15" i="49" s="1"/>
  <c r="K42" i="40"/>
  <c r="K47" i="39"/>
  <c r="K36" i="36"/>
  <c r="E59" i="9"/>
  <c r="K38" i="35"/>
  <c r="K42" i="37"/>
  <c r="K49" i="34"/>
  <c r="K48" i="33"/>
  <c r="K48" i="21"/>
  <c r="B43" i="1"/>
  <c r="B41" i="1" s="1"/>
  <c r="F21" i="69"/>
  <c r="F40" i="69" s="1"/>
  <c r="F20" i="69"/>
  <c r="F39" i="69" s="1"/>
  <c r="F21" i="68"/>
  <c r="F40" i="68" s="1"/>
  <c r="F20" i="68"/>
  <c r="F39" i="68" s="1"/>
  <c r="H104" i="9"/>
  <c r="F59" i="9"/>
  <c r="AH7" i="71"/>
  <c r="AG7" i="71"/>
  <c r="AE7" i="71"/>
  <c r="AF7" i="71"/>
  <c r="AD7" i="71"/>
  <c r="Q7" i="71"/>
  <c r="AB6" i="71"/>
  <c r="P7" i="71"/>
  <c r="AA6" i="71"/>
  <c r="O7" i="71"/>
  <c r="Y6" i="71"/>
  <c r="Z6" i="71"/>
  <c r="N7" i="71"/>
  <c r="X6" i="71"/>
  <c r="V9" i="71"/>
  <c r="U9" i="71"/>
  <c r="T9" i="71"/>
  <c r="S9" i="71"/>
  <c r="AH8" i="71"/>
  <c r="AG8" i="71"/>
  <c r="AE8" i="71"/>
  <c r="AF8" i="71"/>
  <c r="AD8" i="71"/>
  <c r="Q8" i="71"/>
  <c r="AB7" i="71"/>
  <c r="P8" i="71"/>
  <c r="AA7" i="71"/>
  <c r="O8" i="71"/>
  <c r="Y7" i="71"/>
  <c r="Z7" i="71"/>
  <c r="N8" i="71"/>
  <c r="X7" i="71"/>
  <c r="AB11" i="71"/>
  <c r="Q10" i="71"/>
  <c r="AB10" i="71"/>
  <c r="P10" i="71"/>
  <c r="AA10" i="71"/>
  <c r="O10" i="71"/>
  <c r="Y10" i="71"/>
  <c r="Z10" i="71"/>
  <c r="N10" i="71"/>
  <c r="X10" i="71"/>
  <c r="AH9" i="71"/>
  <c r="AG9" i="71"/>
  <c r="AE9" i="71"/>
  <c r="AF9" i="71"/>
  <c r="AD9" i="71"/>
  <c r="Q9" i="71"/>
  <c r="AB8" i="71"/>
  <c r="P9" i="71"/>
  <c r="AA8" i="71"/>
  <c r="O9" i="71"/>
  <c r="N9" i="71"/>
  <c r="X8" i="71"/>
  <c r="F10" i="71"/>
  <c r="E10" i="71"/>
  <c r="E9" i="71"/>
  <c r="E8" i="71"/>
  <c r="E7" i="71"/>
  <c r="E6" i="71"/>
  <c r="E5" i="71"/>
  <c r="C10" i="71"/>
  <c r="C9" i="71"/>
  <c r="C8" i="71"/>
  <c r="B10" i="71"/>
  <c r="AH10" i="71"/>
  <c r="AG10" i="71"/>
  <c r="AE10" i="71"/>
  <c r="AF10" i="71"/>
  <c r="AD10" i="71"/>
  <c r="Q11" i="71"/>
  <c r="Q12" i="71"/>
  <c r="P11" i="71"/>
  <c r="P12" i="71"/>
  <c r="O11" i="71"/>
  <c r="O12" i="71"/>
  <c r="N11" i="71"/>
  <c r="N12" i="71"/>
  <c r="F12" i="71"/>
  <c r="F11" i="71"/>
  <c r="E12" i="71"/>
  <c r="E11" i="71"/>
  <c r="C12" i="71"/>
  <c r="C11" i="71"/>
  <c r="D10" i="71"/>
  <c r="B12" i="71"/>
  <c r="B11" i="71"/>
  <c r="AH11" i="71"/>
  <c r="AG11" i="71"/>
  <c r="AE11" i="71"/>
  <c r="AF11" i="71"/>
  <c r="AD11" i="71"/>
  <c r="F24" i="12"/>
  <c r="F7" i="69"/>
  <c r="F7" i="68"/>
  <c r="M15" i="45"/>
  <c r="L15" i="45"/>
  <c r="K15" i="45"/>
  <c r="J15" i="45"/>
  <c r="I15" i="45"/>
  <c r="H15" i="45"/>
  <c r="G15" i="45"/>
  <c r="F15" i="45"/>
  <c r="E15" i="45"/>
  <c r="D15" i="45"/>
  <c r="C15" i="45"/>
  <c r="B15" i="45"/>
  <c r="AH12" i="71"/>
  <c r="AG12" i="71"/>
  <c r="AE12" i="71"/>
  <c r="AF12" i="71"/>
  <c r="AD12" i="71"/>
  <c r="AA11" i="71"/>
  <c r="Y11" i="71"/>
  <c r="X11" i="71"/>
  <c r="AD13" i="71"/>
  <c r="AH13" i="71"/>
  <c r="AG13" i="71"/>
  <c r="AE13" i="71"/>
  <c r="AF13" i="71"/>
  <c r="Q13" i="71"/>
  <c r="P13" i="71"/>
  <c r="O13" i="71"/>
  <c r="N13" i="71"/>
  <c r="L3" i="71"/>
  <c r="AH3" i="71"/>
  <c r="K3" i="71"/>
  <c r="AG3" i="71"/>
  <c r="J3" i="71"/>
  <c r="AE3" i="71"/>
  <c r="I3" i="71"/>
  <c r="AH14" i="71"/>
  <c r="AG14" i="71"/>
  <c r="AE14" i="71"/>
  <c r="AF14" i="71"/>
  <c r="AD14" i="71"/>
  <c r="Q14" i="71"/>
  <c r="Q15" i="71"/>
  <c r="P14" i="71"/>
  <c r="P15" i="71"/>
  <c r="AA14" i="71"/>
  <c r="O14" i="71"/>
  <c r="O15" i="71"/>
  <c r="N14" i="71"/>
  <c r="N15" i="71"/>
  <c r="X14" i="71"/>
  <c r="N16" i="71"/>
  <c r="AH15" i="71"/>
  <c r="AG15" i="71"/>
  <c r="AE15" i="71"/>
  <c r="AF15" i="71"/>
  <c r="AD15" i="71"/>
  <c r="Q16" i="71"/>
  <c r="AB14" i="71"/>
  <c r="P16" i="71"/>
  <c r="AA15" i="71"/>
  <c r="O16" i="71"/>
  <c r="Y14" i="71"/>
  <c r="Z14" i="71"/>
  <c r="M19" i="43"/>
  <c r="D18" i="71"/>
  <c r="AH16" i="71"/>
  <c r="AG16" i="71"/>
  <c r="AE16" i="71"/>
  <c r="AF16" i="71"/>
  <c r="AD16" i="71"/>
  <c r="H13" i="3"/>
  <c r="H14" i="3"/>
  <c r="AC14" i="3"/>
  <c r="BB13" i="3"/>
  <c r="BC13" i="3"/>
  <c r="BD13" i="3"/>
  <c r="BE13" i="3"/>
  <c r="BF13" i="3"/>
  <c r="BG13" i="3"/>
  <c r="BH13" i="3"/>
  <c r="BI13" i="3"/>
  <c r="BJ13" i="3"/>
  <c r="BK13" i="3"/>
  <c r="BM13" i="3"/>
  <c r="BN13" i="3"/>
  <c r="BO13" i="3"/>
  <c r="BP13" i="3"/>
  <c r="BQ13" i="3"/>
  <c r="BR13" i="3"/>
  <c r="BS13" i="3"/>
  <c r="BT13" i="3"/>
  <c r="BB14" i="3"/>
  <c r="BC14" i="3"/>
  <c r="BD14" i="3"/>
  <c r="BE14" i="3"/>
  <c r="BF14" i="3"/>
  <c r="BG14" i="3"/>
  <c r="BH14" i="3"/>
  <c r="BI14" i="3"/>
  <c r="BJ14" i="3"/>
  <c r="BK14" i="3"/>
  <c r="BM14" i="3"/>
  <c r="BN14" i="3"/>
  <c r="BL14" i="3" s="1"/>
  <c r="BO14" i="3"/>
  <c r="BP14" i="3"/>
  <c r="BQ14" i="3"/>
  <c r="BR14" i="3"/>
  <c r="BS14" i="3"/>
  <c r="BT14" i="3"/>
  <c r="AD17" i="71"/>
  <c r="AG17" i="71"/>
  <c r="AH17" i="71"/>
  <c r="AE17" i="71"/>
  <c r="AF17" i="71"/>
  <c r="N17" i="71"/>
  <c r="X15" i="71"/>
  <c r="Q17" i="71"/>
  <c r="AB16" i="71"/>
  <c r="P17" i="71"/>
  <c r="AA16" i="71"/>
  <c r="O17" i="71"/>
  <c r="Y15" i="71"/>
  <c r="Z15" i="71"/>
  <c r="Y16" i="71"/>
  <c r="Z16" i="71"/>
  <c r="C17" i="71"/>
  <c r="C16" i="71"/>
  <c r="Q18" i="71"/>
  <c r="F17" i="71"/>
  <c r="F16" i="71"/>
  <c r="F15" i="71"/>
  <c r="P18" i="71"/>
  <c r="E17" i="71"/>
  <c r="E16" i="71"/>
  <c r="E15" i="71"/>
  <c r="O18" i="71"/>
  <c r="N18" i="71"/>
  <c r="B17" i="71"/>
  <c r="B16" i="71"/>
  <c r="B15" i="71"/>
  <c r="B14" i="71"/>
  <c r="B13" i="71"/>
  <c r="V17" i="71"/>
  <c r="AB17" i="71"/>
  <c r="Y17" i="71"/>
  <c r="Z17" i="71"/>
  <c r="X17" i="71"/>
  <c r="AA17" i="71"/>
  <c r="A2" i="53"/>
  <c r="K59" i="67"/>
  <c r="P61" i="67"/>
  <c r="K59" i="15"/>
  <c r="P74" i="15"/>
  <c r="P61" i="15"/>
  <c r="P74" i="67"/>
  <c r="I116" i="39"/>
  <c r="J116" i="39"/>
  <c r="K116" i="39"/>
  <c r="L116" i="39"/>
  <c r="M116" i="39"/>
  <c r="C116" i="39"/>
  <c r="A21" i="62"/>
  <c r="A20" i="62"/>
  <c r="A22" i="51"/>
  <c r="A21" i="51"/>
  <c r="A20" i="51"/>
  <c r="A15" i="62"/>
  <c r="A14" i="62"/>
  <c r="A13" i="62"/>
  <c r="B59" i="72"/>
  <c r="A19" i="62"/>
  <c r="A12" i="62"/>
  <c r="B58" i="72"/>
  <c r="A120" i="9"/>
  <c r="H2" i="52"/>
  <c r="A1" i="52"/>
  <c r="A3" i="53"/>
  <c r="Q19" i="71"/>
  <c r="P19" i="71"/>
  <c r="O19" i="71"/>
  <c r="N19" i="71"/>
  <c r="A15" i="51"/>
  <c r="B12" i="72" s="1"/>
  <c r="C76" i="9"/>
  <c r="I107" i="40"/>
  <c r="K6" i="4"/>
  <c r="B22" i="31"/>
  <c r="N56" i="9"/>
  <c r="M56" i="9"/>
  <c r="K56" i="9"/>
  <c r="E15" i="74"/>
  <c r="F15" i="74"/>
  <c r="E16" i="74"/>
  <c r="F16" i="74"/>
  <c r="E17" i="74"/>
  <c r="F17" i="74"/>
  <c r="E18" i="74"/>
  <c r="F18" i="74"/>
  <c r="E19" i="74"/>
  <c r="F19" i="74"/>
  <c r="E20" i="74"/>
  <c r="F20" i="74"/>
  <c r="E21" i="74"/>
  <c r="F21" i="74"/>
  <c r="E22" i="74"/>
  <c r="F22" i="74"/>
  <c r="E23" i="74"/>
  <c r="F23" i="74"/>
  <c r="B3" i="74"/>
  <c r="C91" i="9"/>
  <c r="B8" i="72"/>
  <c r="O20" i="71"/>
  <c r="P20" i="71"/>
  <c r="Q20" i="71"/>
  <c r="N20" i="71"/>
  <c r="AD18" i="71"/>
  <c r="AE18" i="71"/>
  <c r="AF18" i="71"/>
  <c r="AG18" i="71"/>
  <c r="AH18" i="71"/>
  <c r="AD19" i="71"/>
  <c r="AE19" i="71"/>
  <c r="AF19" i="71"/>
  <c r="AG19" i="71"/>
  <c r="AH19" i="71"/>
  <c r="AD20" i="71"/>
  <c r="AE20" i="71"/>
  <c r="AF20" i="71"/>
  <c r="AG20" i="71"/>
  <c r="AH20" i="71"/>
  <c r="AD21" i="71"/>
  <c r="AE21" i="71"/>
  <c r="AF21" i="71"/>
  <c r="AG21" i="71"/>
  <c r="AH21" i="71"/>
  <c r="AD22" i="71"/>
  <c r="AE22" i="71"/>
  <c r="AF22" i="71"/>
  <c r="AG22" i="71"/>
  <c r="AH22" i="71"/>
  <c r="AD23" i="71"/>
  <c r="AE23" i="71"/>
  <c r="AF23" i="71"/>
  <c r="AG23" i="71"/>
  <c r="AH23" i="71"/>
  <c r="AD24" i="71"/>
  <c r="AE24" i="71"/>
  <c r="AF24" i="71"/>
  <c r="AG24" i="71"/>
  <c r="AH24" i="71"/>
  <c r="AD25" i="71"/>
  <c r="AE25" i="71"/>
  <c r="AF25" i="71"/>
  <c r="AG25" i="71"/>
  <c r="AH25" i="71"/>
  <c r="AD26" i="71"/>
  <c r="AE26" i="71"/>
  <c r="AF26" i="71"/>
  <c r="AG26" i="71"/>
  <c r="AH26" i="71"/>
  <c r="AD27" i="71"/>
  <c r="AE27" i="71"/>
  <c r="AF27" i="71"/>
  <c r="AG27" i="71"/>
  <c r="AH27" i="71"/>
  <c r="AD28" i="71"/>
  <c r="AE28" i="71"/>
  <c r="AF28" i="71"/>
  <c r="AG28" i="71"/>
  <c r="AH28" i="71"/>
  <c r="AD29" i="71"/>
  <c r="AE29" i="71"/>
  <c r="AF29" i="71"/>
  <c r="AG29" i="71"/>
  <c r="AH29" i="71"/>
  <c r="AD30" i="71"/>
  <c r="AE30" i="71"/>
  <c r="AF30" i="71"/>
  <c r="AG30" i="71"/>
  <c r="AH30" i="71"/>
  <c r="AD31" i="71"/>
  <c r="AE31" i="71"/>
  <c r="AF31" i="71"/>
  <c r="AG31" i="71"/>
  <c r="AH31" i="71"/>
  <c r="AH32" i="71"/>
  <c r="AG32" i="71"/>
  <c r="AE32" i="71"/>
  <c r="AF32" i="71"/>
  <c r="AD32" i="71"/>
  <c r="AD33" i="71"/>
  <c r="AE33" i="71"/>
  <c r="AF33" i="71"/>
  <c r="AG33" i="71"/>
  <c r="AH33" i="71"/>
  <c r="S2" i="31"/>
  <c r="M2" i="31"/>
  <c r="N2" i="31"/>
  <c r="O2" i="31"/>
  <c r="P2" i="31"/>
  <c r="Q2" i="31"/>
  <c r="R2" i="31"/>
  <c r="C1" i="73"/>
  <c r="L1" i="73" s="1"/>
  <c r="B74" i="72"/>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K49" i="9"/>
  <c r="E107" i="9"/>
  <c r="A122" i="9"/>
  <c r="A8" i="52"/>
  <c r="E111" i="9"/>
  <c r="A126" i="9"/>
  <c r="E109" i="9"/>
  <c r="A124" i="9"/>
  <c r="B44" i="72"/>
  <c r="B42" i="72"/>
  <c r="B69" i="72"/>
  <c r="B68" i="72"/>
  <c r="B63" i="72"/>
  <c r="B62" i="72"/>
  <c r="B16" i="72"/>
  <c r="B65" i="72"/>
  <c r="B60" i="72"/>
  <c r="B67" i="72"/>
  <c r="B66" i="72"/>
  <c r="B10" i="72"/>
  <c r="C53" i="10"/>
  <c r="B51" i="10"/>
  <c r="B19" i="72"/>
  <c r="A18" i="51"/>
  <c r="B13" i="72" s="1"/>
  <c r="B49" i="48"/>
  <c r="B5" i="72"/>
  <c r="I19" i="43"/>
  <c r="D82" i="71"/>
  <c r="F81" i="71"/>
  <c r="E81" i="71"/>
  <c r="E80" i="71"/>
  <c r="E79" i="71"/>
  <c r="C81" i="71"/>
  <c r="D81" i="71"/>
  <c r="B81" i="71"/>
  <c r="F80" i="71"/>
  <c r="F79" i="71"/>
  <c r="B80" i="71"/>
  <c r="B79" i="71"/>
  <c r="D78" i="71"/>
  <c r="F77" i="71"/>
  <c r="E77" i="71"/>
  <c r="E76" i="71"/>
  <c r="E75" i="71"/>
  <c r="C77" i="71"/>
  <c r="D77" i="71"/>
  <c r="B77" i="71"/>
  <c r="F76" i="71"/>
  <c r="F75" i="71"/>
  <c r="B76" i="71"/>
  <c r="B75" i="71"/>
  <c r="D74" i="71"/>
  <c r="Q73" i="71"/>
  <c r="P73" i="71"/>
  <c r="O73" i="71"/>
  <c r="N73" i="71"/>
  <c r="F73" i="71"/>
  <c r="V73" i="71"/>
  <c r="E73" i="71"/>
  <c r="U73" i="71"/>
  <c r="C73" i="71"/>
  <c r="T73" i="71"/>
  <c r="B73" i="71"/>
  <c r="S73" i="71"/>
  <c r="Q72" i="71"/>
  <c r="P72" i="71"/>
  <c r="O72" i="71"/>
  <c r="N72" i="71"/>
  <c r="F72" i="71"/>
  <c r="F71" i="71"/>
  <c r="B72" i="71"/>
  <c r="B71" i="71"/>
  <c r="Q71" i="71"/>
  <c r="P71" i="71"/>
  <c r="O71" i="71"/>
  <c r="N71" i="71"/>
  <c r="Q70" i="71"/>
  <c r="P70" i="71"/>
  <c r="O70" i="71"/>
  <c r="N70" i="71"/>
  <c r="D70" i="71"/>
  <c r="Q69" i="71"/>
  <c r="P69" i="71"/>
  <c r="O69" i="71"/>
  <c r="N69" i="71"/>
  <c r="F69" i="71"/>
  <c r="V69" i="71"/>
  <c r="E69" i="71"/>
  <c r="U69" i="71"/>
  <c r="C69" i="71"/>
  <c r="T69" i="71"/>
  <c r="B69" i="71"/>
  <c r="S69" i="71"/>
  <c r="Q68" i="71"/>
  <c r="P68" i="71"/>
  <c r="O68" i="71"/>
  <c r="N68" i="71"/>
  <c r="F68" i="71"/>
  <c r="F67" i="71"/>
  <c r="B68" i="71"/>
  <c r="B67" i="71"/>
  <c r="Q67" i="71"/>
  <c r="P67" i="71"/>
  <c r="O67" i="71"/>
  <c r="N67" i="71"/>
  <c r="Q66" i="71"/>
  <c r="P66" i="71"/>
  <c r="O66" i="71"/>
  <c r="N66" i="71"/>
  <c r="D66" i="71"/>
  <c r="Q65" i="71"/>
  <c r="P65" i="71"/>
  <c r="O65" i="71"/>
  <c r="N65" i="71"/>
  <c r="F65" i="71"/>
  <c r="V65" i="71"/>
  <c r="E65" i="71"/>
  <c r="U65" i="71"/>
  <c r="C65" i="71"/>
  <c r="T65" i="71"/>
  <c r="B65" i="71"/>
  <c r="S65" i="71"/>
  <c r="Q64" i="71"/>
  <c r="P64" i="71"/>
  <c r="O64" i="71"/>
  <c r="N64" i="71"/>
  <c r="F64" i="71"/>
  <c r="F63" i="71"/>
  <c r="B64" i="71"/>
  <c r="B63" i="71"/>
  <c r="Q63" i="71"/>
  <c r="P63" i="71"/>
  <c r="O63" i="71"/>
  <c r="N63" i="71"/>
  <c r="Q62" i="71"/>
  <c r="P62" i="71"/>
  <c r="O62" i="71"/>
  <c r="N62" i="71"/>
  <c r="D62" i="71"/>
  <c r="F61" i="71"/>
  <c r="V61" i="71"/>
  <c r="E61" i="71"/>
  <c r="P61" i="71"/>
  <c r="C61" i="71"/>
  <c r="B61" i="71"/>
  <c r="S61" i="71"/>
  <c r="F60" i="71"/>
  <c r="F59" i="71"/>
  <c r="Q59" i="71"/>
  <c r="B60" i="71"/>
  <c r="D58" i="71"/>
  <c r="Q57" i="71"/>
  <c r="P57" i="71"/>
  <c r="O57" i="71"/>
  <c r="N57" i="71"/>
  <c r="Q56" i="71"/>
  <c r="P56" i="71"/>
  <c r="O56" i="71"/>
  <c r="N56" i="71"/>
  <c r="Q55" i="71"/>
  <c r="P55" i="71"/>
  <c r="O55" i="71"/>
  <c r="N55" i="71"/>
  <c r="Q54" i="71"/>
  <c r="F55" i="71"/>
  <c r="F56" i="71"/>
  <c r="F57" i="71"/>
  <c r="V57" i="71"/>
  <c r="P54" i="71"/>
  <c r="E55" i="71"/>
  <c r="O54" i="71"/>
  <c r="C55" i="71"/>
  <c r="N54" i="71"/>
  <c r="B55" i="71"/>
  <c r="B56" i="71"/>
  <c r="B57" i="71"/>
  <c r="S57" i="71"/>
  <c r="D54" i="71"/>
  <c r="Q53" i="71"/>
  <c r="P53" i="71"/>
  <c r="O53" i="71"/>
  <c r="N53" i="71"/>
  <c r="Q52" i="71"/>
  <c r="P52" i="71"/>
  <c r="O52" i="71"/>
  <c r="N52" i="71"/>
  <c r="Q51" i="71"/>
  <c r="P51" i="71"/>
  <c r="O51" i="71"/>
  <c r="N51" i="71"/>
  <c r="Q50" i="71"/>
  <c r="F51" i="71"/>
  <c r="F52" i="71"/>
  <c r="F53" i="71"/>
  <c r="V53" i="71"/>
  <c r="P50" i="71"/>
  <c r="E51" i="71"/>
  <c r="O50" i="71"/>
  <c r="C51" i="71"/>
  <c r="N50" i="71"/>
  <c r="B51" i="71"/>
  <c r="B52" i="71"/>
  <c r="B53" i="71"/>
  <c r="S53" i="71"/>
  <c r="D50" i="71"/>
  <c r="Q49" i="71"/>
  <c r="P49" i="71"/>
  <c r="O49" i="71"/>
  <c r="N49" i="71"/>
  <c r="Q48" i="71"/>
  <c r="P48" i="71"/>
  <c r="O48" i="71"/>
  <c r="N48" i="71"/>
  <c r="Q47" i="71"/>
  <c r="P47" i="71"/>
  <c r="O47" i="71"/>
  <c r="N47" i="71"/>
  <c r="C47" i="71"/>
  <c r="Q46" i="71"/>
  <c r="F47" i="71"/>
  <c r="F48" i="71"/>
  <c r="F49" i="71"/>
  <c r="V49" i="71"/>
  <c r="P46" i="71"/>
  <c r="E47" i="71"/>
  <c r="O46" i="71"/>
  <c r="N46" i="71"/>
  <c r="B47" i="71"/>
  <c r="B48" i="71"/>
  <c r="B49" i="71"/>
  <c r="S49" i="71"/>
  <c r="D46" i="71"/>
  <c r="Q45" i="71"/>
  <c r="P45" i="71"/>
  <c r="O45" i="71"/>
  <c r="N45" i="71"/>
  <c r="Q44" i="71"/>
  <c r="P44" i="71"/>
  <c r="O44" i="71"/>
  <c r="N44" i="71"/>
  <c r="Q43" i="71"/>
  <c r="P43" i="71"/>
  <c r="O43" i="71"/>
  <c r="N43" i="71"/>
  <c r="Q42" i="71"/>
  <c r="F43" i="71"/>
  <c r="P42" i="71"/>
  <c r="E43" i="71"/>
  <c r="E44" i="71"/>
  <c r="E45" i="71"/>
  <c r="U45" i="71"/>
  <c r="O42" i="71"/>
  <c r="C43" i="71"/>
  <c r="N42" i="71"/>
  <c r="B43" i="71"/>
  <c r="B44" i="71"/>
  <c r="B45" i="71"/>
  <c r="S45" i="71"/>
  <c r="D42" i="71"/>
  <c r="T41" i="71"/>
  <c r="Q41" i="71"/>
  <c r="P41" i="71"/>
  <c r="O41" i="71"/>
  <c r="N41" i="71"/>
  <c r="D41" i="71"/>
  <c r="Q40" i="71"/>
  <c r="P40" i="71"/>
  <c r="O40" i="71"/>
  <c r="N40" i="71"/>
  <c r="Q39" i="71"/>
  <c r="P39" i="71"/>
  <c r="O39" i="71"/>
  <c r="N39" i="71"/>
  <c r="F39" i="71"/>
  <c r="F40" i="71"/>
  <c r="F41" i="71"/>
  <c r="V41" i="71"/>
  <c r="Q38" i="71"/>
  <c r="P38" i="71"/>
  <c r="E39" i="71"/>
  <c r="E40" i="71"/>
  <c r="E41" i="71"/>
  <c r="U41" i="71"/>
  <c r="O38" i="71"/>
  <c r="C39" i="71"/>
  <c r="N38" i="71"/>
  <c r="B39" i="71"/>
  <c r="B40" i="71"/>
  <c r="B41" i="71"/>
  <c r="S41" i="71"/>
  <c r="D38" i="71"/>
  <c r="Q37" i="71"/>
  <c r="P37" i="71"/>
  <c r="O37" i="71"/>
  <c r="N37" i="71"/>
  <c r="Q36" i="71"/>
  <c r="P36" i="71"/>
  <c r="O36" i="71"/>
  <c r="N36" i="71"/>
  <c r="Q35" i="71"/>
  <c r="P35" i="71"/>
  <c r="O35" i="71"/>
  <c r="N35" i="71"/>
  <c r="F35" i="71"/>
  <c r="F36" i="71"/>
  <c r="F37" i="71"/>
  <c r="V37" i="71"/>
  <c r="Q34" i="71"/>
  <c r="P34" i="71"/>
  <c r="E35" i="71"/>
  <c r="E36" i="71"/>
  <c r="E37" i="71"/>
  <c r="U37" i="71"/>
  <c r="O34" i="71"/>
  <c r="C35" i="71"/>
  <c r="N34" i="71"/>
  <c r="B35" i="71"/>
  <c r="B36" i="71"/>
  <c r="B37" i="71"/>
  <c r="S37" i="71"/>
  <c r="D34" i="71"/>
  <c r="Q33" i="71"/>
  <c r="P33" i="71"/>
  <c r="O33" i="71"/>
  <c r="N33" i="71"/>
  <c r="AB32" i="71"/>
  <c r="Q32" i="71"/>
  <c r="P32" i="71"/>
  <c r="AA32" i="71"/>
  <c r="O32" i="71"/>
  <c r="Y32" i="71"/>
  <c r="Z32" i="71"/>
  <c r="N32" i="71"/>
  <c r="X32" i="71"/>
  <c r="Q31" i="71"/>
  <c r="AB31" i="71"/>
  <c r="P31" i="71"/>
  <c r="O31" i="71"/>
  <c r="Y31" i="71"/>
  <c r="Z31" i="71"/>
  <c r="N31" i="71"/>
  <c r="F31" i="71"/>
  <c r="F32" i="71"/>
  <c r="F33" i="71"/>
  <c r="V33" i="71"/>
  <c r="Q30" i="71"/>
  <c r="P30" i="71"/>
  <c r="O30" i="71"/>
  <c r="N30" i="71"/>
  <c r="D30" i="71"/>
  <c r="Q29" i="71"/>
  <c r="AB29" i="71"/>
  <c r="P29" i="71"/>
  <c r="O29" i="71"/>
  <c r="Y29" i="71"/>
  <c r="Z29" i="71"/>
  <c r="N29" i="71"/>
  <c r="Q28" i="71"/>
  <c r="AB28" i="71"/>
  <c r="P28" i="71"/>
  <c r="O28" i="71"/>
  <c r="Y28" i="71"/>
  <c r="Z28" i="71"/>
  <c r="N28" i="71"/>
  <c r="Q27" i="71"/>
  <c r="AB27" i="71"/>
  <c r="P27" i="71"/>
  <c r="O27" i="71"/>
  <c r="Y27" i="71"/>
  <c r="Z27" i="71"/>
  <c r="N27" i="71"/>
  <c r="F27" i="71"/>
  <c r="F28" i="71"/>
  <c r="F29" i="71"/>
  <c r="V29" i="71"/>
  <c r="Q26" i="71"/>
  <c r="P26" i="71"/>
  <c r="O26" i="71"/>
  <c r="N26" i="71"/>
  <c r="D26" i="71"/>
  <c r="Q25" i="71"/>
  <c r="AB25" i="71"/>
  <c r="P25" i="71"/>
  <c r="O25" i="71"/>
  <c r="Y25" i="71"/>
  <c r="Z25" i="71"/>
  <c r="N25" i="71"/>
  <c r="Q24" i="71"/>
  <c r="AB24" i="71"/>
  <c r="P24" i="71"/>
  <c r="O24" i="71"/>
  <c r="Y24" i="71"/>
  <c r="Z24" i="71"/>
  <c r="N24" i="71"/>
  <c r="Q23" i="71"/>
  <c r="AB23" i="71"/>
  <c r="P23" i="71"/>
  <c r="O23" i="71"/>
  <c r="Y23" i="71"/>
  <c r="Z23" i="71"/>
  <c r="N23" i="71"/>
  <c r="F23" i="71"/>
  <c r="F24" i="71"/>
  <c r="F25" i="71"/>
  <c r="V25" i="71"/>
  <c r="Q22" i="71"/>
  <c r="P22" i="71"/>
  <c r="O22" i="71"/>
  <c r="N22" i="71"/>
  <c r="D22" i="71"/>
  <c r="O21" i="71"/>
  <c r="N21" i="71"/>
  <c r="B23" i="71"/>
  <c r="B24" i="71"/>
  <c r="B25" i="71"/>
  <c r="S25" i="71"/>
  <c r="X22" i="71"/>
  <c r="E23" i="71"/>
  <c r="E24" i="71"/>
  <c r="E25" i="71"/>
  <c r="U25" i="71"/>
  <c r="AA22" i="71"/>
  <c r="B27" i="71"/>
  <c r="B28" i="71"/>
  <c r="B29" i="71"/>
  <c r="S29" i="71"/>
  <c r="X26" i="71"/>
  <c r="B31" i="71"/>
  <c r="B32" i="71"/>
  <c r="B33" i="71"/>
  <c r="S33" i="71"/>
  <c r="X30" i="71"/>
  <c r="E31" i="71"/>
  <c r="E32" i="71"/>
  <c r="E33" i="71"/>
  <c r="U33" i="71"/>
  <c r="AA30" i="71"/>
  <c r="N61" i="71"/>
  <c r="E27" i="71"/>
  <c r="E28" i="71"/>
  <c r="E29" i="71"/>
  <c r="U29" i="71"/>
  <c r="AA26" i="71"/>
  <c r="C23" i="71"/>
  <c r="Y22" i="71"/>
  <c r="Z22" i="71"/>
  <c r="AB22" i="71"/>
  <c r="X23" i="71"/>
  <c r="AA23" i="71"/>
  <c r="X24" i="71"/>
  <c r="AA24" i="71"/>
  <c r="X25" i="71"/>
  <c r="AA25" i="71"/>
  <c r="C27" i="71"/>
  <c r="C28" i="71"/>
  <c r="Y26" i="71"/>
  <c r="Z26" i="71"/>
  <c r="AB26" i="71"/>
  <c r="X27" i="71"/>
  <c r="AA27" i="71"/>
  <c r="X28" i="71"/>
  <c r="AA28" i="71"/>
  <c r="X29" i="71"/>
  <c r="AA29" i="71"/>
  <c r="C31" i="71"/>
  <c r="Y30" i="71"/>
  <c r="Z30" i="71"/>
  <c r="AB30" i="71"/>
  <c r="X31" i="71"/>
  <c r="AA31" i="71"/>
  <c r="F44" i="71"/>
  <c r="F45" i="71"/>
  <c r="V45" i="71"/>
  <c r="C21" i="71"/>
  <c r="Y18" i="71"/>
  <c r="Z18" i="71"/>
  <c r="Y19" i="71"/>
  <c r="Z19" i="71"/>
  <c r="Y20" i="71"/>
  <c r="Z20" i="71"/>
  <c r="Y21" i="71"/>
  <c r="Z21" i="71"/>
  <c r="B21" i="71"/>
  <c r="B20" i="71"/>
  <c r="B19" i="71"/>
  <c r="X18" i="71"/>
  <c r="X19" i="71"/>
  <c r="X20" i="71"/>
  <c r="X21" i="71"/>
  <c r="C24" i="71"/>
  <c r="D23" i="71"/>
  <c r="D27" i="71"/>
  <c r="C32" i="71"/>
  <c r="D31" i="71"/>
  <c r="C36" i="71"/>
  <c r="D35" i="71"/>
  <c r="C40" i="71"/>
  <c r="D40" i="71"/>
  <c r="D39" i="71"/>
  <c r="C44" i="71"/>
  <c r="D43" i="71"/>
  <c r="P21" i="71"/>
  <c r="E48" i="71"/>
  <c r="E49" i="71"/>
  <c r="U49" i="71"/>
  <c r="E52" i="71"/>
  <c r="E53" i="71"/>
  <c r="U53" i="71"/>
  <c r="E56" i="71"/>
  <c r="E57" i="71"/>
  <c r="U57" i="71"/>
  <c r="Q58" i="71"/>
  <c r="U61" i="71"/>
  <c r="E60" i="71"/>
  <c r="Q21" i="71"/>
  <c r="C48" i="71"/>
  <c r="D47" i="71"/>
  <c r="C52" i="71"/>
  <c r="D51" i="71"/>
  <c r="C56" i="71"/>
  <c r="D55" i="71"/>
  <c r="N60" i="71"/>
  <c r="B59" i="71"/>
  <c r="Q60" i="71"/>
  <c r="T61" i="71"/>
  <c r="O61" i="71"/>
  <c r="D61" i="71"/>
  <c r="C60" i="71"/>
  <c r="Q61" i="71"/>
  <c r="C64" i="71"/>
  <c r="E64" i="71"/>
  <c r="E63" i="71"/>
  <c r="D65" i="71"/>
  <c r="C68" i="71"/>
  <c r="E68" i="71"/>
  <c r="E67" i="71"/>
  <c r="D69" i="71"/>
  <c r="C72" i="71"/>
  <c r="E72" i="71"/>
  <c r="E71" i="71"/>
  <c r="D73" i="71"/>
  <c r="C76" i="71"/>
  <c r="C80" i="71"/>
  <c r="T21" i="71"/>
  <c r="C20" i="71"/>
  <c r="S21" i="71"/>
  <c r="F21" i="71"/>
  <c r="F20" i="71"/>
  <c r="F19" i="71"/>
  <c r="AB18" i="71"/>
  <c r="AB19" i="71"/>
  <c r="AB20" i="71"/>
  <c r="AB21" i="71"/>
  <c r="E21" i="71"/>
  <c r="E20" i="71"/>
  <c r="E19" i="71"/>
  <c r="AA3" i="71"/>
  <c r="AA18" i="71"/>
  <c r="AA19" i="71"/>
  <c r="AA20" i="71"/>
  <c r="AA21" i="71"/>
  <c r="D21" i="71"/>
  <c r="U21" i="71"/>
  <c r="C59" i="71"/>
  <c r="O60" i="71"/>
  <c r="D60" i="71"/>
  <c r="C57" i="71"/>
  <c r="D56" i="71"/>
  <c r="D76" i="71"/>
  <c r="C75" i="71"/>
  <c r="D75" i="71"/>
  <c r="D68" i="71"/>
  <c r="C67" i="71"/>
  <c r="D67" i="71"/>
  <c r="N58" i="71"/>
  <c r="N59" i="71"/>
  <c r="D80" i="71"/>
  <c r="C79" i="71"/>
  <c r="D79" i="71"/>
  <c r="D72" i="71"/>
  <c r="C71" i="71"/>
  <c r="D71" i="71"/>
  <c r="D64" i="71"/>
  <c r="C63" i="71"/>
  <c r="D63" i="71"/>
  <c r="C53" i="71"/>
  <c r="D52" i="71"/>
  <c r="C49" i="71"/>
  <c r="D48" i="71"/>
  <c r="P60" i="71"/>
  <c r="E59" i="71"/>
  <c r="C45" i="71"/>
  <c r="D44" i="71"/>
  <c r="C37" i="71"/>
  <c r="D36" i="71"/>
  <c r="C33" i="71"/>
  <c r="D32" i="71"/>
  <c r="C29" i="71"/>
  <c r="D28" i="71"/>
  <c r="C25" i="71"/>
  <c r="D24" i="71"/>
  <c r="C19" i="71"/>
  <c r="D19" i="71"/>
  <c r="D20" i="71"/>
  <c r="V21" i="71"/>
  <c r="P58" i="71"/>
  <c r="P59" i="71"/>
  <c r="O59" i="71"/>
  <c r="D59" i="71"/>
  <c r="O58" i="71"/>
  <c r="T25" i="71"/>
  <c r="D25" i="71"/>
  <c r="T29" i="71"/>
  <c r="D29" i="71"/>
  <c r="T33" i="71"/>
  <c r="D33" i="71"/>
  <c r="T37" i="71"/>
  <c r="D37" i="71"/>
  <c r="T45" i="71"/>
  <c r="D45" i="71"/>
  <c r="T49" i="71"/>
  <c r="D49" i="71"/>
  <c r="T53" i="71"/>
  <c r="D53" i="71"/>
  <c r="T57" i="71"/>
  <c r="D57" i="71"/>
  <c r="O27" i="6"/>
  <c r="N27" i="6"/>
  <c r="P20" i="6"/>
  <c r="P21" i="6"/>
  <c r="P22" i="6"/>
  <c r="P23" i="6"/>
  <c r="P24" i="6"/>
  <c r="P25" i="6"/>
  <c r="P26" i="6"/>
  <c r="P19" i="6"/>
  <c r="AP8" i="1"/>
  <c r="AP9" i="1"/>
  <c r="AP10" i="1"/>
  <c r="AP11" i="1"/>
  <c r="AP12" i="1"/>
  <c r="AP13" i="1"/>
  <c r="L21" i="6"/>
  <c r="L22" i="6"/>
  <c r="L23" i="6"/>
  <c r="L24" i="6"/>
  <c r="L25" i="6"/>
  <c r="L26" i="6"/>
  <c r="P27" i="6"/>
  <c r="A7" i="70"/>
  <c r="A8" i="70"/>
  <c r="E8" i="70"/>
  <c r="A9" i="70"/>
  <c r="E9" i="70"/>
  <c r="A10" i="70"/>
  <c r="E10" i="70"/>
  <c r="A11" i="70"/>
  <c r="E11" i="70"/>
  <c r="A12" i="70"/>
  <c r="E12" i="70"/>
  <c r="A13" i="70"/>
  <c r="E13" i="70"/>
  <c r="A6" i="70"/>
  <c r="Q25" i="40"/>
  <c r="Z25" i="40"/>
  <c r="D94" i="40"/>
  <c r="E94" i="40"/>
  <c r="F25" i="40"/>
  <c r="AA25" i="40"/>
  <c r="Q29" i="39"/>
  <c r="Z29" i="39" s="1"/>
  <c r="D103" i="39"/>
  <c r="E103" i="39" s="1"/>
  <c r="F103" i="39" s="1"/>
  <c r="G103" i="39" s="1"/>
  <c r="F29" i="39"/>
  <c r="AA29" i="39" s="1"/>
  <c r="Q18" i="36"/>
  <c r="Z18" i="36"/>
  <c r="D66" i="36"/>
  <c r="E66" i="36"/>
  <c r="F66" i="36"/>
  <c r="H18" i="36"/>
  <c r="AB18" i="36"/>
  <c r="F18" i="36"/>
  <c r="AA18" i="36"/>
  <c r="C18" i="36"/>
  <c r="Z18" i="35"/>
  <c r="Q18" i="35"/>
  <c r="D68" i="35"/>
  <c r="E68" i="35"/>
  <c r="F18" i="35"/>
  <c r="AA18" i="35"/>
  <c r="C18" i="35"/>
  <c r="Z21" i="37"/>
  <c r="Q21" i="37"/>
  <c r="D77" i="37"/>
  <c r="E77" i="37"/>
  <c r="C21" i="37"/>
  <c r="Z21" i="34"/>
  <c r="Q21" i="34"/>
  <c r="D84" i="34"/>
  <c r="E84" i="34"/>
  <c r="F21" i="34"/>
  <c r="AA21" i="34"/>
  <c r="C21" i="34"/>
  <c r="Z21" i="33"/>
  <c r="Q21" i="33"/>
  <c r="D83" i="33"/>
  <c r="E83" i="33"/>
  <c r="C21" i="33"/>
  <c r="C21" i="21"/>
  <c r="Q21" i="21"/>
  <c r="Z21" i="21"/>
  <c r="H19" i="21"/>
  <c r="D83" i="21"/>
  <c r="F21" i="21"/>
  <c r="AA21" i="21"/>
  <c r="D81" i="21"/>
  <c r="G20" i="20"/>
  <c r="B86" i="43"/>
  <c r="C22" i="20"/>
  <c r="B75" i="43" s="1"/>
  <c r="B55" i="43"/>
  <c r="B66" i="43"/>
  <c r="C25" i="40"/>
  <c r="C29" i="39"/>
  <c r="S25" i="40"/>
  <c r="S18" i="36"/>
  <c r="U18" i="36"/>
  <c r="S21" i="34"/>
  <c r="F94" i="40"/>
  <c r="H25" i="40"/>
  <c r="G94" i="40"/>
  <c r="J25" i="40"/>
  <c r="H29" i="39"/>
  <c r="AB29" i="39" s="1"/>
  <c r="J29" i="39"/>
  <c r="AC29" i="39" s="1"/>
  <c r="G66" i="36"/>
  <c r="J18" i="36"/>
  <c r="F68" i="35"/>
  <c r="H18" i="35"/>
  <c r="S18" i="35"/>
  <c r="G68" i="35"/>
  <c r="J18" i="35"/>
  <c r="F77" i="37"/>
  <c r="H21" i="37"/>
  <c r="F21" i="37"/>
  <c r="F84" i="34"/>
  <c r="H21" i="34"/>
  <c r="F83" i="33"/>
  <c r="H21" i="33"/>
  <c r="F21" i="33"/>
  <c r="E83" i="21"/>
  <c r="S21" i="21"/>
  <c r="H1" i="69"/>
  <c r="AC25" i="40"/>
  <c r="W25" i="40"/>
  <c r="AB25" i="40"/>
  <c r="U25" i="40"/>
  <c r="AC18" i="36"/>
  <c r="W18" i="36"/>
  <c r="AB21" i="37"/>
  <c r="U21" i="37"/>
  <c r="AA21" i="37"/>
  <c r="S21" i="37"/>
  <c r="AB21" i="34"/>
  <c r="U21" i="34"/>
  <c r="U21" i="33"/>
  <c r="AB21" i="33"/>
  <c r="AA21" i="33"/>
  <c r="S21" i="33"/>
  <c r="AB18" i="35"/>
  <c r="U18" i="35"/>
  <c r="AC18" i="35"/>
  <c r="W18" i="35"/>
  <c r="G77" i="37"/>
  <c r="J21" i="37"/>
  <c r="G84" i="34"/>
  <c r="J21" i="34"/>
  <c r="G83" i="33"/>
  <c r="J21" i="33"/>
  <c r="F83" i="21"/>
  <c r="H21" i="21"/>
  <c r="F38" i="69"/>
  <c r="E37" i="69"/>
  <c r="F36" i="69"/>
  <c r="F35" i="69"/>
  <c r="C21" i="69"/>
  <c r="E10" i="69"/>
  <c r="E9" i="69"/>
  <c r="C7" i="69"/>
  <c r="AC21" i="37"/>
  <c r="W21" i="37"/>
  <c r="AC21" i="34"/>
  <c r="W21" i="34"/>
  <c r="AC21" i="33"/>
  <c r="W21" i="33"/>
  <c r="AB21" i="21"/>
  <c r="U21" i="21"/>
  <c r="G83" i="21"/>
  <c r="J21" i="21"/>
  <c r="C40" i="69"/>
  <c r="F38" i="68"/>
  <c r="E37" i="68"/>
  <c r="F36" i="68"/>
  <c r="F35" i="68"/>
  <c r="C21" i="68"/>
  <c r="E10" i="68"/>
  <c r="E9" i="68"/>
  <c r="W21" i="21"/>
  <c r="AC21" i="21"/>
  <c r="C40" i="68"/>
  <c r="Q72" i="67"/>
  <c r="Q59" i="67"/>
  <c r="Q58" i="67"/>
  <c r="Q51" i="67"/>
  <c r="J50" i="67"/>
  <c r="M47" i="67"/>
  <c r="D46" i="67"/>
  <c r="F33" i="67"/>
  <c r="F61" i="67"/>
  <c r="F23" i="67"/>
  <c r="D24" i="67" s="1"/>
  <c r="F21" i="67"/>
  <c r="F20" i="67"/>
  <c r="M19" i="67"/>
  <c r="F18" i="67"/>
  <c r="F17" i="67"/>
  <c r="F15" i="67"/>
  <c r="S2" i="4"/>
  <c r="C51" i="10" s="1"/>
  <c r="A13" i="51" s="1"/>
  <c r="B11" i="72" s="1"/>
  <c r="S1" i="4"/>
  <c r="B1" i="4"/>
  <c r="C27" i="66"/>
  <c r="C32" i="66"/>
  <c r="I23" i="66"/>
  <c r="D20" i="66"/>
  <c r="I19" i="66"/>
  <c r="I18" i="66"/>
  <c r="I17" i="66"/>
  <c r="I20" i="66"/>
  <c r="E15" i="66"/>
  <c r="I14" i="66"/>
  <c r="I13" i="66"/>
  <c r="I12" i="66"/>
  <c r="I15" i="66"/>
  <c r="I9" i="66"/>
  <c r="I8" i="66"/>
  <c r="I7" i="66"/>
  <c r="I6" i="66"/>
  <c r="I5" i="66"/>
  <c r="I4" i="66"/>
  <c r="I3" i="66"/>
  <c r="I10" i="66"/>
  <c r="I21" i="66"/>
  <c r="D1" i="43"/>
  <c r="F113" i="43"/>
  <c r="N99" i="43"/>
  <c r="N108" i="43"/>
  <c r="D99" i="43"/>
  <c r="D108" i="43"/>
  <c r="E99" i="43"/>
  <c r="E108" i="43"/>
  <c r="F99" i="43"/>
  <c r="F108" i="43"/>
  <c r="G99" i="43"/>
  <c r="G108" i="43"/>
  <c r="H99" i="43"/>
  <c r="H108" i="43"/>
  <c r="I99" i="43"/>
  <c r="I108" i="43"/>
  <c r="J99" i="43"/>
  <c r="J108" i="43"/>
  <c r="K99" i="43"/>
  <c r="K108" i="43"/>
  <c r="L99" i="43"/>
  <c r="L108" i="43"/>
  <c r="M99" i="43"/>
  <c r="M108" i="43"/>
  <c r="C99" i="43"/>
  <c r="C108" i="43"/>
  <c r="N100" i="43"/>
  <c r="D100" i="43"/>
  <c r="L100" i="43"/>
  <c r="E100" i="43"/>
  <c r="G100" i="43"/>
  <c r="I100" i="43"/>
  <c r="K100" i="43"/>
  <c r="M100" i="43"/>
  <c r="B48" i="43"/>
  <c r="B84" i="43"/>
  <c r="B83" i="43"/>
  <c r="B72" i="43"/>
  <c r="B61" i="43"/>
  <c r="B50" i="43"/>
  <c r="D82" i="43"/>
  <c r="D83" i="43"/>
  <c r="D84" i="43"/>
  <c r="D85" i="43"/>
  <c r="D86" i="43"/>
  <c r="D87" i="43"/>
  <c r="D88" i="43"/>
  <c r="D81" i="43"/>
  <c r="D67" i="43"/>
  <c r="D60" i="43"/>
  <c r="D61" i="43"/>
  <c r="D62" i="43"/>
  <c r="D63" i="43"/>
  <c r="D64" i="43"/>
  <c r="D65" i="43"/>
  <c r="D66" i="43"/>
  <c r="D59" i="43"/>
  <c r="E59" i="43"/>
  <c r="B57" i="43" s="1"/>
  <c r="M88" i="43"/>
  <c r="N88" i="43" s="1"/>
  <c r="K88" i="43"/>
  <c r="J88" i="43" s="1"/>
  <c r="M87" i="43"/>
  <c r="N87" i="43" s="1"/>
  <c r="K87" i="43"/>
  <c r="J87" i="43" s="1"/>
  <c r="M86" i="43"/>
  <c r="N86" i="43" s="1"/>
  <c r="K86" i="43"/>
  <c r="J86" i="43" s="1"/>
  <c r="M85" i="43"/>
  <c r="N85" i="43" s="1"/>
  <c r="K85" i="43"/>
  <c r="J85" i="43" s="1"/>
  <c r="M84" i="43"/>
  <c r="N84" i="43" s="1"/>
  <c r="K84" i="43"/>
  <c r="J84" i="43" s="1"/>
  <c r="M83" i="43"/>
  <c r="N83" i="43" s="1"/>
  <c r="K83" i="43"/>
  <c r="J83" i="43" s="1"/>
  <c r="M82" i="43"/>
  <c r="N82" i="43" s="1"/>
  <c r="K82" i="43"/>
  <c r="J82" i="43" s="1"/>
  <c r="M81" i="43"/>
  <c r="N81" i="43" s="1"/>
  <c r="K81" i="43"/>
  <c r="J81" i="43" s="1"/>
  <c r="M78" i="43"/>
  <c r="N78" i="43" s="1"/>
  <c r="K78" i="43"/>
  <c r="J78" i="43" s="1"/>
  <c r="D78" i="43"/>
  <c r="M77" i="43"/>
  <c r="N77" i="43" s="1"/>
  <c r="K77" i="43"/>
  <c r="J77" i="43" s="1"/>
  <c r="D77" i="43"/>
  <c r="M76" i="43"/>
  <c r="N76" i="43" s="1"/>
  <c r="K76" i="43"/>
  <c r="J76" i="43" s="1"/>
  <c r="D76" i="43"/>
  <c r="M75" i="43"/>
  <c r="N75" i="43" s="1"/>
  <c r="K75" i="43"/>
  <c r="J75" i="43" s="1"/>
  <c r="D75" i="43"/>
  <c r="M74" i="43"/>
  <c r="N74" i="43" s="1"/>
  <c r="K74" i="43"/>
  <c r="J74" i="43" s="1"/>
  <c r="D74" i="43"/>
  <c r="M73" i="43"/>
  <c r="N73" i="43" s="1"/>
  <c r="K73" i="43"/>
  <c r="J73" i="43" s="1"/>
  <c r="D73" i="43"/>
  <c r="M72" i="43"/>
  <c r="N72" i="43" s="1"/>
  <c r="K72" i="43"/>
  <c r="J72" i="43" s="1"/>
  <c r="D72" i="43"/>
  <c r="M71" i="43"/>
  <c r="N71" i="43" s="1"/>
  <c r="K71" i="43"/>
  <c r="J71" i="43" s="1"/>
  <c r="D71" i="43"/>
  <c r="M70" i="43"/>
  <c r="N70" i="43"/>
  <c r="K70" i="43"/>
  <c r="J70" i="43"/>
  <c r="D70" i="43"/>
  <c r="M67" i="43"/>
  <c r="N67" i="43" s="1"/>
  <c r="K67" i="43"/>
  <c r="J67" i="43" s="1"/>
  <c r="M66" i="43"/>
  <c r="N66" i="43" s="1"/>
  <c r="K66" i="43"/>
  <c r="J66" i="43" s="1"/>
  <c r="M65" i="43"/>
  <c r="N65" i="43" s="1"/>
  <c r="K65" i="43"/>
  <c r="J65" i="43" s="1"/>
  <c r="M64" i="43"/>
  <c r="N64" i="43" s="1"/>
  <c r="K64" i="43"/>
  <c r="J64" i="43" s="1"/>
  <c r="M63" i="43"/>
  <c r="N63" i="43" s="1"/>
  <c r="K63" i="43"/>
  <c r="J63" i="43" s="1"/>
  <c r="M62" i="43"/>
  <c r="N62" i="43" s="1"/>
  <c r="K62" i="43"/>
  <c r="J62" i="43" s="1"/>
  <c r="M61" i="43"/>
  <c r="N61" i="43" s="1"/>
  <c r="K61" i="43"/>
  <c r="J61" i="43" s="1"/>
  <c r="M60" i="43"/>
  <c r="N60" i="43" s="1"/>
  <c r="K60" i="43"/>
  <c r="J60" i="43" s="1"/>
  <c r="M59" i="43"/>
  <c r="N59" i="43" s="1"/>
  <c r="K59" i="43"/>
  <c r="J59" i="43" s="1"/>
  <c r="M56" i="43"/>
  <c r="N56" i="43" s="1"/>
  <c r="K56" i="43"/>
  <c r="J56" i="43" s="1"/>
  <c r="D56" i="43"/>
  <c r="M55" i="43"/>
  <c r="N55" i="43"/>
  <c r="K55" i="43"/>
  <c r="J55" i="43"/>
  <c r="D55" i="43"/>
  <c r="M54" i="43"/>
  <c r="N54" i="43" s="1"/>
  <c r="K54" i="43"/>
  <c r="J54" i="43" s="1"/>
  <c r="D54" i="43"/>
  <c r="M53" i="43"/>
  <c r="N53" i="43"/>
  <c r="K53" i="43"/>
  <c r="J53" i="43"/>
  <c r="D53" i="43"/>
  <c r="M52" i="43"/>
  <c r="N52" i="43" s="1"/>
  <c r="K52" i="43"/>
  <c r="J52" i="43" s="1"/>
  <c r="D52" i="43"/>
  <c r="M51" i="43"/>
  <c r="N51" i="43"/>
  <c r="K51" i="43"/>
  <c r="J51" i="43"/>
  <c r="D51" i="43"/>
  <c r="M50" i="43"/>
  <c r="N50" i="43" s="1"/>
  <c r="K50" i="43"/>
  <c r="J50" i="43" s="1"/>
  <c r="D50" i="43"/>
  <c r="M49" i="43"/>
  <c r="N49" i="43"/>
  <c r="K49" i="43"/>
  <c r="J49" i="43"/>
  <c r="D49" i="43"/>
  <c r="M48" i="43"/>
  <c r="N48" i="43" s="1"/>
  <c r="K48" i="43"/>
  <c r="J48" i="43" s="1"/>
  <c r="D48" i="43"/>
  <c r="Q72" i="15"/>
  <c r="Q58" i="15"/>
  <c r="Q51" i="15"/>
  <c r="Q59" i="15"/>
  <c r="AE10" i="1"/>
  <c r="AE11" i="1"/>
  <c r="AE12" i="1"/>
  <c r="AE13" i="1"/>
  <c r="M47" i="15"/>
  <c r="AG7" i="1"/>
  <c r="AG8" i="1"/>
  <c r="AG9" i="1"/>
  <c r="AG10" i="1"/>
  <c r="AG11" i="1"/>
  <c r="AG12" i="1"/>
  <c r="AG13" i="1"/>
  <c r="J50" i="15"/>
  <c r="J51" i="15" s="1"/>
  <c r="D12" i="31"/>
  <c r="E12" i="31"/>
  <c r="F12" i="31"/>
  <c r="G12" i="31"/>
  <c r="H12" i="31"/>
  <c r="I12" i="31"/>
  <c r="J12" i="31"/>
  <c r="K12" i="31"/>
  <c r="L12" i="31"/>
  <c r="M12" i="31"/>
  <c r="N12" i="31"/>
  <c r="O12" i="31"/>
  <c r="P12" i="31"/>
  <c r="Q12" i="31"/>
  <c r="R12" i="31"/>
  <c r="S12" i="31"/>
  <c r="D10" i="31"/>
  <c r="E10" i="31"/>
  <c r="F10" i="31"/>
  <c r="G10" i="31"/>
  <c r="H10" i="31"/>
  <c r="I10" i="31"/>
  <c r="J10" i="31"/>
  <c r="K10" i="31"/>
  <c r="L10" i="31"/>
  <c r="M10" i="31"/>
  <c r="N10" i="31"/>
  <c r="O10" i="31"/>
  <c r="P10" i="31"/>
  <c r="Q10" i="31"/>
  <c r="R10" i="31"/>
  <c r="S10" i="31"/>
  <c r="D8" i="31"/>
  <c r="E8" i="31"/>
  <c r="F8" i="31"/>
  <c r="G8" i="31"/>
  <c r="H8" i="31"/>
  <c r="I8" i="31"/>
  <c r="J8" i="31"/>
  <c r="K8" i="31"/>
  <c r="L8" i="31"/>
  <c r="M8" i="31"/>
  <c r="N8" i="31"/>
  <c r="O8" i="31"/>
  <c r="P8" i="31"/>
  <c r="Q8" i="31"/>
  <c r="R8" i="31"/>
  <c r="S8" i="31"/>
  <c r="D6" i="31"/>
  <c r="E6" i="31"/>
  <c r="F6" i="31"/>
  <c r="G6" i="31"/>
  <c r="H6" i="31"/>
  <c r="I6" i="31"/>
  <c r="J6" i="31"/>
  <c r="K6" i="31"/>
  <c r="L6" i="31"/>
  <c r="M6" i="31"/>
  <c r="N6" i="31"/>
  <c r="O6" i="31"/>
  <c r="P6" i="31"/>
  <c r="Q6" i="31"/>
  <c r="R6" i="31"/>
  <c r="S6" i="31"/>
  <c r="B2" i="1"/>
  <c r="F15" i="4"/>
  <c r="F9" i="1"/>
  <c r="D9" i="1"/>
  <c r="F10" i="1"/>
  <c r="F11" i="1"/>
  <c r="F12" i="1"/>
  <c r="F13" i="1"/>
  <c r="D13" i="1"/>
  <c r="D6" i="1"/>
  <c r="D10" i="1"/>
  <c r="D11" i="1"/>
  <c r="D12" i="1"/>
  <c r="D7" i="1"/>
  <c r="D8" i="1"/>
  <c r="A7" i="1"/>
  <c r="A8" i="1"/>
  <c r="B8" i="1" s="1"/>
  <c r="E8" i="1" s="1"/>
  <c r="A9" i="1"/>
  <c r="A10" i="1"/>
  <c r="K10" i="1" s="1"/>
  <c r="M10" i="1" s="1"/>
  <c r="A11" i="1"/>
  <c r="A12" i="1"/>
  <c r="A13" i="1"/>
  <c r="A6" i="1"/>
  <c r="G1" i="68" s="1"/>
  <c r="B11" i="1"/>
  <c r="E11" i="1"/>
  <c r="B7" i="1"/>
  <c r="E7" i="1"/>
  <c r="B13" i="1"/>
  <c r="E13" i="1"/>
  <c r="K13" i="1"/>
  <c r="G79" i="36"/>
  <c r="G85" i="35"/>
  <c r="G97" i="37"/>
  <c r="G110" i="34"/>
  <c r="G111" i="21"/>
  <c r="G109" i="33"/>
  <c r="D23" i="31"/>
  <c r="L2" i="31"/>
  <c r="K2" i="31"/>
  <c r="J2" i="31"/>
  <c r="I2" i="31"/>
  <c r="H2" i="31"/>
  <c r="G2" i="31"/>
  <c r="F2" i="31"/>
  <c r="E2" i="31"/>
  <c r="D2" i="31"/>
  <c r="C2" i="31"/>
  <c r="D46" i="15"/>
  <c r="BT112" i="3"/>
  <c r="BS112" i="3"/>
  <c r="BR112" i="3"/>
  <c r="BQ112" i="3"/>
  <c r="BP112" i="3"/>
  <c r="BO112" i="3"/>
  <c r="BN112" i="3"/>
  <c r="BM112" i="3"/>
  <c r="BL112" i="3"/>
  <c r="BK112" i="3"/>
  <c r="BJ112" i="3"/>
  <c r="BI112" i="3"/>
  <c r="BH112" i="3"/>
  <c r="BG112" i="3"/>
  <c r="BF112" i="3"/>
  <c r="BE112" i="3"/>
  <c r="BD112" i="3"/>
  <c r="BC112" i="3"/>
  <c r="BB112" i="3"/>
  <c r="BA112" i="3"/>
  <c r="AZ112" i="3"/>
  <c r="AX112" i="3"/>
  <c r="AW112" i="3"/>
  <c r="AV112" i="3"/>
  <c r="AC112" i="3"/>
  <c r="H112" i="3"/>
  <c r="G112" i="3"/>
  <c r="BT111" i="3"/>
  <c r="BS111" i="3"/>
  <c r="BR111" i="3"/>
  <c r="BQ111" i="3"/>
  <c r="BP111" i="3"/>
  <c r="BO111" i="3"/>
  <c r="BN111" i="3"/>
  <c r="BM111" i="3"/>
  <c r="BL111" i="3"/>
  <c r="BK111" i="3"/>
  <c r="BJ111" i="3"/>
  <c r="BI111" i="3"/>
  <c r="BH111" i="3"/>
  <c r="BG111" i="3"/>
  <c r="BF111" i="3"/>
  <c r="BE111" i="3"/>
  <c r="BD111" i="3"/>
  <c r="BC111" i="3"/>
  <c r="BB111" i="3"/>
  <c r="BA111" i="3"/>
  <c r="AX111" i="3"/>
  <c r="AW111" i="3"/>
  <c r="AV111" i="3"/>
  <c r="AC111" i="3"/>
  <c r="H111" i="3"/>
  <c r="G111" i="3"/>
  <c r="BT110" i="3"/>
  <c r="BS110" i="3"/>
  <c r="BR110" i="3"/>
  <c r="BQ110" i="3"/>
  <c r="BP110" i="3"/>
  <c r="BO110" i="3"/>
  <c r="BN110" i="3"/>
  <c r="BM110" i="3"/>
  <c r="BL110" i="3"/>
  <c r="BK110" i="3"/>
  <c r="BJ110" i="3"/>
  <c r="BI110" i="3"/>
  <c r="BH110" i="3"/>
  <c r="BG110" i="3"/>
  <c r="BF110" i="3"/>
  <c r="BE110" i="3"/>
  <c r="BD110" i="3"/>
  <c r="BC110" i="3"/>
  <c r="BB110" i="3"/>
  <c r="BA110" i="3"/>
  <c r="AX110" i="3"/>
  <c r="AW110" i="3"/>
  <c r="AV110" i="3"/>
  <c r="AC110" i="3"/>
  <c r="H110" i="3"/>
  <c r="G110" i="3"/>
  <c r="BT109" i="3"/>
  <c r="BS109" i="3"/>
  <c r="BR109" i="3"/>
  <c r="BQ109" i="3"/>
  <c r="BP109" i="3"/>
  <c r="BO109" i="3"/>
  <c r="BN109" i="3"/>
  <c r="BM109" i="3"/>
  <c r="BL109" i="3"/>
  <c r="BK109" i="3"/>
  <c r="BJ109" i="3"/>
  <c r="BI109" i="3"/>
  <c r="BH109" i="3"/>
  <c r="BG109" i="3"/>
  <c r="BF109" i="3"/>
  <c r="BE109" i="3"/>
  <c r="BD109" i="3"/>
  <c r="BC109" i="3"/>
  <c r="BB109" i="3"/>
  <c r="BA109" i="3"/>
  <c r="AX109" i="3"/>
  <c r="AW109" i="3"/>
  <c r="AV109" i="3"/>
  <c r="AC109" i="3"/>
  <c r="H109" i="3"/>
  <c r="G109" i="3"/>
  <c r="BT108" i="3"/>
  <c r="BS108" i="3"/>
  <c r="BR108" i="3"/>
  <c r="BQ108" i="3"/>
  <c r="BP108" i="3"/>
  <c r="BO108" i="3"/>
  <c r="BN108" i="3"/>
  <c r="BM108" i="3"/>
  <c r="BL108" i="3"/>
  <c r="BK108" i="3"/>
  <c r="BJ108" i="3"/>
  <c r="BI108" i="3"/>
  <c r="BH108" i="3"/>
  <c r="BG108" i="3"/>
  <c r="BF108" i="3"/>
  <c r="BE108" i="3"/>
  <c r="BD108" i="3"/>
  <c r="BC108" i="3"/>
  <c r="BB108" i="3"/>
  <c r="BA108" i="3"/>
  <c r="AZ108" i="3"/>
  <c r="AX108" i="3"/>
  <c r="AW108" i="3"/>
  <c r="AV108" i="3"/>
  <c r="AC108" i="3"/>
  <c r="H108" i="3"/>
  <c r="G108" i="3"/>
  <c r="BT107" i="3"/>
  <c r="BS107" i="3"/>
  <c r="BR107" i="3"/>
  <c r="BQ107" i="3"/>
  <c r="BP107" i="3"/>
  <c r="BO107" i="3"/>
  <c r="BN107" i="3"/>
  <c r="BM107" i="3"/>
  <c r="BL107" i="3"/>
  <c r="BK107" i="3"/>
  <c r="BJ107" i="3"/>
  <c r="BI107" i="3"/>
  <c r="BH107" i="3"/>
  <c r="BG107" i="3"/>
  <c r="BF107" i="3"/>
  <c r="BE107" i="3"/>
  <c r="BD107" i="3"/>
  <c r="BC107" i="3"/>
  <c r="BB107" i="3"/>
  <c r="BA107" i="3"/>
  <c r="AX107" i="3"/>
  <c r="AW107" i="3"/>
  <c r="AV107" i="3"/>
  <c r="AC107" i="3"/>
  <c r="H107" i="3"/>
  <c r="G107" i="3"/>
  <c r="BT106" i="3"/>
  <c r="BS106" i="3"/>
  <c r="BR106" i="3"/>
  <c r="BQ106" i="3"/>
  <c r="BP106" i="3"/>
  <c r="BO106" i="3"/>
  <c r="BN106" i="3"/>
  <c r="BM106" i="3"/>
  <c r="BL106" i="3"/>
  <c r="BK106" i="3"/>
  <c r="BJ106" i="3"/>
  <c r="BI106" i="3"/>
  <c r="BH106" i="3"/>
  <c r="BG106" i="3"/>
  <c r="BF106" i="3"/>
  <c r="BE106" i="3"/>
  <c r="BD106" i="3"/>
  <c r="BC106" i="3"/>
  <c r="BB106" i="3"/>
  <c r="BA106" i="3"/>
  <c r="AZ106" i="3"/>
  <c r="AX106" i="3"/>
  <c r="AW106" i="3"/>
  <c r="AV106" i="3"/>
  <c r="AC106" i="3"/>
  <c r="H106" i="3"/>
  <c r="G106" i="3"/>
  <c r="BT105" i="3"/>
  <c r="BS105" i="3"/>
  <c r="BR105" i="3"/>
  <c r="BQ105" i="3"/>
  <c r="BP105" i="3"/>
  <c r="BO105" i="3"/>
  <c r="BN105" i="3"/>
  <c r="BM105" i="3"/>
  <c r="BL105" i="3"/>
  <c r="BK105" i="3"/>
  <c r="BJ105" i="3"/>
  <c r="BI105" i="3"/>
  <c r="BH105" i="3"/>
  <c r="BG105" i="3"/>
  <c r="BF105" i="3"/>
  <c r="BE105" i="3"/>
  <c r="BD105" i="3"/>
  <c r="BC105" i="3"/>
  <c r="BB105" i="3"/>
  <c r="BA105" i="3"/>
  <c r="AX105" i="3"/>
  <c r="AW105" i="3"/>
  <c r="AV105" i="3"/>
  <c r="AC105" i="3"/>
  <c r="H105" i="3"/>
  <c r="G105" i="3"/>
  <c r="BT104" i="3"/>
  <c r="BS104" i="3"/>
  <c r="BR104" i="3"/>
  <c r="BQ104" i="3"/>
  <c r="BP104" i="3"/>
  <c r="BO104" i="3"/>
  <c r="BN104" i="3"/>
  <c r="BM104" i="3"/>
  <c r="BL104" i="3"/>
  <c r="BK104" i="3"/>
  <c r="BJ104" i="3"/>
  <c r="BI104" i="3"/>
  <c r="BH104" i="3"/>
  <c r="BG104" i="3"/>
  <c r="BF104" i="3"/>
  <c r="BE104" i="3"/>
  <c r="BD104" i="3"/>
  <c r="BC104" i="3"/>
  <c r="BB104" i="3"/>
  <c r="BA104" i="3"/>
  <c r="AZ104" i="3"/>
  <c r="AX104" i="3"/>
  <c r="AW104" i="3"/>
  <c r="AV104" i="3"/>
  <c r="AC104" i="3"/>
  <c r="H104" i="3"/>
  <c r="G104" i="3"/>
  <c r="BT103" i="3"/>
  <c r="BS103" i="3"/>
  <c r="BR103" i="3"/>
  <c r="BQ103" i="3"/>
  <c r="BP103" i="3"/>
  <c r="BO103" i="3"/>
  <c r="BN103" i="3"/>
  <c r="BM103" i="3"/>
  <c r="BL103" i="3"/>
  <c r="BK103" i="3"/>
  <c r="BJ103" i="3"/>
  <c r="BI103" i="3"/>
  <c r="BH103" i="3"/>
  <c r="BG103" i="3"/>
  <c r="BF103" i="3"/>
  <c r="BE103" i="3"/>
  <c r="BD103" i="3"/>
  <c r="BC103" i="3"/>
  <c r="BB103" i="3"/>
  <c r="BA103" i="3"/>
  <c r="AZ103" i="3"/>
  <c r="AX103" i="3"/>
  <c r="AW103" i="3"/>
  <c r="AV103" i="3"/>
  <c r="AC103" i="3"/>
  <c r="H103" i="3"/>
  <c r="G103" i="3"/>
  <c r="BT102" i="3"/>
  <c r="BS102" i="3"/>
  <c r="BR102" i="3"/>
  <c r="BQ102" i="3"/>
  <c r="BP102" i="3"/>
  <c r="BO102" i="3"/>
  <c r="BN102" i="3"/>
  <c r="BM102" i="3"/>
  <c r="BL102" i="3"/>
  <c r="BK102" i="3"/>
  <c r="BJ102" i="3"/>
  <c r="BI102" i="3"/>
  <c r="BH102" i="3"/>
  <c r="BG102" i="3"/>
  <c r="BF102" i="3"/>
  <c r="BE102" i="3"/>
  <c r="BD102" i="3"/>
  <c r="BC102" i="3"/>
  <c r="BB102" i="3"/>
  <c r="BA102" i="3"/>
  <c r="AX102" i="3"/>
  <c r="AW102" i="3"/>
  <c r="AV102" i="3"/>
  <c r="AC102" i="3"/>
  <c r="H102" i="3"/>
  <c r="G102" i="3"/>
  <c r="BT101" i="3"/>
  <c r="BS101" i="3"/>
  <c r="BR101" i="3"/>
  <c r="BQ101" i="3"/>
  <c r="BP101" i="3"/>
  <c r="BO101" i="3"/>
  <c r="BN101" i="3"/>
  <c r="BM101" i="3"/>
  <c r="BL101" i="3"/>
  <c r="BK101" i="3"/>
  <c r="BJ101" i="3"/>
  <c r="BI101" i="3"/>
  <c r="BH101" i="3"/>
  <c r="BG101" i="3"/>
  <c r="BF101" i="3"/>
  <c r="BE101" i="3"/>
  <c r="BD101" i="3"/>
  <c r="BC101" i="3"/>
  <c r="BB101" i="3"/>
  <c r="BA101" i="3"/>
  <c r="AX101" i="3"/>
  <c r="AW101" i="3"/>
  <c r="AV101" i="3"/>
  <c r="AC101" i="3"/>
  <c r="H101" i="3"/>
  <c r="G101" i="3"/>
  <c r="BT100" i="3"/>
  <c r="BS100" i="3"/>
  <c r="BR100" i="3"/>
  <c r="BQ100" i="3"/>
  <c r="BP100" i="3"/>
  <c r="BO100" i="3"/>
  <c r="BN100" i="3"/>
  <c r="BM100" i="3"/>
  <c r="BL100" i="3"/>
  <c r="BK100" i="3"/>
  <c r="BJ100" i="3"/>
  <c r="BI100" i="3"/>
  <c r="BH100" i="3"/>
  <c r="BG100" i="3"/>
  <c r="BF100" i="3"/>
  <c r="BE100" i="3"/>
  <c r="BD100" i="3"/>
  <c r="BC100" i="3"/>
  <c r="BB100" i="3"/>
  <c r="BA100" i="3"/>
  <c r="AZ100" i="3"/>
  <c r="AX100" i="3"/>
  <c r="AW100" i="3"/>
  <c r="AV100" i="3"/>
  <c r="AC100" i="3"/>
  <c r="H100" i="3"/>
  <c r="G100" i="3"/>
  <c r="BT99" i="3"/>
  <c r="BS99" i="3"/>
  <c r="BR99" i="3"/>
  <c r="BQ99" i="3"/>
  <c r="BP99" i="3"/>
  <c r="BO99" i="3"/>
  <c r="BN99" i="3"/>
  <c r="BM99" i="3"/>
  <c r="BL99" i="3"/>
  <c r="BK99" i="3"/>
  <c r="BJ99" i="3"/>
  <c r="BI99" i="3"/>
  <c r="BH99" i="3"/>
  <c r="BG99" i="3"/>
  <c r="BF99" i="3"/>
  <c r="BE99" i="3"/>
  <c r="BD99" i="3"/>
  <c r="BC99" i="3"/>
  <c r="BB99" i="3"/>
  <c r="BA99" i="3"/>
  <c r="AZ99" i="3"/>
  <c r="AX99" i="3"/>
  <c r="AW99" i="3"/>
  <c r="AV99" i="3"/>
  <c r="AC99" i="3"/>
  <c r="H99" i="3"/>
  <c r="G99" i="3"/>
  <c r="BT98" i="3"/>
  <c r="BS98" i="3"/>
  <c r="BR98" i="3"/>
  <c r="BQ98" i="3"/>
  <c r="BP98" i="3"/>
  <c r="BO98" i="3"/>
  <c r="BN98" i="3"/>
  <c r="BM98" i="3"/>
  <c r="BL98" i="3"/>
  <c r="BK98" i="3"/>
  <c r="BJ98" i="3"/>
  <c r="BI98" i="3"/>
  <c r="BH98" i="3"/>
  <c r="BG98" i="3"/>
  <c r="BF98" i="3"/>
  <c r="BE98" i="3"/>
  <c r="BD98" i="3"/>
  <c r="BC98" i="3"/>
  <c r="BB98" i="3"/>
  <c r="BA98" i="3"/>
  <c r="AZ98" i="3"/>
  <c r="AX98" i="3"/>
  <c r="AW98" i="3"/>
  <c r="AV98" i="3"/>
  <c r="AC98" i="3"/>
  <c r="H98" i="3"/>
  <c r="G98" i="3"/>
  <c r="BT97" i="3"/>
  <c r="BS97" i="3"/>
  <c r="BR97" i="3"/>
  <c r="BQ97" i="3"/>
  <c r="BP97" i="3"/>
  <c r="BO97" i="3"/>
  <c r="BN97" i="3"/>
  <c r="BM97" i="3"/>
  <c r="BL97" i="3"/>
  <c r="BK97" i="3"/>
  <c r="BJ97" i="3"/>
  <c r="BI97" i="3"/>
  <c r="BH97" i="3"/>
  <c r="BG97" i="3"/>
  <c r="BF97" i="3"/>
  <c r="BE97" i="3"/>
  <c r="BD97" i="3"/>
  <c r="BC97" i="3"/>
  <c r="BB97" i="3"/>
  <c r="BA97" i="3"/>
  <c r="AX97" i="3"/>
  <c r="AW97" i="3"/>
  <c r="AV97" i="3"/>
  <c r="AC97" i="3"/>
  <c r="H97" i="3"/>
  <c r="G97" i="3"/>
  <c r="BT96" i="3"/>
  <c r="BS96" i="3"/>
  <c r="BR96" i="3"/>
  <c r="BQ96" i="3"/>
  <c r="BP96" i="3"/>
  <c r="BO96" i="3"/>
  <c r="BN96" i="3"/>
  <c r="BM96" i="3"/>
  <c r="BL96" i="3"/>
  <c r="BK96" i="3"/>
  <c r="BJ96" i="3"/>
  <c r="BI96" i="3"/>
  <c r="BH96" i="3"/>
  <c r="BG96" i="3"/>
  <c r="BF96" i="3"/>
  <c r="BE96" i="3"/>
  <c r="BD96" i="3"/>
  <c r="BC96" i="3"/>
  <c r="BB96" i="3"/>
  <c r="BA96" i="3"/>
  <c r="AZ96" i="3"/>
  <c r="AX96" i="3"/>
  <c r="AW96" i="3"/>
  <c r="AV96" i="3"/>
  <c r="AC96" i="3"/>
  <c r="H96" i="3"/>
  <c r="G96" i="3"/>
  <c r="BT95" i="3"/>
  <c r="BS95" i="3"/>
  <c r="BR95" i="3"/>
  <c r="BQ95" i="3"/>
  <c r="BP95" i="3"/>
  <c r="BO95" i="3"/>
  <c r="BN95" i="3"/>
  <c r="BM95" i="3"/>
  <c r="BL95" i="3"/>
  <c r="BK95" i="3"/>
  <c r="BJ95" i="3"/>
  <c r="BI95" i="3"/>
  <c r="BH95" i="3"/>
  <c r="BG95" i="3"/>
  <c r="BF95" i="3"/>
  <c r="BE95" i="3"/>
  <c r="BD95" i="3"/>
  <c r="BC95" i="3"/>
  <c r="BB95" i="3"/>
  <c r="BA95" i="3"/>
  <c r="AZ95" i="3"/>
  <c r="AX95" i="3"/>
  <c r="AW95" i="3"/>
  <c r="AV95" i="3"/>
  <c r="AC95" i="3"/>
  <c r="H95" i="3"/>
  <c r="G95" i="3"/>
  <c r="BT94" i="3"/>
  <c r="BS94" i="3"/>
  <c r="BR94" i="3"/>
  <c r="BQ94" i="3"/>
  <c r="BP94" i="3"/>
  <c r="BO94" i="3"/>
  <c r="BN94" i="3"/>
  <c r="BM94" i="3"/>
  <c r="BL94" i="3"/>
  <c r="BK94" i="3"/>
  <c r="BJ94" i="3"/>
  <c r="BI94" i="3"/>
  <c r="BH94" i="3"/>
  <c r="BG94" i="3"/>
  <c r="BF94" i="3"/>
  <c r="BE94" i="3"/>
  <c r="BD94" i="3"/>
  <c r="BC94" i="3"/>
  <c r="BB94" i="3"/>
  <c r="BA94" i="3"/>
  <c r="AX94" i="3"/>
  <c r="AW94" i="3"/>
  <c r="AV94" i="3"/>
  <c r="AC94" i="3"/>
  <c r="H94" i="3"/>
  <c r="G94" i="3"/>
  <c r="BT93" i="3"/>
  <c r="BS93" i="3"/>
  <c r="BR93" i="3"/>
  <c r="BQ93" i="3"/>
  <c r="BP93" i="3"/>
  <c r="BO93" i="3"/>
  <c r="BN93" i="3"/>
  <c r="BM93" i="3"/>
  <c r="BL93" i="3"/>
  <c r="BK93" i="3"/>
  <c r="BJ93" i="3"/>
  <c r="BI93" i="3"/>
  <c r="BH93" i="3"/>
  <c r="BG93" i="3"/>
  <c r="BF93" i="3"/>
  <c r="BE93" i="3"/>
  <c r="BD93" i="3"/>
  <c r="BC93" i="3"/>
  <c r="BB93" i="3"/>
  <c r="BA93" i="3"/>
  <c r="AX93" i="3"/>
  <c r="AW93" i="3"/>
  <c r="AV93" i="3"/>
  <c r="AC93" i="3"/>
  <c r="H93" i="3"/>
  <c r="G93" i="3"/>
  <c r="BT92" i="3"/>
  <c r="BS92" i="3"/>
  <c r="BR92" i="3"/>
  <c r="BQ92" i="3"/>
  <c r="BP92" i="3"/>
  <c r="BO92" i="3"/>
  <c r="BN92" i="3"/>
  <c r="BM92" i="3"/>
  <c r="BL92" i="3"/>
  <c r="BK92" i="3"/>
  <c r="BJ92" i="3"/>
  <c r="BI92" i="3"/>
  <c r="BH92" i="3"/>
  <c r="BG92" i="3"/>
  <c r="BF92" i="3"/>
  <c r="BE92" i="3"/>
  <c r="BD92" i="3"/>
  <c r="BC92" i="3"/>
  <c r="BB92" i="3"/>
  <c r="BA92" i="3"/>
  <c r="AZ92" i="3"/>
  <c r="AX92" i="3"/>
  <c r="AW92" i="3"/>
  <c r="AV92" i="3"/>
  <c r="AC92" i="3"/>
  <c r="H92" i="3"/>
  <c r="G92" i="3"/>
  <c r="BT91" i="3"/>
  <c r="BS91" i="3"/>
  <c r="BR91" i="3"/>
  <c r="BQ91" i="3"/>
  <c r="BP91" i="3"/>
  <c r="BO91" i="3"/>
  <c r="BN91" i="3"/>
  <c r="BM91" i="3"/>
  <c r="BL91" i="3"/>
  <c r="BK91" i="3"/>
  <c r="BJ91" i="3"/>
  <c r="BI91" i="3"/>
  <c r="BH91" i="3"/>
  <c r="BG91" i="3"/>
  <c r="BF91" i="3"/>
  <c r="BE91" i="3"/>
  <c r="BD91" i="3"/>
  <c r="BC91" i="3"/>
  <c r="BB91" i="3"/>
  <c r="BA91" i="3"/>
  <c r="AZ91" i="3"/>
  <c r="AX91" i="3"/>
  <c r="AW91" i="3"/>
  <c r="AV91" i="3"/>
  <c r="AC91" i="3"/>
  <c r="H91" i="3"/>
  <c r="G91" i="3"/>
  <c r="BT90" i="3"/>
  <c r="BS90" i="3"/>
  <c r="BR90" i="3"/>
  <c r="BQ90" i="3"/>
  <c r="BP90" i="3"/>
  <c r="BO90" i="3"/>
  <c r="BN90" i="3"/>
  <c r="BM90" i="3"/>
  <c r="BL90" i="3"/>
  <c r="BK90" i="3"/>
  <c r="BJ90" i="3"/>
  <c r="BI90" i="3"/>
  <c r="BH90" i="3"/>
  <c r="BG90" i="3"/>
  <c r="BF90" i="3"/>
  <c r="BE90" i="3"/>
  <c r="BD90" i="3"/>
  <c r="BC90" i="3"/>
  <c r="BB90" i="3"/>
  <c r="BA90" i="3"/>
  <c r="AZ90" i="3"/>
  <c r="AX90" i="3"/>
  <c r="AW90" i="3"/>
  <c r="AV90" i="3"/>
  <c r="AC90" i="3"/>
  <c r="H90" i="3"/>
  <c r="G90" i="3"/>
  <c r="BT89" i="3"/>
  <c r="BS89" i="3"/>
  <c r="BR89" i="3"/>
  <c r="BQ89" i="3"/>
  <c r="BP89" i="3"/>
  <c r="BO89" i="3"/>
  <c r="BN89" i="3"/>
  <c r="BM89" i="3"/>
  <c r="BL89" i="3"/>
  <c r="BK89" i="3"/>
  <c r="BJ89" i="3"/>
  <c r="BI89" i="3"/>
  <c r="BH89" i="3"/>
  <c r="BG89" i="3"/>
  <c r="BF89" i="3"/>
  <c r="BE89" i="3"/>
  <c r="BD89" i="3"/>
  <c r="BC89" i="3"/>
  <c r="BB89" i="3"/>
  <c r="BA89" i="3"/>
  <c r="AX89" i="3"/>
  <c r="AW89" i="3"/>
  <c r="AV89" i="3"/>
  <c r="AC89" i="3"/>
  <c r="H89" i="3"/>
  <c r="G89" i="3"/>
  <c r="BT88" i="3"/>
  <c r="BS88" i="3"/>
  <c r="BR88" i="3"/>
  <c r="BQ88" i="3"/>
  <c r="BP88" i="3"/>
  <c r="BO88" i="3"/>
  <c r="BN88" i="3"/>
  <c r="BM88" i="3"/>
  <c r="BL88" i="3"/>
  <c r="BK88" i="3"/>
  <c r="BJ88" i="3"/>
  <c r="BI88" i="3"/>
  <c r="BH88" i="3"/>
  <c r="BG88" i="3"/>
  <c r="BF88" i="3"/>
  <c r="BE88" i="3"/>
  <c r="BD88" i="3"/>
  <c r="BC88" i="3"/>
  <c r="BB88" i="3"/>
  <c r="BA88" i="3"/>
  <c r="AX88" i="3"/>
  <c r="AW88" i="3"/>
  <c r="AV88" i="3"/>
  <c r="AC88" i="3"/>
  <c r="H88" i="3"/>
  <c r="G88" i="3"/>
  <c r="BT87" i="3"/>
  <c r="BS87" i="3"/>
  <c r="BR87" i="3"/>
  <c r="BQ87" i="3"/>
  <c r="BP87" i="3"/>
  <c r="BO87" i="3"/>
  <c r="BN87" i="3"/>
  <c r="BM87" i="3"/>
  <c r="BL87" i="3"/>
  <c r="BK87" i="3"/>
  <c r="BJ87" i="3"/>
  <c r="BI87" i="3"/>
  <c r="BH87" i="3"/>
  <c r="BG87" i="3"/>
  <c r="BF87" i="3"/>
  <c r="BE87" i="3"/>
  <c r="BD87" i="3"/>
  <c r="BC87" i="3"/>
  <c r="BB87" i="3"/>
  <c r="BA87" i="3"/>
  <c r="AZ87" i="3"/>
  <c r="AX87" i="3"/>
  <c r="AW87" i="3"/>
  <c r="AV87" i="3"/>
  <c r="AC87" i="3"/>
  <c r="H87" i="3"/>
  <c r="G87" i="3"/>
  <c r="BT86" i="3"/>
  <c r="BS86" i="3"/>
  <c r="BR86" i="3"/>
  <c r="BQ86" i="3"/>
  <c r="BP86" i="3"/>
  <c r="BO86" i="3"/>
  <c r="BN86" i="3"/>
  <c r="BM86" i="3"/>
  <c r="BL86" i="3"/>
  <c r="BK86" i="3"/>
  <c r="BJ86" i="3"/>
  <c r="BI86" i="3"/>
  <c r="BH86" i="3"/>
  <c r="BG86" i="3"/>
  <c r="BF86" i="3"/>
  <c r="BE86" i="3"/>
  <c r="BD86" i="3"/>
  <c r="BC86" i="3"/>
  <c r="BB86" i="3"/>
  <c r="BA86" i="3"/>
  <c r="AX86" i="3"/>
  <c r="AW86" i="3"/>
  <c r="AV86" i="3"/>
  <c r="AC86" i="3"/>
  <c r="H86" i="3"/>
  <c r="G86" i="3"/>
  <c r="BT85" i="3"/>
  <c r="BS85" i="3"/>
  <c r="BR85" i="3"/>
  <c r="BQ85" i="3"/>
  <c r="BP85" i="3"/>
  <c r="BO85" i="3"/>
  <c r="BN85" i="3"/>
  <c r="BM85" i="3"/>
  <c r="BL85" i="3"/>
  <c r="BK85" i="3"/>
  <c r="BJ85" i="3"/>
  <c r="BI85" i="3"/>
  <c r="BH85" i="3"/>
  <c r="BG85" i="3"/>
  <c r="BF85" i="3"/>
  <c r="BE85" i="3"/>
  <c r="BD85" i="3"/>
  <c r="BC85" i="3"/>
  <c r="BB85" i="3"/>
  <c r="BA85" i="3"/>
  <c r="AX85" i="3"/>
  <c r="AW85" i="3"/>
  <c r="AV85" i="3"/>
  <c r="AC85" i="3"/>
  <c r="H85" i="3"/>
  <c r="G85" i="3"/>
  <c r="BT84" i="3"/>
  <c r="BS84" i="3"/>
  <c r="BR84" i="3"/>
  <c r="BQ84" i="3"/>
  <c r="BP84" i="3"/>
  <c r="BO84" i="3"/>
  <c r="BN84" i="3"/>
  <c r="BM84" i="3"/>
  <c r="BL84" i="3"/>
  <c r="BK84" i="3"/>
  <c r="BJ84" i="3"/>
  <c r="BI84" i="3"/>
  <c r="BH84" i="3"/>
  <c r="BG84" i="3"/>
  <c r="BF84" i="3"/>
  <c r="BE84" i="3"/>
  <c r="BD84" i="3"/>
  <c r="BC84" i="3"/>
  <c r="BB84" i="3"/>
  <c r="BA84" i="3"/>
  <c r="AX84" i="3"/>
  <c r="AW84" i="3"/>
  <c r="AV84" i="3"/>
  <c r="AC84" i="3"/>
  <c r="H84" i="3"/>
  <c r="G84" i="3"/>
  <c r="BT83" i="3"/>
  <c r="BS83" i="3"/>
  <c r="BR83" i="3"/>
  <c r="BQ83" i="3"/>
  <c r="BP83" i="3"/>
  <c r="BO83" i="3"/>
  <c r="BN83" i="3"/>
  <c r="BM83" i="3"/>
  <c r="BL83" i="3"/>
  <c r="BK83" i="3"/>
  <c r="BJ83" i="3"/>
  <c r="BI83" i="3"/>
  <c r="BH83" i="3"/>
  <c r="BG83" i="3"/>
  <c r="BF83" i="3"/>
  <c r="BE83" i="3"/>
  <c r="BD83" i="3"/>
  <c r="BC83" i="3"/>
  <c r="BB83" i="3"/>
  <c r="BA83" i="3"/>
  <c r="AX83" i="3"/>
  <c r="AW83" i="3"/>
  <c r="AV83" i="3"/>
  <c r="AC83" i="3"/>
  <c r="H83" i="3"/>
  <c r="G83" i="3"/>
  <c r="BT82" i="3"/>
  <c r="BS82" i="3"/>
  <c r="BR82" i="3"/>
  <c r="BQ82" i="3"/>
  <c r="BP82" i="3"/>
  <c r="BO82" i="3"/>
  <c r="BN82" i="3"/>
  <c r="BM82" i="3"/>
  <c r="BL82" i="3"/>
  <c r="BK82" i="3"/>
  <c r="BJ82" i="3"/>
  <c r="BI82" i="3"/>
  <c r="BH82" i="3"/>
  <c r="BG82" i="3"/>
  <c r="BF82" i="3"/>
  <c r="BE82" i="3"/>
  <c r="BD82" i="3"/>
  <c r="BC82" i="3"/>
  <c r="BB82" i="3"/>
  <c r="BA82" i="3"/>
  <c r="AX82" i="3"/>
  <c r="AW82" i="3"/>
  <c r="AV82" i="3"/>
  <c r="AC82" i="3"/>
  <c r="H82" i="3"/>
  <c r="G82" i="3"/>
  <c r="BT81" i="3"/>
  <c r="BS81" i="3"/>
  <c r="BR81" i="3"/>
  <c r="BQ81" i="3"/>
  <c r="BP81" i="3"/>
  <c r="BO81" i="3"/>
  <c r="BN81" i="3"/>
  <c r="BM81" i="3"/>
  <c r="BL81" i="3"/>
  <c r="BK81" i="3"/>
  <c r="BJ81" i="3"/>
  <c r="BI81" i="3"/>
  <c r="BH81" i="3"/>
  <c r="BG81" i="3"/>
  <c r="BF81" i="3"/>
  <c r="BE81" i="3"/>
  <c r="BD81" i="3"/>
  <c r="BC81" i="3"/>
  <c r="BB81" i="3"/>
  <c r="BA81" i="3"/>
  <c r="AZ81" i="3"/>
  <c r="AX81" i="3"/>
  <c r="AW81" i="3"/>
  <c r="AV81" i="3"/>
  <c r="AC81" i="3"/>
  <c r="H81" i="3"/>
  <c r="G81" i="3"/>
  <c r="BT80" i="3"/>
  <c r="BS80" i="3"/>
  <c r="BR80" i="3"/>
  <c r="BQ80" i="3"/>
  <c r="BP80" i="3"/>
  <c r="BO80" i="3"/>
  <c r="BN80" i="3"/>
  <c r="BM80" i="3"/>
  <c r="BL80" i="3"/>
  <c r="BK80" i="3"/>
  <c r="BJ80" i="3"/>
  <c r="BI80" i="3"/>
  <c r="BH80" i="3"/>
  <c r="BG80" i="3"/>
  <c r="BF80" i="3"/>
  <c r="BE80" i="3"/>
  <c r="BD80" i="3"/>
  <c r="BC80" i="3"/>
  <c r="BB80" i="3"/>
  <c r="BA80" i="3"/>
  <c r="AX80" i="3"/>
  <c r="AW80" i="3"/>
  <c r="AV80" i="3"/>
  <c r="AC80" i="3"/>
  <c r="H80" i="3"/>
  <c r="G80" i="3"/>
  <c r="BT79" i="3"/>
  <c r="BS79" i="3"/>
  <c r="BR79" i="3"/>
  <c r="BQ79" i="3"/>
  <c r="BP79" i="3"/>
  <c r="BO79" i="3"/>
  <c r="BN79" i="3"/>
  <c r="BM79" i="3"/>
  <c r="BL79" i="3"/>
  <c r="BK79" i="3"/>
  <c r="BJ79" i="3"/>
  <c r="BI79" i="3"/>
  <c r="BH79" i="3"/>
  <c r="BG79" i="3"/>
  <c r="BF79" i="3"/>
  <c r="BE79" i="3"/>
  <c r="BD79" i="3"/>
  <c r="BC79" i="3"/>
  <c r="BB79" i="3"/>
  <c r="BA79" i="3"/>
  <c r="AX79" i="3"/>
  <c r="AW79" i="3"/>
  <c r="AV79" i="3"/>
  <c r="AC79" i="3"/>
  <c r="H79" i="3"/>
  <c r="G79" i="3"/>
  <c r="BT78" i="3"/>
  <c r="BS78" i="3"/>
  <c r="BR78" i="3"/>
  <c r="BQ78" i="3"/>
  <c r="BP78" i="3"/>
  <c r="BO78" i="3"/>
  <c r="BN78" i="3"/>
  <c r="BM78" i="3"/>
  <c r="BL78" i="3"/>
  <c r="BK78" i="3"/>
  <c r="BJ78" i="3"/>
  <c r="BI78" i="3"/>
  <c r="BH78" i="3"/>
  <c r="BG78" i="3"/>
  <c r="BF78" i="3"/>
  <c r="BE78" i="3"/>
  <c r="BD78" i="3"/>
  <c r="BC78" i="3"/>
  <c r="BB78" i="3"/>
  <c r="BA78" i="3"/>
  <c r="AZ78" i="3"/>
  <c r="AX78" i="3"/>
  <c r="AW78" i="3"/>
  <c r="AV78" i="3"/>
  <c r="AC78" i="3"/>
  <c r="H78" i="3"/>
  <c r="G78" i="3"/>
  <c r="BT77" i="3"/>
  <c r="BS77" i="3"/>
  <c r="BR77" i="3"/>
  <c r="BQ77" i="3"/>
  <c r="BP77" i="3"/>
  <c r="BO77" i="3"/>
  <c r="BN77" i="3"/>
  <c r="BM77" i="3"/>
  <c r="BL77" i="3"/>
  <c r="BK77" i="3"/>
  <c r="BJ77" i="3"/>
  <c r="BI77" i="3"/>
  <c r="BH77" i="3"/>
  <c r="BG77" i="3"/>
  <c r="BF77" i="3"/>
  <c r="BE77" i="3"/>
  <c r="BD77" i="3"/>
  <c r="BC77" i="3"/>
  <c r="BB77" i="3"/>
  <c r="BA77" i="3"/>
  <c r="AX77" i="3"/>
  <c r="AW77" i="3"/>
  <c r="AV77" i="3"/>
  <c r="AC77" i="3"/>
  <c r="H77" i="3"/>
  <c r="G77" i="3"/>
  <c r="BT76" i="3"/>
  <c r="BS76" i="3"/>
  <c r="BR76" i="3"/>
  <c r="BQ76" i="3"/>
  <c r="BP76" i="3"/>
  <c r="BO76" i="3"/>
  <c r="BN76" i="3"/>
  <c r="BM76" i="3"/>
  <c r="BL76" i="3"/>
  <c r="BK76" i="3"/>
  <c r="BJ76" i="3"/>
  <c r="BI76" i="3"/>
  <c r="BH76" i="3"/>
  <c r="BG76" i="3"/>
  <c r="BF76" i="3"/>
  <c r="BE76" i="3"/>
  <c r="BD76" i="3"/>
  <c r="BC76" i="3"/>
  <c r="BB76" i="3"/>
  <c r="BA76" i="3"/>
  <c r="AZ76" i="3"/>
  <c r="AX76" i="3"/>
  <c r="AW76" i="3"/>
  <c r="AV76" i="3"/>
  <c r="AC76" i="3"/>
  <c r="H76" i="3"/>
  <c r="G76" i="3"/>
  <c r="BT75" i="3"/>
  <c r="BS75" i="3"/>
  <c r="BR75" i="3"/>
  <c r="BQ75" i="3"/>
  <c r="BP75" i="3"/>
  <c r="BO75" i="3"/>
  <c r="BN75" i="3"/>
  <c r="BM75" i="3"/>
  <c r="BL75" i="3"/>
  <c r="BK75" i="3"/>
  <c r="BJ75" i="3"/>
  <c r="BI75" i="3"/>
  <c r="BH75" i="3"/>
  <c r="BG75" i="3"/>
  <c r="BF75" i="3"/>
  <c r="BE75" i="3"/>
  <c r="BD75" i="3"/>
  <c r="BC75" i="3"/>
  <c r="BB75" i="3"/>
  <c r="BA75" i="3"/>
  <c r="AX75" i="3"/>
  <c r="AW75" i="3"/>
  <c r="AV75" i="3"/>
  <c r="AC75" i="3"/>
  <c r="H75" i="3"/>
  <c r="G75" i="3"/>
  <c r="BT74" i="3"/>
  <c r="BS74" i="3"/>
  <c r="BR74" i="3"/>
  <c r="BQ74" i="3"/>
  <c r="BP74" i="3"/>
  <c r="BO74" i="3"/>
  <c r="BN74" i="3"/>
  <c r="BM74" i="3"/>
  <c r="BL74" i="3"/>
  <c r="BK74" i="3"/>
  <c r="BJ74" i="3"/>
  <c r="BI74" i="3"/>
  <c r="BH74" i="3"/>
  <c r="BG74" i="3"/>
  <c r="BF74" i="3"/>
  <c r="BE74" i="3"/>
  <c r="BD74" i="3"/>
  <c r="BC74" i="3"/>
  <c r="BB74" i="3"/>
  <c r="BA74" i="3"/>
  <c r="AX74" i="3"/>
  <c r="AW74" i="3"/>
  <c r="AV74" i="3"/>
  <c r="AC74" i="3"/>
  <c r="H74" i="3"/>
  <c r="G74" i="3"/>
  <c r="BT73" i="3"/>
  <c r="BS73" i="3"/>
  <c r="BR73" i="3"/>
  <c r="BQ73" i="3"/>
  <c r="BP73" i="3"/>
  <c r="BO73" i="3"/>
  <c r="BN73" i="3"/>
  <c r="BM73" i="3"/>
  <c r="BL73" i="3"/>
  <c r="BK73" i="3"/>
  <c r="BJ73" i="3"/>
  <c r="BI73" i="3"/>
  <c r="BH73" i="3"/>
  <c r="BG73" i="3"/>
  <c r="BF73" i="3"/>
  <c r="BE73" i="3"/>
  <c r="BD73" i="3"/>
  <c r="BC73" i="3"/>
  <c r="BB73" i="3"/>
  <c r="BA73" i="3"/>
  <c r="AZ73" i="3"/>
  <c r="AX73" i="3"/>
  <c r="AW73" i="3"/>
  <c r="AV73" i="3"/>
  <c r="AC73" i="3"/>
  <c r="H73" i="3"/>
  <c r="G73" i="3"/>
  <c r="BT72" i="3"/>
  <c r="BS72" i="3"/>
  <c r="BR72" i="3"/>
  <c r="BQ72" i="3"/>
  <c r="BP72" i="3"/>
  <c r="BO72" i="3"/>
  <c r="BN72" i="3"/>
  <c r="BM72" i="3"/>
  <c r="BL72" i="3"/>
  <c r="BK72" i="3"/>
  <c r="BJ72" i="3"/>
  <c r="BI72" i="3"/>
  <c r="BH72" i="3"/>
  <c r="BG72" i="3"/>
  <c r="BF72" i="3"/>
  <c r="BE72" i="3"/>
  <c r="BD72" i="3"/>
  <c r="BC72" i="3"/>
  <c r="BB72" i="3"/>
  <c r="BA72" i="3"/>
  <c r="AX72" i="3"/>
  <c r="AW72" i="3"/>
  <c r="AV72" i="3"/>
  <c r="AC72" i="3"/>
  <c r="H72" i="3"/>
  <c r="G72" i="3"/>
  <c r="BT71" i="3"/>
  <c r="BS71" i="3"/>
  <c r="BR71" i="3"/>
  <c r="BQ71" i="3"/>
  <c r="BP71" i="3"/>
  <c r="BO71" i="3"/>
  <c r="BN71" i="3"/>
  <c r="BM71" i="3"/>
  <c r="BL71" i="3"/>
  <c r="BK71" i="3"/>
  <c r="BJ71" i="3"/>
  <c r="BI71" i="3"/>
  <c r="BH71" i="3"/>
  <c r="BG71" i="3"/>
  <c r="BF71" i="3"/>
  <c r="BE71" i="3"/>
  <c r="BD71" i="3"/>
  <c r="BC71" i="3"/>
  <c r="BB71" i="3"/>
  <c r="BA71" i="3"/>
  <c r="AX71" i="3"/>
  <c r="AW71" i="3"/>
  <c r="AV71" i="3"/>
  <c r="AC71" i="3"/>
  <c r="H71" i="3"/>
  <c r="G71" i="3"/>
  <c r="BT70" i="3"/>
  <c r="BS70" i="3"/>
  <c r="BR70" i="3"/>
  <c r="BQ70" i="3"/>
  <c r="BP70" i="3"/>
  <c r="BO70" i="3"/>
  <c r="BN70" i="3"/>
  <c r="BM70" i="3"/>
  <c r="BL70" i="3"/>
  <c r="BK70" i="3"/>
  <c r="BJ70" i="3"/>
  <c r="BI70" i="3"/>
  <c r="BH70" i="3"/>
  <c r="BG70" i="3"/>
  <c r="BF70" i="3"/>
  <c r="BE70" i="3"/>
  <c r="BD70" i="3"/>
  <c r="BC70" i="3"/>
  <c r="BB70" i="3"/>
  <c r="BA70" i="3"/>
  <c r="AZ70" i="3"/>
  <c r="AX70" i="3"/>
  <c r="AW70" i="3"/>
  <c r="AV70" i="3"/>
  <c r="AC70" i="3"/>
  <c r="H70" i="3"/>
  <c r="G70" i="3"/>
  <c r="BT69" i="3"/>
  <c r="BS69" i="3"/>
  <c r="BR69" i="3"/>
  <c r="BQ69" i="3"/>
  <c r="BP69" i="3"/>
  <c r="BO69" i="3"/>
  <c r="BN69" i="3"/>
  <c r="BM69" i="3"/>
  <c r="BL69" i="3"/>
  <c r="BK69" i="3"/>
  <c r="BJ69" i="3"/>
  <c r="BI69" i="3"/>
  <c r="BH69" i="3"/>
  <c r="BG69" i="3"/>
  <c r="BF69" i="3"/>
  <c r="BE69" i="3"/>
  <c r="BD69" i="3"/>
  <c r="BC69" i="3"/>
  <c r="BB69" i="3"/>
  <c r="BA69" i="3"/>
  <c r="AX69" i="3"/>
  <c r="AW69" i="3"/>
  <c r="AV69" i="3"/>
  <c r="AC69" i="3"/>
  <c r="H69" i="3"/>
  <c r="G69" i="3"/>
  <c r="BT68" i="3"/>
  <c r="BS68" i="3"/>
  <c r="BR68" i="3"/>
  <c r="BQ68" i="3"/>
  <c r="BP68" i="3"/>
  <c r="BO68" i="3"/>
  <c r="BN68" i="3"/>
  <c r="BM68" i="3"/>
  <c r="BL68" i="3"/>
  <c r="BK68" i="3"/>
  <c r="BJ68" i="3"/>
  <c r="BI68" i="3"/>
  <c r="BH68" i="3"/>
  <c r="BG68" i="3"/>
  <c r="BF68" i="3"/>
  <c r="BE68" i="3"/>
  <c r="BD68" i="3"/>
  <c r="BC68" i="3"/>
  <c r="BB68" i="3"/>
  <c r="BA68" i="3"/>
  <c r="AZ68" i="3"/>
  <c r="AX68" i="3"/>
  <c r="AW68" i="3"/>
  <c r="AV68" i="3"/>
  <c r="AC68" i="3"/>
  <c r="H68" i="3"/>
  <c r="G68" i="3"/>
  <c r="BT67" i="3"/>
  <c r="BS67" i="3"/>
  <c r="BR67" i="3"/>
  <c r="BQ67" i="3"/>
  <c r="BP67" i="3"/>
  <c r="BO67" i="3"/>
  <c r="BN67" i="3"/>
  <c r="BM67" i="3"/>
  <c r="BL67" i="3"/>
  <c r="BK67" i="3"/>
  <c r="BJ67" i="3"/>
  <c r="BI67" i="3"/>
  <c r="BH67" i="3"/>
  <c r="BG67" i="3"/>
  <c r="BF67" i="3"/>
  <c r="BE67" i="3"/>
  <c r="BD67" i="3"/>
  <c r="BC67" i="3"/>
  <c r="BB67" i="3"/>
  <c r="BA67" i="3"/>
  <c r="AX67" i="3"/>
  <c r="AW67" i="3"/>
  <c r="AV67" i="3"/>
  <c r="AC67" i="3"/>
  <c r="H67" i="3"/>
  <c r="G67" i="3"/>
  <c r="BT66" i="3"/>
  <c r="BS66" i="3"/>
  <c r="BR66" i="3"/>
  <c r="BQ66" i="3"/>
  <c r="BP66" i="3"/>
  <c r="BO66" i="3"/>
  <c r="BN66" i="3"/>
  <c r="BM66" i="3"/>
  <c r="BL66" i="3"/>
  <c r="BK66" i="3"/>
  <c r="BJ66" i="3"/>
  <c r="BI66" i="3"/>
  <c r="BH66" i="3"/>
  <c r="BG66" i="3"/>
  <c r="BF66" i="3"/>
  <c r="BE66" i="3"/>
  <c r="BD66" i="3"/>
  <c r="BC66" i="3"/>
  <c r="BB66" i="3"/>
  <c r="BA66" i="3"/>
  <c r="AX66" i="3"/>
  <c r="AW66" i="3"/>
  <c r="AV66" i="3"/>
  <c r="AC66" i="3"/>
  <c r="H66" i="3"/>
  <c r="G66" i="3"/>
  <c r="BT65" i="3"/>
  <c r="BS65" i="3"/>
  <c r="BR65" i="3"/>
  <c r="BQ65" i="3"/>
  <c r="BP65" i="3"/>
  <c r="BO65" i="3"/>
  <c r="BN65" i="3"/>
  <c r="BM65" i="3"/>
  <c r="BL65" i="3"/>
  <c r="BK65" i="3"/>
  <c r="BJ65" i="3"/>
  <c r="BI65" i="3"/>
  <c r="BH65" i="3"/>
  <c r="BG65" i="3"/>
  <c r="BF65" i="3"/>
  <c r="BE65" i="3"/>
  <c r="BD65" i="3"/>
  <c r="BC65" i="3"/>
  <c r="BB65" i="3"/>
  <c r="BA65" i="3"/>
  <c r="AZ65" i="3"/>
  <c r="AX65" i="3"/>
  <c r="AW65" i="3"/>
  <c r="AV65" i="3"/>
  <c r="AC65" i="3"/>
  <c r="H65" i="3"/>
  <c r="G65" i="3"/>
  <c r="BT64" i="3"/>
  <c r="BS64" i="3"/>
  <c r="BR64" i="3"/>
  <c r="BQ64" i="3"/>
  <c r="BP64" i="3"/>
  <c r="BO64" i="3"/>
  <c r="BN64" i="3"/>
  <c r="BM64" i="3"/>
  <c r="BL64" i="3"/>
  <c r="BK64" i="3"/>
  <c r="BJ64" i="3"/>
  <c r="BI64" i="3"/>
  <c r="BH64" i="3"/>
  <c r="BG64" i="3"/>
  <c r="BF64" i="3"/>
  <c r="BE64" i="3"/>
  <c r="BD64" i="3"/>
  <c r="BC64" i="3"/>
  <c r="BB64" i="3"/>
  <c r="BA64" i="3"/>
  <c r="AZ64" i="3"/>
  <c r="AX64" i="3"/>
  <c r="AW64" i="3"/>
  <c r="AV64" i="3"/>
  <c r="AC64" i="3"/>
  <c r="H64" i="3"/>
  <c r="G64" i="3"/>
  <c r="BT63" i="3"/>
  <c r="BS63" i="3"/>
  <c r="BR63" i="3"/>
  <c r="BQ63" i="3"/>
  <c r="BP63" i="3"/>
  <c r="BO63" i="3"/>
  <c r="BN63" i="3"/>
  <c r="BM63" i="3"/>
  <c r="BL63" i="3"/>
  <c r="BK63" i="3"/>
  <c r="BJ63" i="3"/>
  <c r="BI63" i="3"/>
  <c r="BH63" i="3"/>
  <c r="BG63" i="3"/>
  <c r="BF63" i="3"/>
  <c r="BE63" i="3"/>
  <c r="BD63" i="3"/>
  <c r="BC63" i="3"/>
  <c r="BB63" i="3"/>
  <c r="BA63" i="3"/>
  <c r="AX63" i="3"/>
  <c r="AW63" i="3"/>
  <c r="AV63" i="3"/>
  <c r="AC63" i="3"/>
  <c r="H63" i="3"/>
  <c r="G63" i="3"/>
  <c r="BT62" i="3"/>
  <c r="BS62" i="3"/>
  <c r="BR62" i="3"/>
  <c r="BQ62" i="3"/>
  <c r="BP62" i="3"/>
  <c r="BO62" i="3"/>
  <c r="BN62" i="3"/>
  <c r="BM62" i="3"/>
  <c r="BL62" i="3"/>
  <c r="BK62" i="3"/>
  <c r="BJ62" i="3"/>
  <c r="BI62" i="3"/>
  <c r="BH62" i="3"/>
  <c r="BG62" i="3"/>
  <c r="BF62" i="3"/>
  <c r="BE62" i="3"/>
  <c r="BD62" i="3"/>
  <c r="BC62" i="3"/>
  <c r="BB62" i="3"/>
  <c r="BA62" i="3"/>
  <c r="AZ62" i="3"/>
  <c r="AX62" i="3"/>
  <c r="AW62" i="3"/>
  <c r="AV62" i="3"/>
  <c r="AC62" i="3"/>
  <c r="H62" i="3"/>
  <c r="G62" i="3"/>
  <c r="BT61" i="3"/>
  <c r="BS61" i="3"/>
  <c r="BR61" i="3"/>
  <c r="BQ61" i="3"/>
  <c r="BP61" i="3"/>
  <c r="BO61" i="3"/>
  <c r="BN61" i="3"/>
  <c r="BM61" i="3"/>
  <c r="BL61" i="3"/>
  <c r="BK61" i="3"/>
  <c r="BJ61" i="3"/>
  <c r="BI61" i="3"/>
  <c r="BH61" i="3"/>
  <c r="BG61" i="3"/>
  <c r="BF61" i="3"/>
  <c r="BE61" i="3"/>
  <c r="BD61" i="3"/>
  <c r="BC61" i="3"/>
  <c r="BB61" i="3"/>
  <c r="BA61" i="3"/>
  <c r="AX61" i="3"/>
  <c r="AW61" i="3"/>
  <c r="AV61" i="3"/>
  <c r="AC61" i="3"/>
  <c r="H61" i="3"/>
  <c r="G61" i="3"/>
  <c r="BT60" i="3"/>
  <c r="BS60" i="3"/>
  <c r="BR60" i="3"/>
  <c r="BQ60" i="3"/>
  <c r="BP60" i="3"/>
  <c r="BO60" i="3"/>
  <c r="BN60" i="3"/>
  <c r="BM60" i="3"/>
  <c r="BL60" i="3"/>
  <c r="BK60" i="3"/>
  <c r="BJ60" i="3"/>
  <c r="BI60" i="3"/>
  <c r="BH60" i="3"/>
  <c r="BG60" i="3"/>
  <c r="BF60" i="3"/>
  <c r="BE60" i="3"/>
  <c r="BD60" i="3"/>
  <c r="BC60" i="3"/>
  <c r="BB60" i="3"/>
  <c r="BA60" i="3"/>
  <c r="AZ60" i="3"/>
  <c r="AX60" i="3"/>
  <c r="AW60" i="3"/>
  <c r="AV60" i="3"/>
  <c r="AC60" i="3"/>
  <c r="H60" i="3"/>
  <c r="G60" i="3"/>
  <c r="BT59" i="3"/>
  <c r="BS59" i="3"/>
  <c r="BR59" i="3"/>
  <c r="BQ59" i="3"/>
  <c r="BP59" i="3"/>
  <c r="BO59" i="3"/>
  <c r="BN59" i="3"/>
  <c r="BM59" i="3"/>
  <c r="BL59" i="3"/>
  <c r="BK59" i="3"/>
  <c r="BJ59" i="3"/>
  <c r="BI59" i="3"/>
  <c r="BH59" i="3"/>
  <c r="BG59" i="3"/>
  <c r="BF59" i="3"/>
  <c r="BE59" i="3"/>
  <c r="BD59" i="3"/>
  <c r="BC59" i="3"/>
  <c r="BB59" i="3"/>
  <c r="BA59" i="3"/>
  <c r="AX59" i="3"/>
  <c r="AW59" i="3"/>
  <c r="AV59" i="3"/>
  <c r="AC59" i="3"/>
  <c r="H59" i="3"/>
  <c r="G59" i="3"/>
  <c r="BT58" i="3"/>
  <c r="BS58" i="3"/>
  <c r="BR58" i="3"/>
  <c r="BQ58" i="3"/>
  <c r="BP58" i="3"/>
  <c r="BO58" i="3"/>
  <c r="BN58" i="3"/>
  <c r="BM58" i="3"/>
  <c r="BL58" i="3"/>
  <c r="BK58" i="3"/>
  <c r="BJ58" i="3"/>
  <c r="BI58" i="3"/>
  <c r="BH58" i="3"/>
  <c r="BG58" i="3"/>
  <c r="BF58" i="3"/>
  <c r="BE58" i="3"/>
  <c r="BD58" i="3"/>
  <c r="BC58" i="3"/>
  <c r="BB58" i="3"/>
  <c r="BA58" i="3"/>
  <c r="AX58" i="3"/>
  <c r="AW58" i="3"/>
  <c r="AV58" i="3"/>
  <c r="AC58" i="3"/>
  <c r="H58" i="3"/>
  <c r="G58" i="3"/>
  <c r="BT57" i="3"/>
  <c r="BS57" i="3"/>
  <c r="BR57" i="3"/>
  <c r="BQ57" i="3"/>
  <c r="BP57" i="3"/>
  <c r="BO57" i="3"/>
  <c r="BN57" i="3"/>
  <c r="BM57" i="3"/>
  <c r="BL57" i="3"/>
  <c r="BK57" i="3"/>
  <c r="BJ57" i="3"/>
  <c r="BI57" i="3"/>
  <c r="BH57" i="3"/>
  <c r="BG57" i="3"/>
  <c r="BF57" i="3"/>
  <c r="BE57" i="3"/>
  <c r="BD57" i="3"/>
  <c r="BC57" i="3"/>
  <c r="BB57" i="3"/>
  <c r="BA57" i="3"/>
  <c r="AZ57" i="3"/>
  <c r="AX57" i="3"/>
  <c r="AW57" i="3"/>
  <c r="AV57" i="3"/>
  <c r="AC57" i="3"/>
  <c r="H57" i="3"/>
  <c r="G57" i="3"/>
  <c r="BT56" i="3"/>
  <c r="BS56" i="3"/>
  <c r="BR56" i="3"/>
  <c r="BQ56" i="3"/>
  <c r="BP56" i="3"/>
  <c r="BO56" i="3"/>
  <c r="BN56" i="3"/>
  <c r="BM56" i="3"/>
  <c r="BL56" i="3"/>
  <c r="BK56" i="3"/>
  <c r="BJ56" i="3"/>
  <c r="BI56" i="3"/>
  <c r="BH56" i="3"/>
  <c r="BG56" i="3"/>
  <c r="BF56" i="3"/>
  <c r="BE56" i="3"/>
  <c r="BD56" i="3"/>
  <c r="BC56" i="3"/>
  <c r="BB56" i="3"/>
  <c r="BA56" i="3"/>
  <c r="AZ56" i="3"/>
  <c r="AX56" i="3"/>
  <c r="AW56" i="3"/>
  <c r="AV56" i="3"/>
  <c r="AC56" i="3"/>
  <c r="H56" i="3"/>
  <c r="G56" i="3"/>
  <c r="BT55" i="3"/>
  <c r="BS55" i="3"/>
  <c r="BR55" i="3"/>
  <c r="BQ55" i="3"/>
  <c r="BP55" i="3"/>
  <c r="BO55" i="3"/>
  <c r="BN55" i="3"/>
  <c r="BM55" i="3"/>
  <c r="BL55" i="3"/>
  <c r="BK55" i="3"/>
  <c r="BJ55" i="3"/>
  <c r="BI55" i="3"/>
  <c r="BH55" i="3"/>
  <c r="BG55" i="3"/>
  <c r="BF55" i="3"/>
  <c r="BE55" i="3"/>
  <c r="BD55" i="3"/>
  <c r="BC55" i="3"/>
  <c r="BB55" i="3"/>
  <c r="BA55" i="3"/>
  <c r="AX55" i="3"/>
  <c r="AW55" i="3"/>
  <c r="AV55" i="3"/>
  <c r="AC55" i="3"/>
  <c r="H55" i="3"/>
  <c r="G55" i="3"/>
  <c r="BT54" i="3"/>
  <c r="BS54" i="3"/>
  <c r="BR54" i="3"/>
  <c r="BQ54" i="3"/>
  <c r="BP54" i="3"/>
  <c r="BO54" i="3"/>
  <c r="BN54" i="3"/>
  <c r="BM54" i="3"/>
  <c r="BL54" i="3"/>
  <c r="BK54" i="3"/>
  <c r="BJ54" i="3"/>
  <c r="BI54" i="3"/>
  <c r="BH54" i="3"/>
  <c r="BG54" i="3"/>
  <c r="BF54" i="3"/>
  <c r="BE54" i="3"/>
  <c r="BD54" i="3"/>
  <c r="BC54" i="3"/>
  <c r="BB54" i="3"/>
  <c r="BA54" i="3"/>
  <c r="AZ54" i="3"/>
  <c r="AX54" i="3"/>
  <c r="AW54" i="3"/>
  <c r="AV54" i="3"/>
  <c r="AC54" i="3"/>
  <c r="H54" i="3"/>
  <c r="G54" i="3"/>
  <c r="BT53" i="3"/>
  <c r="BS53" i="3"/>
  <c r="BR53" i="3"/>
  <c r="BQ53" i="3"/>
  <c r="BP53" i="3"/>
  <c r="BO53" i="3"/>
  <c r="BN53" i="3"/>
  <c r="BM53" i="3"/>
  <c r="BL53" i="3"/>
  <c r="BK53" i="3"/>
  <c r="BJ53" i="3"/>
  <c r="BI53" i="3"/>
  <c r="BH53" i="3"/>
  <c r="BG53" i="3"/>
  <c r="BF53" i="3"/>
  <c r="BE53" i="3"/>
  <c r="BD53" i="3"/>
  <c r="BC53" i="3"/>
  <c r="BB53" i="3"/>
  <c r="BA53" i="3"/>
  <c r="AX53" i="3"/>
  <c r="AW53" i="3"/>
  <c r="AV53" i="3"/>
  <c r="AC53" i="3"/>
  <c r="H53" i="3"/>
  <c r="G53" i="3"/>
  <c r="BT52" i="3"/>
  <c r="BS52" i="3"/>
  <c r="BR52" i="3"/>
  <c r="BQ52" i="3"/>
  <c r="BP52" i="3"/>
  <c r="BO52" i="3"/>
  <c r="BN52" i="3"/>
  <c r="BM52" i="3"/>
  <c r="BL52" i="3"/>
  <c r="BK52" i="3"/>
  <c r="BJ52" i="3"/>
  <c r="BI52" i="3"/>
  <c r="BH52" i="3"/>
  <c r="BG52" i="3"/>
  <c r="BF52" i="3"/>
  <c r="BE52" i="3"/>
  <c r="BD52" i="3"/>
  <c r="BC52" i="3"/>
  <c r="BB52" i="3"/>
  <c r="BA52" i="3"/>
  <c r="AZ52" i="3"/>
  <c r="AX52" i="3"/>
  <c r="AW52" i="3"/>
  <c r="AV52" i="3"/>
  <c r="AC52" i="3"/>
  <c r="H52" i="3"/>
  <c r="G52" i="3"/>
  <c r="BT51" i="3"/>
  <c r="BS51" i="3"/>
  <c r="BR51" i="3"/>
  <c r="BQ51" i="3"/>
  <c r="BP51" i="3"/>
  <c r="BO51" i="3"/>
  <c r="BN51" i="3"/>
  <c r="BM51" i="3"/>
  <c r="BL51" i="3"/>
  <c r="BK51" i="3"/>
  <c r="BJ51" i="3"/>
  <c r="BI51" i="3"/>
  <c r="BH51" i="3"/>
  <c r="BG51" i="3"/>
  <c r="BF51" i="3"/>
  <c r="BE51" i="3"/>
  <c r="BD51" i="3"/>
  <c r="BC51" i="3"/>
  <c r="BB51" i="3"/>
  <c r="BA51" i="3"/>
  <c r="AX51" i="3"/>
  <c r="AW51" i="3"/>
  <c r="AV51" i="3"/>
  <c r="AC51" i="3"/>
  <c r="H51" i="3"/>
  <c r="G51" i="3"/>
  <c r="BT50" i="3"/>
  <c r="BS50" i="3"/>
  <c r="BR50" i="3"/>
  <c r="BQ50" i="3"/>
  <c r="BP50" i="3"/>
  <c r="BO50" i="3"/>
  <c r="BN50" i="3"/>
  <c r="BM50" i="3"/>
  <c r="BL50" i="3"/>
  <c r="BK50" i="3"/>
  <c r="BJ50" i="3"/>
  <c r="BI50" i="3"/>
  <c r="BH50" i="3"/>
  <c r="BG50" i="3"/>
  <c r="BF50" i="3"/>
  <c r="BE50" i="3"/>
  <c r="BD50" i="3"/>
  <c r="BC50" i="3"/>
  <c r="BB50" i="3"/>
  <c r="BA50" i="3"/>
  <c r="AX50" i="3"/>
  <c r="AW50" i="3"/>
  <c r="AV50" i="3"/>
  <c r="AC50" i="3"/>
  <c r="H50" i="3"/>
  <c r="G50" i="3"/>
  <c r="BT49" i="3"/>
  <c r="BS49" i="3"/>
  <c r="BR49" i="3"/>
  <c r="BQ49" i="3"/>
  <c r="BP49" i="3"/>
  <c r="BO49" i="3"/>
  <c r="BN49" i="3"/>
  <c r="BM49" i="3"/>
  <c r="BL49" i="3"/>
  <c r="BK49" i="3"/>
  <c r="BJ49" i="3"/>
  <c r="BI49" i="3"/>
  <c r="BH49" i="3"/>
  <c r="BG49" i="3"/>
  <c r="BF49" i="3"/>
  <c r="BE49" i="3"/>
  <c r="BD49" i="3"/>
  <c r="BC49" i="3"/>
  <c r="BB49" i="3"/>
  <c r="BA49" i="3"/>
  <c r="AZ49" i="3"/>
  <c r="AX49" i="3"/>
  <c r="AW49" i="3"/>
  <c r="AV49" i="3"/>
  <c r="AC49" i="3"/>
  <c r="H49" i="3"/>
  <c r="G49" i="3"/>
  <c r="BT48" i="3"/>
  <c r="BS48" i="3"/>
  <c r="BR48" i="3"/>
  <c r="BQ48" i="3"/>
  <c r="BP48" i="3"/>
  <c r="BO48" i="3"/>
  <c r="BN48" i="3"/>
  <c r="BM48" i="3"/>
  <c r="BL48" i="3"/>
  <c r="BK48" i="3"/>
  <c r="BJ48" i="3"/>
  <c r="BI48" i="3"/>
  <c r="BH48" i="3"/>
  <c r="BG48" i="3"/>
  <c r="BF48" i="3"/>
  <c r="BE48" i="3"/>
  <c r="BD48" i="3"/>
  <c r="BC48" i="3"/>
  <c r="BB48" i="3"/>
  <c r="BA48" i="3"/>
  <c r="AZ48" i="3"/>
  <c r="AX48" i="3"/>
  <c r="AW48" i="3"/>
  <c r="AV48" i="3"/>
  <c r="AC48" i="3"/>
  <c r="H48" i="3"/>
  <c r="G48" i="3"/>
  <c r="BT47" i="3"/>
  <c r="BS47" i="3"/>
  <c r="BR47" i="3"/>
  <c r="BQ47" i="3"/>
  <c r="BP47" i="3"/>
  <c r="BO47" i="3"/>
  <c r="BN47" i="3"/>
  <c r="BM47" i="3"/>
  <c r="BL47" i="3"/>
  <c r="BK47" i="3"/>
  <c r="BJ47" i="3"/>
  <c r="BI47" i="3"/>
  <c r="BH47" i="3"/>
  <c r="BG47" i="3"/>
  <c r="BF47" i="3"/>
  <c r="BE47" i="3"/>
  <c r="BD47" i="3"/>
  <c r="BC47" i="3"/>
  <c r="BB47" i="3"/>
  <c r="BA47" i="3"/>
  <c r="AX47" i="3"/>
  <c r="AW47" i="3"/>
  <c r="AV47" i="3"/>
  <c r="AC47" i="3"/>
  <c r="H47" i="3"/>
  <c r="G47" i="3"/>
  <c r="BT46" i="3"/>
  <c r="BS46" i="3"/>
  <c r="BR46" i="3"/>
  <c r="BQ46" i="3"/>
  <c r="BP46" i="3"/>
  <c r="BO46" i="3"/>
  <c r="BN46" i="3"/>
  <c r="BM46" i="3"/>
  <c r="BL46" i="3"/>
  <c r="BK46" i="3"/>
  <c r="BJ46" i="3"/>
  <c r="BI46" i="3"/>
  <c r="BH46" i="3"/>
  <c r="BG46" i="3"/>
  <c r="BF46" i="3"/>
  <c r="BE46" i="3"/>
  <c r="BD46" i="3"/>
  <c r="BC46" i="3"/>
  <c r="BB46" i="3"/>
  <c r="BA46" i="3"/>
  <c r="AZ46" i="3"/>
  <c r="AX46" i="3"/>
  <c r="AW46" i="3"/>
  <c r="AV46" i="3"/>
  <c r="AC46" i="3"/>
  <c r="H46" i="3"/>
  <c r="G46" i="3"/>
  <c r="BT45" i="3"/>
  <c r="BS45" i="3"/>
  <c r="BR45" i="3"/>
  <c r="BQ45" i="3"/>
  <c r="BP45" i="3"/>
  <c r="BO45" i="3"/>
  <c r="BN45" i="3"/>
  <c r="BM45" i="3"/>
  <c r="BL45" i="3"/>
  <c r="BK45" i="3"/>
  <c r="BJ45" i="3"/>
  <c r="BI45" i="3"/>
  <c r="BH45" i="3"/>
  <c r="BG45" i="3"/>
  <c r="BF45" i="3"/>
  <c r="BE45" i="3"/>
  <c r="BD45" i="3"/>
  <c r="BC45" i="3"/>
  <c r="BB45" i="3"/>
  <c r="BA45" i="3"/>
  <c r="AX45" i="3"/>
  <c r="AW45" i="3"/>
  <c r="AV45" i="3"/>
  <c r="AC45" i="3"/>
  <c r="H45" i="3"/>
  <c r="G45" i="3"/>
  <c r="BT44" i="3"/>
  <c r="BS44" i="3"/>
  <c r="BR44" i="3"/>
  <c r="BQ44" i="3"/>
  <c r="BP44" i="3"/>
  <c r="BO44" i="3"/>
  <c r="BN44" i="3"/>
  <c r="BM44" i="3"/>
  <c r="BL44" i="3"/>
  <c r="BK44" i="3"/>
  <c r="BJ44" i="3"/>
  <c r="BI44" i="3"/>
  <c r="BH44" i="3"/>
  <c r="BG44" i="3"/>
  <c r="BF44" i="3"/>
  <c r="BE44" i="3"/>
  <c r="BD44" i="3"/>
  <c r="BC44" i="3"/>
  <c r="BB44" i="3"/>
  <c r="BA44" i="3"/>
  <c r="AZ44" i="3"/>
  <c r="AX44" i="3"/>
  <c r="AW44" i="3"/>
  <c r="AV44" i="3"/>
  <c r="AC44" i="3"/>
  <c r="H44" i="3"/>
  <c r="G44" i="3"/>
  <c r="BT43" i="3"/>
  <c r="BS43" i="3"/>
  <c r="BR43" i="3"/>
  <c r="BQ43" i="3"/>
  <c r="BP43" i="3"/>
  <c r="BO43" i="3"/>
  <c r="BN43" i="3"/>
  <c r="BM43" i="3"/>
  <c r="BL43" i="3"/>
  <c r="BK43" i="3"/>
  <c r="BJ43" i="3"/>
  <c r="BI43" i="3"/>
  <c r="BH43" i="3"/>
  <c r="BG43" i="3"/>
  <c r="BF43" i="3"/>
  <c r="BE43" i="3"/>
  <c r="BD43" i="3"/>
  <c r="BC43" i="3"/>
  <c r="BB43" i="3"/>
  <c r="BA43" i="3"/>
  <c r="AX43" i="3"/>
  <c r="AW43" i="3"/>
  <c r="AV43" i="3"/>
  <c r="AC43" i="3"/>
  <c r="H43" i="3"/>
  <c r="G43" i="3"/>
  <c r="BT42" i="3"/>
  <c r="BS42" i="3"/>
  <c r="BR42" i="3"/>
  <c r="BQ42" i="3"/>
  <c r="BP42" i="3"/>
  <c r="BO42" i="3"/>
  <c r="BN42" i="3"/>
  <c r="BM42" i="3"/>
  <c r="BL42" i="3"/>
  <c r="BK42" i="3"/>
  <c r="BJ42" i="3"/>
  <c r="BI42" i="3"/>
  <c r="BH42" i="3"/>
  <c r="BG42" i="3"/>
  <c r="BF42" i="3"/>
  <c r="BE42" i="3"/>
  <c r="BD42" i="3"/>
  <c r="BC42" i="3"/>
  <c r="BB42" i="3"/>
  <c r="BA42" i="3"/>
  <c r="AX42" i="3"/>
  <c r="AW42" i="3"/>
  <c r="AV42" i="3"/>
  <c r="AC42" i="3"/>
  <c r="H42" i="3"/>
  <c r="G42" i="3"/>
  <c r="BT41" i="3"/>
  <c r="BS41" i="3"/>
  <c r="BR41" i="3"/>
  <c r="BQ41" i="3"/>
  <c r="BP41" i="3"/>
  <c r="BO41" i="3"/>
  <c r="BN41" i="3"/>
  <c r="BM41" i="3"/>
  <c r="BL41" i="3"/>
  <c r="BK41" i="3"/>
  <c r="BJ41" i="3"/>
  <c r="BI41" i="3"/>
  <c r="BH41" i="3"/>
  <c r="BG41" i="3"/>
  <c r="BF41" i="3"/>
  <c r="BE41" i="3"/>
  <c r="BD41" i="3"/>
  <c r="BC41" i="3"/>
  <c r="BB41" i="3"/>
  <c r="BA41" i="3"/>
  <c r="AX41" i="3"/>
  <c r="AW41" i="3"/>
  <c r="AV41" i="3"/>
  <c r="AC41" i="3"/>
  <c r="H41" i="3"/>
  <c r="G41" i="3"/>
  <c r="BT40" i="3"/>
  <c r="BS40" i="3"/>
  <c r="BR40" i="3"/>
  <c r="BQ40" i="3"/>
  <c r="BP40" i="3"/>
  <c r="BO40" i="3"/>
  <c r="BN40" i="3"/>
  <c r="BM40" i="3"/>
  <c r="BL40" i="3"/>
  <c r="BK40" i="3"/>
  <c r="BJ40" i="3"/>
  <c r="BI40" i="3"/>
  <c r="BH40" i="3"/>
  <c r="BG40" i="3"/>
  <c r="BF40" i="3"/>
  <c r="BE40" i="3"/>
  <c r="BD40" i="3"/>
  <c r="BC40" i="3"/>
  <c r="BB40" i="3"/>
  <c r="BA40" i="3"/>
  <c r="AZ40" i="3"/>
  <c r="AX40" i="3"/>
  <c r="AW40" i="3"/>
  <c r="AV40" i="3"/>
  <c r="AC40" i="3"/>
  <c r="H40" i="3"/>
  <c r="G40" i="3"/>
  <c r="BT39" i="3"/>
  <c r="BS39" i="3"/>
  <c r="BR39" i="3"/>
  <c r="BQ39" i="3"/>
  <c r="BP39" i="3"/>
  <c r="BO39" i="3"/>
  <c r="BN39" i="3"/>
  <c r="BM39" i="3"/>
  <c r="BL39" i="3"/>
  <c r="BK39" i="3"/>
  <c r="BJ39" i="3"/>
  <c r="BI39" i="3"/>
  <c r="BH39" i="3"/>
  <c r="BG39" i="3"/>
  <c r="BF39" i="3"/>
  <c r="BE39" i="3"/>
  <c r="BD39" i="3"/>
  <c r="BC39" i="3"/>
  <c r="BB39" i="3"/>
  <c r="BA39" i="3"/>
  <c r="AX39" i="3"/>
  <c r="AW39" i="3"/>
  <c r="AV39" i="3"/>
  <c r="AC39" i="3"/>
  <c r="H39" i="3"/>
  <c r="G39" i="3"/>
  <c r="BT38" i="3"/>
  <c r="BS38" i="3"/>
  <c r="BR38" i="3"/>
  <c r="BQ38" i="3"/>
  <c r="BP38" i="3"/>
  <c r="BO38" i="3"/>
  <c r="BN38" i="3"/>
  <c r="BM38" i="3"/>
  <c r="BL38" i="3"/>
  <c r="BK38" i="3"/>
  <c r="BJ38" i="3"/>
  <c r="BI38" i="3"/>
  <c r="BH38" i="3"/>
  <c r="BG38" i="3"/>
  <c r="BF38" i="3"/>
  <c r="BE38" i="3"/>
  <c r="BD38" i="3"/>
  <c r="BC38" i="3"/>
  <c r="BB38" i="3"/>
  <c r="BA38" i="3"/>
  <c r="AZ38" i="3"/>
  <c r="AX38" i="3"/>
  <c r="AW38" i="3"/>
  <c r="AV38" i="3"/>
  <c r="AC38" i="3"/>
  <c r="H38" i="3"/>
  <c r="G38" i="3"/>
  <c r="BT37" i="3"/>
  <c r="BS37" i="3"/>
  <c r="BR37" i="3"/>
  <c r="BQ37" i="3"/>
  <c r="BP37" i="3"/>
  <c r="BO37" i="3"/>
  <c r="BN37" i="3"/>
  <c r="BM37" i="3"/>
  <c r="BL37" i="3"/>
  <c r="BK37" i="3"/>
  <c r="BJ37" i="3"/>
  <c r="BI37" i="3"/>
  <c r="BH37" i="3"/>
  <c r="BG37" i="3"/>
  <c r="BF37" i="3"/>
  <c r="BE37" i="3"/>
  <c r="BD37" i="3"/>
  <c r="BC37" i="3"/>
  <c r="BB37" i="3"/>
  <c r="BA37" i="3"/>
  <c r="AX37" i="3"/>
  <c r="AW37" i="3"/>
  <c r="AV37" i="3"/>
  <c r="AC37" i="3"/>
  <c r="H37" i="3"/>
  <c r="G37" i="3"/>
  <c r="BT36" i="3"/>
  <c r="BS36" i="3"/>
  <c r="BR36" i="3"/>
  <c r="BQ36" i="3"/>
  <c r="BP36" i="3"/>
  <c r="BO36" i="3"/>
  <c r="BN36" i="3"/>
  <c r="BM36" i="3"/>
  <c r="BL36" i="3"/>
  <c r="BK36" i="3"/>
  <c r="BJ36" i="3"/>
  <c r="BI36" i="3"/>
  <c r="BH36" i="3"/>
  <c r="BG36" i="3"/>
  <c r="BF36" i="3"/>
  <c r="BE36" i="3"/>
  <c r="BD36" i="3"/>
  <c r="BC36" i="3"/>
  <c r="BB36" i="3"/>
  <c r="BA36" i="3"/>
  <c r="AZ36" i="3"/>
  <c r="AX36" i="3"/>
  <c r="AW36" i="3"/>
  <c r="AV36" i="3"/>
  <c r="AC36" i="3"/>
  <c r="H36" i="3"/>
  <c r="G36" i="3"/>
  <c r="BT35" i="3"/>
  <c r="BS35" i="3"/>
  <c r="BR35" i="3"/>
  <c r="BQ35" i="3"/>
  <c r="BP35" i="3"/>
  <c r="BO35" i="3"/>
  <c r="BN35" i="3"/>
  <c r="BM35" i="3"/>
  <c r="BL35" i="3"/>
  <c r="BK35" i="3"/>
  <c r="BJ35" i="3"/>
  <c r="BI35" i="3"/>
  <c r="BH35" i="3"/>
  <c r="BG35" i="3"/>
  <c r="BF35" i="3"/>
  <c r="BE35" i="3"/>
  <c r="BD35" i="3"/>
  <c r="BC35" i="3"/>
  <c r="BB35" i="3"/>
  <c r="BA35" i="3"/>
  <c r="AX35" i="3"/>
  <c r="AW35" i="3"/>
  <c r="AV35" i="3"/>
  <c r="AC35" i="3"/>
  <c r="H35" i="3"/>
  <c r="G35" i="3"/>
  <c r="BT34" i="3"/>
  <c r="BS34" i="3"/>
  <c r="BR34" i="3"/>
  <c r="BQ34" i="3"/>
  <c r="BP34" i="3"/>
  <c r="BO34" i="3"/>
  <c r="BN34" i="3"/>
  <c r="BM34" i="3"/>
  <c r="BL34" i="3"/>
  <c r="BK34" i="3"/>
  <c r="BJ34" i="3"/>
  <c r="BI34" i="3"/>
  <c r="BH34" i="3"/>
  <c r="BG34" i="3"/>
  <c r="BF34" i="3"/>
  <c r="BE34" i="3"/>
  <c r="BD34" i="3"/>
  <c r="BC34" i="3"/>
  <c r="BB34" i="3"/>
  <c r="BA34" i="3"/>
  <c r="AZ34" i="3"/>
  <c r="AX34" i="3"/>
  <c r="AW34" i="3"/>
  <c r="AV34" i="3"/>
  <c r="AC34" i="3"/>
  <c r="H34" i="3"/>
  <c r="G34" i="3"/>
  <c r="BT33" i="3"/>
  <c r="BS33" i="3"/>
  <c r="BR33" i="3"/>
  <c r="BQ33" i="3"/>
  <c r="BP33" i="3"/>
  <c r="BO33" i="3"/>
  <c r="BN33" i="3"/>
  <c r="BM33" i="3"/>
  <c r="BL33" i="3"/>
  <c r="BK33" i="3"/>
  <c r="BJ33" i="3"/>
  <c r="BI33" i="3"/>
  <c r="BH33" i="3"/>
  <c r="BG33" i="3"/>
  <c r="BF33" i="3"/>
  <c r="BE33" i="3"/>
  <c r="BD33" i="3"/>
  <c r="BC33" i="3"/>
  <c r="BB33" i="3"/>
  <c r="BA33" i="3"/>
  <c r="AX33" i="3"/>
  <c r="AW33" i="3"/>
  <c r="AV33" i="3"/>
  <c r="AC33" i="3"/>
  <c r="H33" i="3"/>
  <c r="G33" i="3"/>
  <c r="BT32" i="3"/>
  <c r="BS32" i="3"/>
  <c r="BR32" i="3"/>
  <c r="BQ32" i="3"/>
  <c r="BP32" i="3"/>
  <c r="BO32" i="3"/>
  <c r="BN32" i="3"/>
  <c r="BM32" i="3"/>
  <c r="BL32" i="3"/>
  <c r="BK32" i="3"/>
  <c r="BJ32" i="3"/>
  <c r="BI32" i="3"/>
  <c r="BH32" i="3"/>
  <c r="BG32" i="3"/>
  <c r="BF32" i="3"/>
  <c r="BE32" i="3"/>
  <c r="BD32" i="3"/>
  <c r="BC32" i="3"/>
  <c r="BB32" i="3"/>
  <c r="BA32" i="3"/>
  <c r="AX32" i="3"/>
  <c r="AW32" i="3"/>
  <c r="AV32" i="3"/>
  <c r="AC32" i="3"/>
  <c r="H32" i="3"/>
  <c r="G32" i="3"/>
  <c r="BT31" i="3"/>
  <c r="BS31" i="3"/>
  <c r="BR31" i="3"/>
  <c r="BQ31" i="3"/>
  <c r="BP31" i="3"/>
  <c r="BO31" i="3"/>
  <c r="BN31" i="3"/>
  <c r="BM31" i="3"/>
  <c r="BL31" i="3"/>
  <c r="BK31" i="3"/>
  <c r="BJ31" i="3"/>
  <c r="BI31" i="3"/>
  <c r="BH31" i="3"/>
  <c r="BG31" i="3"/>
  <c r="BF31" i="3"/>
  <c r="BE31" i="3"/>
  <c r="BD31" i="3"/>
  <c r="BC31" i="3"/>
  <c r="BB31" i="3"/>
  <c r="BA31" i="3"/>
  <c r="AX31" i="3"/>
  <c r="AW31" i="3"/>
  <c r="AV31" i="3"/>
  <c r="AC31" i="3"/>
  <c r="H31" i="3"/>
  <c r="G31" i="3"/>
  <c r="BT30" i="3"/>
  <c r="BS30" i="3"/>
  <c r="BR30" i="3"/>
  <c r="BQ30" i="3"/>
  <c r="BP30" i="3"/>
  <c r="BO30" i="3"/>
  <c r="BN30" i="3"/>
  <c r="BM30" i="3"/>
  <c r="BL30" i="3"/>
  <c r="BK30" i="3"/>
  <c r="BJ30" i="3"/>
  <c r="BI30" i="3"/>
  <c r="BH30" i="3"/>
  <c r="BG30" i="3"/>
  <c r="BF30" i="3"/>
  <c r="BE30" i="3"/>
  <c r="BD30" i="3"/>
  <c r="BC30" i="3"/>
  <c r="BB30" i="3"/>
  <c r="BA30" i="3"/>
  <c r="AZ30" i="3"/>
  <c r="AX30" i="3"/>
  <c r="AW30" i="3"/>
  <c r="AV30" i="3"/>
  <c r="AC30" i="3"/>
  <c r="H30" i="3"/>
  <c r="G30" i="3"/>
  <c r="BT29" i="3"/>
  <c r="BS29" i="3"/>
  <c r="BR29" i="3"/>
  <c r="BQ29" i="3"/>
  <c r="BP29" i="3"/>
  <c r="BO29" i="3"/>
  <c r="BN29" i="3"/>
  <c r="BM29" i="3"/>
  <c r="BL29" i="3"/>
  <c r="BK29" i="3"/>
  <c r="BJ29" i="3"/>
  <c r="BI29" i="3"/>
  <c r="BH29" i="3"/>
  <c r="BG29" i="3"/>
  <c r="BF29" i="3"/>
  <c r="BE29" i="3"/>
  <c r="BD29" i="3"/>
  <c r="BC29" i="3"/>
  <c r="BB29" i="3"/>
  <c r="BA29" i="3"/>
  <c r="AX29" i="3"/>
  <c r="AW29" i="3"/>
  <c r="AV29" i="3"/>
  <c r="AC29" i="3"/>
  <c r="H29" i="3"/>
  <c r="G29" i="3"/>
  <c r="BT28" i="3"/>
  <c r="BS28" i="3"/>
  <c r="BR28" i="3"/>
  <c r="BQ28" i="3"/>
  <c r="BP28" i="3"/>
  <c r="BO28" i="3"/>
  <c r="BN28" i="3"/>
  <c r="BM28" i="3"/>
  <c r="BL28" i="3"/>
  <c r="BK28" i="3"/>
  <c r="BJ28" i="3"/>
  <c r="BI28" i="3"/>
  <c r="BH28" i="3"/>
  <c r="BG28" i="3"/>
  <c r="BF28" i="3"/>
  <c r="BE28" i="3"/>
  <c r="BD28" i="3"/>
  <c r="BC28" i="3"/>
  <c r="BB28" i="3"/>
  <c r="BA28" i="3"/>
  <c r="AX28" i="3"/>
  <c r="AW28" i="3"/>
  <c r="AV28" i="3"/>
  <c r="AC28" i="3"/>
  <c r="H28" i="3"/>
  <c r="G28" i="3"/>
  <c r="BT27" i="3"/>
  <c r="BS27" i="3"/>
  <c r="BR27" i="3"/>
  <c r="BQ27" i="3"/>
  <c r="BP27" i="3"/>
  <c r="BO27" i="3"/>
  <c r="BN27" i="3"/>
  <c r="BM27" i="3"/>
  <c r="BL27" i="3"/>
  <c r="BK27" i="3"/>
  <c r="BJ27" i="3"/>
  <c r="BI27" i="3"/>
  <c r="BH27" i="3"/>
  <c r="BG27" i="3"/>
  <c r="BF27" i="3"/>
  <c r="BE27" i="3"/>
  <c r="BD27" i="3"/>
  <c r="BC27" i="3"/>
  <c r="BB27" i="3"/>
  <c r="BA27" i="3"/>
  <c r="AZ27" i="3"/>
  <c r="AX27" i="3"/>
  <c r="AW27" i="3"/>
  <c r="AV27" i="3"/>
  <c r="AC27" i="3"/>
  <c r="H27" i="3"/>
  <c r="G27" i="3"/>
  <c r="BT26" i="3"/>
  <c r="BS26" i="3"/>
  <c r="BR26" i="3"/>
  <c r="BQ26" i="3"/>
  <c r="BP26" i="3"/>
  <c r="BO26" i="3"/>
  <c r="BN26" i="3"/>
  <c r="BM26" i="3"/>
  <c r="BL26" i="3"/>
  <c r="BK26" i="3"/>
  <c r="BJ26" i="3"/>
  <c r="BI26" i="3"/>
  <c r="BH26" i="3"/>
  <c r="BG26" i="3"/>
  <c r="BF26" i="3"/>
  <c r="BE26" i="3"/>
  <c r="BD26" i="3"/>
  <c r="BC26" i="3"/>
  <c r="BB26" i="3"/>
  <c r="BA26" i="3"/>
  <c r="AX26" i="3"/>
  <c r="AW26" i="3"/>
  <c r="AV26" i="3"/>
  <c r="AC26" i="3"/>
  <c r="H26" i="3"/>
  <c r="G26" i="3"/>
  <c r="BT25" i="3"/>
  <c r="BS25" i="3"/>
  <c r="BR25" i="3"/>
  <c r="BQ25" i="3"/>
  <c r="BP25" i="3"/>
  <c r="BO25" i="3"/>
  <c r="BN25" i="3"/>
  <c r="BM25" i="3"/>
  <c r="BL25" i="3"/>
  <c r="BK25" i="3"/>
  <c r="BJ25" i="3"/>
  <c r="BI25" i="3"/>
  <c r="BH25" i="3"/>
  <c r="BG25" i="3"/>
  <c r="BF25" i="3"/>
  <c r="BE25" i="3"/>
  <c r="BD25" i="3"/>
  <c r="BC25" i="3"/>
  <c r="BB25" i="3"/>
  <c r="BA25" i="3"/>
  <c r="AZ25" i="3"/>
  <c r="AX25" i="3"/>
  <c r="AW25" i="3"/>
  <c r="AV25" i="3"/>
  <c r="AC25" i="3"/>
  <c r="H25" i="3"/>
  <c r="G25" i="3"/>
  <c r="BT24" i="3"/>
  <c r="BS24" i="3"/>
  <c r="BR24" i="3"/>
  <c r="BQ24" i="3"/>
  <c r="BP24" i="3"/>
  <c r="BO24" i="3"/>
  <c r="BN24" i="3"/>
  <c r="BM24" i="3"/>
  <c r="BL24" i="3"/>
  <c r="BK24" i="3"/>
  <c r="BJ24" i="3"/>
  <c r="BI24" i="3"/>
  <c r="BH24" i="3"/>
  <c r="BG24" i="3"/>
  <c r="BF24" i="3"/>
  <c r="BE24" i="3"/>
  <c r="BD24" i="3"/>
  <c r="BC24" i="3"/>
  <c r="BB24" i="3"/>
  <c r="BA24" i="3"/>
  <c r="AX24" i="3"/>
  <c r="AW24" i="3"/>
  <c r="AV24" i="3"/>
  <c r="AC24" i="3"/>
  <c r="H24" i="3"/>
  <c r="G24" i="3"/>
  <c r="BT23" i="3"/>
  <c r="BS23" i="3"/>
  <c r="BR23" i="3"/>
  <c r="BQ23" i="3"/>
  <c r="BP23" i="3"/>
  <c r="BO23" i="3"/>
  <c r="BN23" i="3"/>
  <c r="BM23" i="3"/>
  <c r="BL23" i="3"/>
  <c r="BK23" i="3"/>
  <c r="BJ23" i="3"/>
  <c r="BI23" i="3"/>
  <c r="BH23" i="3"/>
  <c r="BG23" i="3"/>
  <c r="BF23" i="3"/>
  <c r="BE23" i="3"/>
  <c r="BD23" i="3"/>
  <c r="BC23" i="3"/>
  <c r="BB23" i="3"/>
  <c r="BA23" i="3"/>
  <c r="AZ23" i="3"/>
  <c r="AX23" i="3"/>
  <c r="AW23" i="3"/>
  <c r="AV23" i="3"/>
  <c r="AC23" i="3"/>
  <c r="H23" i="3"/>
  <c r="G23" i="3"/>
  <c r="BT22" i="3"/>
  <c r="BS22" i="3"/>
  <c r="BR22" i="3"/>
  <c r="BQ22" i="3"/>
  <c r="BP22" i="3"/>
  <c r="BO22" i="3"/>
  <c r="BN22" i="3"/>
  <c r="BM22" i="3"/>
  <c r="BL22" i="3"/>
  <c r="BK22" i="3"/>
  <c r="BJ22" i="3"/>
  <c r="BI22" i="3"/>
  <c r="BH22" i="3"/>
  <c r="BG22" i="3"/>
  <c r="BF22" i="3"/>
  <c r="BE22" i="3"/>
  <c r="BD22" i="3"/>
  <c r="BC22" i="3"/>
  <c r="BB22" i="3"/>
  <c r="BA22" i="3"/>
  <c r="AZ22" i="3"/>
  <c r="AX22" i="3"/>
  <c r="AW22" i="3"/>
  <c r="AV22" i="3"/>
  <c r="AC22" i="3"/>
  <c r="H22" i="3"/>
  <c r="G22" i="3"/>
  <c r="BT21" i="3"/>
  <c r="BS21" i="3"/>
  <c r="BR21" i="3"/>
  <c r="BQ21" i="3"/>
  <c r="BP21" i="3"/>
  <c r="BO21" i="3"/>
  <c r="BN21" i="3"/>
  <c r="BM21" i="3"/>
  <c r="BL21" i="3"/>
  <c r="BK21" i="3"/>
  <c r="BJ21" i="3"/>
  <c r="BI21" i="3"/>
  <c r="BH21" i="3"/>
  <c r="BG21" i="3"/>
  <c r="BF21" i="3"/>
  <c r="BE21" i="3"/>
  <c r="BD21" i="3"/>
  <c r="BC21" i="3"/>
  <c r="BB21" i="3"/>
  <c r="BA21" i="3"/>
  <c r="AX21" i="3"/>
  <c r="AW21" i="3"/>
  <c r="AV21" i="3"/>
  <c r="AC21" i="3"/>
  <c r="H21" i="3"/>
  <c r="G21" i="3"/>
  <c r="BT20" i="3"/>
  <c r="BS20" i="3"/>
  <c r="BR20" i="3"/>
  <c r="BQ20" i="3"/>
  <c r="BP20" i="3"/>
  <c r="BO20" i="3"/>
  <c r="BN20" i="3"/>
  <c r="BM20" i="3"/>
  <c r="BL20" i="3"/>
  <c r="BK20" i="3"/>
  <c r="BJ20" i="3"/>
  <c r="BI20" i="3"/>
  <c r="BH20" i="3"/>
  <c r="BG20" i="3"/>
  <c r="BF20" i="3"/>
  <c r="BE20" i="3"/>
  <c r="BD20" i="3"/>
  <c r="BC20" i="3"/>
  <c r="BB20" i="3"/>
  <c r="BA20" i="3"/>
  <c r="AX20" i="3"/>
  <c r="AW20" i="3"/>
  <c r="AV20" i="3"/>
  <c r="AC20" i="3"/>
  <c r="H20" i="3"/>
  <c r="G20" i="3"/>
  <c r="BT19" i="3"/>
  <c r="BS19" i="3"/>
  <c r="BR19" i="3"/>
  <c r="BQ19" i="3"/>
  <c r="BP19" i="3"/>
  <c r="BO19" i="3"/>
  <c r="BN19" i="3"/>
  <c r="BM19" i="3"/>
  <c r="BL19" i="3"/>
  <c r="BK19" i="3"/>
  <c r="BJ19" i="3"/>
  <c r="BI19" i="3"/>
  <c r="BH19" i="3"/>
  <c r="BG19" i="3"/>
  <c r="BF19" i="3"/>
  <c r="BE19" i="3"/>
  <c r="BD19" i="3"/>
  <c r="BC19" i="3"/>
  <c r="BB19" i="3"/>
  <c r="BA19" i="3"/>
  <c r="AX19" i="3"/>
  <c r="AW19" i="3"/>
  <c r="AV19" i="3"/>
  <c r="AC19" i="3"/>
  <c r="H19" i="3"/>
  <c r="G19" i="3"/>
  <c r="BT18" i="3"/>
  <c r="BS18" i="3"/>
  <c r="BR18" i="3"/>
  <c r="BQ18" i="3"/>
  <c r="BP18" i="3"/>
  <c r="BO18" i="3"/>
  <c r="BN18" i="3"/>
  <c r="BM18" i="3"/>
  <c r="BL18" i="3"/>
  <c r="BK18" i="3"/>
  <c r="BJ18" i="3"/>
  <c r="BI18" i="3"/>
  <c r="BH18" i="3"/>
  <c r="BG18" i="3"/>
  <c r="BF18" i="3"/>
  <c r="BE18" i="3"/>
  <c r="BD18" i="3"/>
  <c r="BC18" i="3"/>
  <c r="BB18" i="3"/>
  <c r="BA18" i="3"/>
  <c r="AZ18" i="3"/>
  <c r="AX18" i="3"/>
  <c r="AW18" i="3"/>
  <c r="AV18" i="3"/>
  <c r="AC18" i="3"/>
  <c r="H18" i="3"/>
  <c r="G18" i="3"/>
  <c r="BT207" i="3"/>
  <c r="BS207" i="3"/>
  <c r="BR207" i="3"/>
  <c r="BQ207" i="3"/>
  <c r="BP207" i="3"/>
  <c r="BO207" i="3"/>
  <c r="BN207" i="3"/>
  <c r="BM207" i="3"/>
  <c r="BL207" i="3"/>
  <c r="BK207" i="3"/>
  <c r="BJ207" i="3"/>
  <c r="BI207" i="3"/>
  <c r="BH207" i="3"/>
  <c r="BG207" i="3"/>
  <c r="BF207" i="3"/>
  <c r="BE207" i="3"/>
  <c r="BD207" i="3"/>
  <c r="BC207" i="3"/>
  <c r="BB207" i="3"/>
  <c r="BA207" i="3"/>
  <c r="AZ207" i="3"/>
  <c r="AX207" i="3"/>
  <c r="AW207" i="3"/>
  <c r="AV207" i="3"/>
  <c r="AC207" i="3"/>
  <c r="H207" i="3"/>
  <c r="G207" i="3"/>
  <c r="BT206" i="3"/>
  <c r="BS206" i="3"/>
  <c r="BR206" i="3"/>
  <c r="BQ206" i="3"/>
  <c r="BP206" i="3"/>
  <c r="BO206" i="3"/>
  <c r="BN206" i="3"/>
  <c r="BM206" i="3"/>
  <c r="BL206" i="3"/>
  <c r="BK206" i="3"/>
  <c r="BJ206" i="3"/>
  <c r="BI206" i="3"/>
  <c r="BH206" i="3"/>
  <c r="BG206" i="3"/>
  <c r="BF206" i="3"/>
  <c r="BE206" i="3"/>
  <c r="BD206" i="3"/>
  <c r="BC206" i="3"/>
  <c r="BB206" i="3"/>
  <c r="BA206" i="3"/>
  <c r="AX206" i="3"/>
  <c r="AW206" i="3"/>
  <c r="AV206" i="3"/>
  <c r="AC206" i="3"/>
  <c r="H206" i="3"/>
  <c r="G206" i="3"/>
  <c r="BT205" i="3"/>
  <c r="BS205" i="3"/>
  <c r="BR205" i="3"/>
  <c r="BQ205" i="3"/>
  <c r="BP205" i="3"/>
  <c r="BO205" i="3"/>
  <c r="BN205" i="3"/>
  <c r="BM205" i="3"/>
  <c r="BL205" i="3"/>
  <c r="BK205" i="3"/>
  <c r="BJ205" i="3"/>
  <c r="BI205" i="3"/>
  <c r="BH205" i="3"/>
  <c r="BG205" i="3"/>
  <c r="BF205" i="3"/>
  <c r="BE205" i="3"/>
  <c r="BD205" i="3"/>
  <c r="BC205" i="3"/>
  <c r="BB205" i="3"/>
  <c r="BA205" i="3"/>
  <c r="AZ205" i="3"/>
  <c r="AX205" i="3"/>
  <c r="AW205" i="3"/>
  <c r="AV205" i="3"/>
  <c r="AC205" i="3"/>
  <c r="H205" i="3"/>
  <c r="G205" i="3"/>
  <c r="BT204" i="3"/>
  <c r="BS204" i="3"/>
  <c r="BR204" i="3"/>
  <c r="BQ204" i="3"/>
  <c r="BP204" i="3"/>
  <c r="BO204" i="3"/>
  <c r="BN204" i="3"/>
  <c r="BM204" i="3"/>
  <c r="BK204" i="3"/>
  <c r="BJ204" i="3"/>
  <c r="BI204" i="3"/>
  <c r="BH204" i="3"/>
  <c r="BG204" i="3"/>
  <c r="BF204" i="3"/>
  <c r="BE204" i="3"/>
  <c r="BD204" i="3"/>
  <c r="BC204" i="3"/>
  <c r="BB204" i="3"/>
  <c r="BA204" i="3"/>
  <c r="AX204" i="3"/>
  <c r="AW204" i="3"/>
  <c r="AV204" i="3"/>
  <c r="AC204" i="3"/>
  <c r="H204" i="3"/>
  <c r="G204" i="3"/>
  <c r="BT203" i="3"/>
  <c r="BS203" i="3"/>
  <c r="BR203" i="3"/>
  <c r="BQ203" i="3"/>
  <c r="BP203" i="3"/>
  <c r="BO203" i="3"/>
  <c r="BN203" i="3"/>
  <c r="BM203" i="3"/>
  <c r="BL203" i="3"/>
  <c r="BK203" i="3"/>
  <c r="BJ203" i="3"/>
  <c r="BI203" i="3"/>
  <c r="BH203" i="3"/>
  <c r="BG203" i="3"/>
  <c r="BF203" i="3"/>
  <c r="BE203" i="3"/>
  <c r="BD203" i="3"/>
  <c r="BC203" i="3"/>
  <c r="BB203" i="3"/>
  <c r="AX203" i="3"/>
  <c r="AW203" i="3"/>
  <c r="AV203" i="3"/>
  <c r="AC203" i="3"/>
  <c r="H203" i="3"/>
  <c r="G203" i="3"/>
  <c r="BT202" i="3"/>
  <c r="BS202" i="3"/>
  <c r="BR202" i="3"/>
  <c r="BQ202" i="3"/>
  <c r="BP202" i="3"/>
  <c r="BO202" i="3"/>
  <c r="BN202" i="3"/>
  <c r="BM202" i="3"/>
  <c r="BL202" i="3"/>
  <c r="BK202" i="3"/>
  <c r="BJ202" i="3"/>
  <c r="BI202" i="3"/>
  <c r="BH202" i="3"/>
  <c r="BG202" i="3"/>
  <c r="BF202" i="3"/>
  <c r="BE202" i="3"/>
  <c r="BD202" i="3"/>
  <c r="BC202" i="3"/>
  <c r="BB202" i="3"/>
  <c r="BA202" i="3"/>
  <c r="AX202" i="3"/>
  <c r="AW202" i="3"/>
  <c r="AV202" i="3"/>
  <c r="AC202" i="3"/>
  <c r="H202" i="3"/>
  <c r="G202" i="3"/>
  <c r="BT201" i="3"/>
  <c r="BS201" i="3"/>
  <c r="BR201" i="3"/>
  <c r="BQ201" i="3"/>
  <c r="BP201" i="3"/>
  <c r="BO201" i="3"/>
  <c r="BN201" i="3"/>
  <c r="BM201" i="3"/>
  <c r="BL201" i="3"/>
  <c r="BK201" i="3"/>
  <c r="BJ201" i="3"/>
  <c r="BI201" i="3"/>
  <c r="BH201" i="3"/>
  <c r="BG201" i="3"/>
  <c r="BF201" i="3"/>
  <c r="BE201" i="3"/>
  <c r="BD201" i="3"/>
  <c r="BC201" i="3"/>
  <c r="BB201" i="3"/>
  <c r="BA201" i="3"/>
  <c r="AZ201" i="3"/>
  <c r="AX201" i="3"/>
  <c r="AW201" i="3"/>
  <c r="AV201" i="3"/>
  <c r="AC201" i="3"/>
  <c r="H201" i="3"/>
  <c r="BT200" i="3"/>
  <c r="BS200" i="3"/>
  <c r="BR200" i="3"/>
  <c r="BQ200" i="3"/>
  <c r="BP200" i="3"/>
  <c r="BO200" i="3"/>
  <c r="BN200" i="3"/>
  <c r="BM200" i="3"/>
  <c r="BK200" i="3"/>
  <c r="BJ200" i="3"/>
  <c r="BI200" i="3"/>
  <c r="BH200" i="3"/>
  <c r="BG200" i="3"/>
  <c r="BF200" i="3"/>
  <c r="BE200" i="3"/>
  <c r="BD200" i="3"/>
  <c r="BC200" i="3"/>
  <c r="BB200" i="3"/>
  <c r="BA200" i="3"/>
  <c r="AX200" i="3"/>
  <c r="AW200" i="3"/>
  <c r="AV200" i="3"/>
  <c r="AC200" i="3"/>
  <c r="H200" i="3"/>
  <c r="G200" i="3"/>
  <c r="BT199" i="3"/>
  <c r="BS199" i="3"/>
  <c r="BR199" i="3"/>
  <c r="BQ199" i="3"/>
  <c r="BP199" i="3"/>
  <c r="BO199" i="3"/>
  <c r="BN199" i="3"/>
  <c r="BM199" i="3"/>
  <c r="BL199" i="3"/>
  <c r="BK199" i="3"/>
  <c r="BJ199" i="3"/>
  <c r="BI199" i="3"/>
  <c r="BH199" i="3"/>
  <c r="BG199" i="3"/>
  <c r="BF199" i="3"/>
  <c r="BE199" i="3"/>
  <c r="BD199" i="3"/>
  <c r="BC199" i="3"/>
  <c r="BB199" i="3"/>
  <c r="AX199" i="3"/>
  <c r="AW199" i="3"/>
  <c r="AV199" i="3"/>
  <c r="AC199" i="3"/>
  <c r="H199" i="3"/>
  <c r="G199" i="3"/>
  <c r="BT198" i="3"/>
  <c r="BS198" i="3"/>
  <c r="BR198" i="3"/>
  <c r="BQ198" i="3"/>
  <c r="BP198" i="3"/>
  <c r="BO198" i="3"/>
  <c r="BN198" i="3"/>
  <c r="BM198" i="3"/>
  <c r="BL198" i="3"/>
  <c r="BK198" i="3"/>
  <c r="BJ198" i="3"/>
  <c r="BI198" i="3"/>
  <c r="BH198" i="3"/>
  <c r="BG198" i="3"/>
  <c r="BF198" i="3"/>
  <c r="BE198" i="3"/>
  <c r="BD198" i="3"/>
  <c r="BC198" i="3"/>
  <c r="BB198" i="3"/>
  <c r="BA198" i="3"/>
  <c r="AX198" i="3"/>
  <c r="AW198" i="3"/>
  <c r="AV198" i="3"/>
  <c r="AC198" i="3"/>
  <c r="H198" i="3"/>
  <c r="G198" i="3"/>
  <c r="BT197" i="3"/>
  <c r="BS197" i="3"/>
  <c r="BR197" i="3"/>
  <c r="BQ197" i="3"/>
  <c r="BP197" i="3"/>
  <c r="BO197" i="3"/>
  <c r="BN197" i="3"/>
  <c r="BM197" i="3"/>
  <c r="BL197" i="3"/>
  <c r="BK197" i="3"/>
  <c r="BJ197" i="3"/>
  <c r="BI197" i="3"/>
  <c r="BH197" i="3"/>
  <c r="BG197" i="3"/>
  <c r="BF197" i="3"/>
  <c r="BE197" i="3"/>
  <c r="BD197" i="3"/>
  <c r="BC197" i="3"/>
  <c r="BB197" i="3"/>
  <c r="BA197" i="3"/>
  <c r="AX197" i="3"/>
  <c r="AW197" i="3"/>
  <c r="AV197" i="3"/>
  <c r="AC197" i="3"/>
  <c r="H197" i="3"/>
  <c r="BT196" i="3"/>
  <c r="BS196" i="3"/>
  <c r="BR196" i="3"/>
  <c r="BQ196" i="3"/>
  <c r="BP196" i="3"/>
  <c r="BO196" i="3"/>
  <c r="BN196" i="3"/>
  <c r="BM196" i="3"/>
  <c r="BK196" i="3"/>
  <c r="BJ196" i="3"/>
  <c r="BI196" i="3"/>
  <c r="BH196" i="3"/>
  <c r="BG196" i="3"/>
  <c r="BF196" i="3"/>
  <c r="BE196" i="3"/>
  <c r="BD196" i="3"/>
  <c r="BC196" i="3"/>
  <c r="BB196" i="3"/>
  <c r="BA196" i="3"/>
  <c r="AX196" i="3"/>
  <c r="AW196" i="3"/>
  <c r="AV196" i="3"/>
  <c r="AC196" i="3"/>
  <c r="H196" i="3"/>
  <c r="G196" i="3"/>
  <c r="BT195" i="3"/>
  <c r="BS195" i="3"/>
  <c r="BR195" i="3"/>
  <c r="BQ195" i="3"/>
  <c r="BP195" i="3"/>
  <c r="BO195" i="3"/>
  <c r="BN195" i="3"/>
  <c r="BM195" i="3"/>
  <c r="BL195" i="3"/>
  <c r="BK195" i="3"/>
  <c r="BJ195" i="3"/>
  <c r="BI195" i="3"/>
  <c r="BH195" i="3"/>
  <c r="BG195" i="3"/>
  <c r="BF195" i="3"/>
  <c r="BE195" i="3"/>
  <c r="BD195" i="3"/>
  <c r="BC195" i="3"/>
  <c r="BB195" i="3"/>
  <c r="AX195" i="3"/>
  <c r="AW195" i="3"/>
  <c r="AV195" i="3"/>
  <c r="AC195" i="3"/>
  <c r="H195" i="3"/>
  <c r="G195" i="3"/>
  <c r="BT194" i="3"/>
  <c r="BS194" i="3"/>
  <c r="BR194" i="3"/>
  <c r="BQ194" i="3"/>
  <c r="BP194" i="3"/>
  <c r="BO194" i="3"/>
  <c r="BN194" i="3"/>
  <c r="BM194" i="3"/>
  <c r="BL194" i="3"/>
  <c r="BK194" i="3"/>
  <c r="BJ194" i="3"/>
  <c r="BI194" i="3"/>
  <c r="BH194" i="3"/>
  <c r="BG194" i="3"/>
  <c r="BF194" i="3"/>
  <c r="BE194" i="3"/>
  <c r="BD194" i="3"/>
  <c r="BC194" i="3"/>
  <c r="BB194" i="3"/>
  <c r="BA194" i="3"/>
  <c r="AX194" i="3"/>
  <c r="AW194" i="3"/>
  <c r="AV194" i="3"/>
  <c r="AC194" i="3"/>
  <c r="H194" i="3"/>
  <c r="G194" i="3"/>
  <c r="BT193" i="3"/>
  <c r="BS193" i="3"/>
  <c r="BR193" i="3"/>
  <c r="BQ193" i="3"/>
  <c r="BP193" i="3"/>
  <c r="BO193" i="3"/>
  <c r="BN193" i="3"/>
  <c r="BM193" i="3"/>
  <c r="BL193" i="3"/>
  <c r="BK193" i="3"/>
  <c r="BJ193" i="3"/>
  <c r="BI193" i="3"/>
  <c r="BH193" i="3"/>
  <c r="BG193" i="3"/>
  <c r="BF193" i="3"/>
  <c r="BE193" i="3"/>
  <c r="BD193" i="3"/>
  <c r="BC193" i="3"/>
  <c r="BB193" i="3"/>
  <c r="BA193" i="3"/>
  <c r="AZ193" i="3"/>
  <c r="AX193" i="3"/>
  <c r="AW193" i="3"/>
  <c r="AV193" i="3"/>
  <c r="AC193" i="3"/>
  <c r="H193" i="3"/>
  <c r="BT192" i="3"/>
  <c r="BS192" i="3"/>
  <c r="BR192" i="3"/>
  <c r="BQ192" i="3"/>
  <c r="BP192" i="3"/>
  <c r="BO192" i="3"/>
  <c r="BN192" i="3"/>
  <c r="BM192" i="3"/>
  <c r="BK192" i="3"/>
  <c r="BJ192" i="3"/>
  <c r="BI192" i="3"/>
  <c r="BH192" i="3"/>
  <c r="BG192" i="3"/>
  <c r="BF192" i="3"/>
  <c r="BE192" i="3"/>
  <c r="BD192" i="3"/>
  <c r="BC192" i="3"/>
  <c r="BB192" i="3"/>
  <c r="BA192" i="3"/>
  <c r="AX192" i="3"/>
  <c r="AW192" i="3"/>
  <c r="AV192" i="3"/>
  <c r="AC192" i="3"/>
  <c r="H192" i="3"/>
  <c r="G192" i="3"/>
  <c r="BT191" i="3"/>
  <c r="BS191" i="3"/>
  <c r="BR191" i="3"/>
  <c r="BQ191" i="3"/>
  <c r="BP191" i="3"/>
  <c r="BO191" i="3"/>
  <c r="BN191" i="3"/>
  <c r="BM191" i="3"/>
  <c r="BL191" i="3"/>
  <c r="BK191" i="3"/>
  <c r="BJ191" i="3"/>
  <c r="BI191" i="3"/>
  <c r="BH191" i="3"/>
  <c r="BG191" i="3"/>
  <c r="BF191" i="3"/>
  <c r="BE191" i="3"/>
  <c r="BD191" i="3"/>
  <c r="BC191" i="3"/>
  <c r="BB191" i="3"/>
  <c r="AX191" i="3"/>
  <c r="AW191" i="3"/>
  <c r="AV191" i="3"/>
  <c r="AC191" i="3"/>
  <c r="H191" i="3"/>
  <c r="G191" i="3"/>
  <c r="BT190" i="3"/>
  <c r="BS190" i="3"/>
  <c r="BR190" i="3"/>
  <c r="BQ190" i="3"/>
  <c r="BP190" i="3"/>
  <c r="BO190" i="3"/>
  <c r="BN190" i="3"/>
  <c r="BM190" i="3"/>
  <c r="BL190" i="3"/>
  <c r="BK190" i="3"/>
  <c r="BJ190" i="3"/>
  <c r="BI190" i="3"/>
  <c r="BH190" i="3"/>
  <c r="BG190" i="3"/>
  <c r="BF190" i="3"/>
  <c r="BE190" i="3"/>
  <c r="BD190" i="3"/>
  <c r="BC190" i="3"/>
  <c r="BB190" i="3"/>
  <c r="BA190" i="3"/>
  <c r="AX190" i="3"/>
  <c r="AW190" i="3"/>
  <c r="AV190" i="3"/>
  <c r="AC190" i="3"/>
  <c r="H190" i="3"/>
  <c r="G190" i="3"/>
  <c r="BT189" i="3"/>
  <c r="BS189" i="3"/>
  <c r="BR189" i="3"/>
  <c r="BQ189" i="3"/>
  <c r="BP189" i="3"/>
  <c r="BO189" i="3"/>
  <c r="BN189" i="3"/>
  <c r="BM189" i="3"/>
  <c r="BL189" i="3"/>
  <c r="BK189" i="3"/>
  <c r="BJ189" i="3"/>
  <c r="BI189" i="3"/>
  <c r="BH189" i="3"/>
  <c r="BG189" i="3"/>
  <c r="BF189" i="3"/>
  <c r="BE189" i="3"/>
  <c r="BD189" i="3"/>
  <c r="BC189" i="3"/>
  <c r="BB189" i="3"/>
  <c r="BA189" i="3"/>
  <c r="AX189" i="3"/>
  <c r="AW189" i="3"/>
  <c r="AV189" i="3"/>
  <c r="AC189" i="3"/>
  <c r="H189" i="3"/>
  <c r="BT188" i="3"/>
  <c r="BS188" i="3"/>
  <c r="BR188" i="3"/>
  <c r="BQ188" i="3"/>
  <c r="BP188" i="3"/>
  <c r="BO188" i="3"/>
  <c r="BN188" i="3"/>
  <c r="BM188" i="3"/>
  <c r="BK188" i="3"/>
  <c r="BJ188" i="3"/>
  <c r="BI188" i="3"/>
  <c r="BH188" i="3"/>
  <c r="BG188" i="3"/>
  <c r="BF188" i="3"/>
  <c r="BE188" i="3"/>
  <c r="BD188" i="3"/>
  <c r="BC188" i="3"/>
  <c r="BB188" i="3"/>
  <c r="BA188" i="3"/>
  <c r="AX188" i="3"/>
  <c r="AW188" i="3"/>
  <c r="AV188" i="3"/>
  <c r="AC188" i="3"/>
  <c r="H188" i="3"/>
  <c r="G188" i="3"/>
  <c r="BT187" i="3"/>
  <c r="BS187" i="3"/>
  <c r="BR187" i="3"/>
  <c r="BQ187" i="3"/>
  <c r="BP187" i="3"/>
  <c r="BO187" i="3"/>
  <c r="BN187" i="3"/>
  <c r="BM187" i="3"/>
  <c r="BL187" i="3"/>
  <c r="BK187" i="3"/>
  <c r="BJ187" i="3"/>
  <c r="BI187" i="3"/>
  <c r="BH187" i="3"/>
  <c r="BG187" i="3"/>
  <c r="BF187" i="3"/>
  <c r="BE187" i="3"/>
  <c r="BD187" i="3"/>
  <c r="BC187" i="3"/>
  <c r="BB187" i="3"/>
  <c r="AX187" i="3"/>
  <c r="AW187" i="3"/>
  <c r="AV187" i="3"/>
  <c r="AC187" i="3"/>
  <c r="H187" i="3"/>
  <c r="G187" i="3"/>
  <c r="BT186" i="3"/>
  <c r="BS186" i="3"/>
  <c r="BR186" i="3"/>
  <c r="BQ186" i="3"/>
  <c r="BP186" i="3"/>
  <c r="BO186" i="3"/>
  <c r="BN186" i="3"/>
  <c r="BM186" i="3"/>
  <c r="BL186" i="3"/>
  <c r="BK186" i="3"/>
  <c r="BJ186" i="3"/>
  <c r="BI186" i="3"/>
  <c r="BH186" i="3"/>
  <c r="BG186" i="3"/>
  <c r="BF186" i="3"/>
  <c r="BE186" i="3"/>
  <c r="BD186" i="3"/>
  <c r="BC186" i="3"/>
  <c r="BB186" i="3"/>
  <c r="BA186" i="3"/>
  <c r="AX186" i="3"/>
  <c r="AW186" i="3"/>
  <c r="AV186" i="3"/>
  <c r="AC186" i="3"/>
  <c r="H186" i="3"/>
  <c r="G186" i="3"/>
  <c r="BT185" i="3"/>
  <c r="BS185" i="3"/>
  <c r="BR185" i="3"/>
  <c r="BQ185" i="3"/>
  <c r="BP185" i="3"/>
  <c r="BO185" i="3"/>
  <c r="BN185" i="3"/>
  <c r="BM185" i="3"/>
  <c r="BL185" i="3"/>
  <c r="BK185" i="3"/>
  <c r="BJ185" i="3"/>
  <c r="BI185" i="3"/>
  <c r="BH185" i="3"/>
  <c r="BG185" i="3"/>
  <c r="BF185" i="3"/>
  <c r="BE185" i="3"/>
  <c r="BD185" i="3"/>
  <c r="BC185" i="3"/>
  <c r="BB185" i="3"/>
  <c r="BA185" i="3"/>
  <c r="AZ185" i="3"/>
  <c r="AX185" i="3"/>
  <c r="AW185" i="3"/>
  <c r="AV185" i="3"/>
  <c r="AC185" i="3"/>
  <c r="H185" i="3"/>
  <c r="BT184" i="3"/>
  <c r="BS184" i="3"/>
  <c r="BR184" i="3"/>
  <c r="BQ184" i="3"/>
  <c r="BP184" i="3"/>
  <c r="BO184" i="3"/>
  <c r="BN184" i="3"/>
  <c r="BM184" i="3"/>
  <c r="BK184" i="3"/>
  <c r="BJ184" i="3"/>
  <c r="BI184" i="3"/>
  <c r="BH184" i="3"/>
  <c r="BG184" i="3"/>
  <c r="BF184" i="3"/>
  <c r="BE184" i="3"/>
  <c r="BD184" i="3"/>
  <c r="BC184" i="3"/>
  <c r="BB184" i="3"/>
  <c r="BA184" i="3"/>
  <c r="AX184" i="3"/>
  <c r="AW184" i="3"/>
  <c r="AV184" i="3"/>
  <c r="AC184" i="3"/>
  <c r="H184" i="3"/>
  <c r="G184" i="3"/>
  <c r="BT183" i="3"/>
  <c r="BS183" i="3"/>
  <c r="BR183" i="3"/>
  <c r="BQ183" i="3"/>
  <c r="BP183" i="3"/>
  <c r="BO183" i="3"/>
  <c r="BN183" i="3"/>
  <c r="BM183" i="3"/>
  <c r="BL183" i="3"/>
  <c r="BK183" i="3"/>
  <c r="BJ183" i="3"/>
  <c r="BI183" i="3"/>
  <c r="BH183" i="3"/>
  <c r="BG183" i="3"/>
  <c r="BF183" i="3"/>
  <c r="BE183" i="3"/>
  <c r="BD183" i="3"/>
  <c r="BC183" i="3"/>
  <c r="BB183" i="3"/>
  <c r="AX183" i="3"/>
  <c r="AW183" i="3"/>
  <c r="AV183" i="3"/>
  <c r="AC183" i="3"/>
  <c r="H183" i="3"/>
  <c r="G183" i="3"/>
  <c r="BT182" i="3"/>
  <c r="BS182" i="3"/>
  <c r="BR182" i="3"/>
  <c r="BQ182" i="3"/>
  <c r="BP182" i="3"/>
  <c r="BO182" i="3"/>
  <c r="BN182" i="3"/>
  <c r="BM182" i="3"/>
  <c r="BL182" i="3"/>
  <c r="BK182" i="3"/>
  <c r="BJ182" i="3"/>
  <c r="BI182" i="3"/>
  <c r="BH182" i="3"/>
  <c r="BG182" i="3"/>
  <c r="BF182" i="3"/>
  <c r="BE182" i="3"/>
  <c r="BD182" i="3"/>
  <c r="BC182" i="3"/>
  <c r="BB182" i="3"/>
  <c r="BA182" i="3"/>
  <c r="AX182" i="3"/>
  <c r="AW182" i="3"/>
  <c r="AV182" i="3"/>
  <c r="AC182" i="3"/>
  <c r="H182" i="3"/>
  <c r="G182" i="3"/>
  <c r="BT181" i="3"/>
  <c r="BS181" i="3"/>
  <c r="BR181" i="3"/>
  <c r="BQ181" i="3"/>
  <c r="BP181" i="3"/>
  <c r="BO181" i="3"/>
  <c r="BN181" i="3"/>
  <c r="BM181" i="3"/>
  <c r="BL181" i="3"/>
  <c r="BK181" i="3"/>
  <c r="BJ181" i="3"/>
  <c r="BI181" i="3"/>
  <c r="BH181" i="3"/>
  <c r="BG181" i="3"/>
  <c r="BF181" i="3"/>
  <c r="BE181" i="3"/>
  <c r="BD181" i="3"/>
  <c r="BC181" i="3"/>
  <c r="BB181" i="3"/>
  <c r="BA181" i="3"/>
  <c r="AX181" i="3"/>
  <c r="AW181" i="3"/>
  <c r="AV181" i="3"/>
  <c r="AC181" i="3"/>
  <c r="H181" i="3"/>
  <c r="BT180" i="3"/>
  <c r="BS180" i="3"/>
  <c r="BR180" i="3"/>
  <c r="BQ180" i="3"/>
  <c r="BP180" i="3"/>
  <c r="BO180" i="3"/>
  <c r="BN180" i="3"/>
  <c r="BM180" i="3"/>
  <c r="BK180" i="3"/>
  <c r="BJ180" i="3"/>
  <c r="BI180" i="3"/>
  <c r="BH180" i="3"/>
  <c r="BG180" i="3"/>
  <c r="BF180" i="3"/>
  <c r="BE180" i="3"/>
  <c r="BD180" i="3"/>
  <c r="BC180" i="3"/>
  <c r="BB180" i="3"/>
  <c r="BA180" i="3"/>
  <c r="AX180" i="3"/>
  <c r="AW180" i="3"/>
  <c r="AV180" i="3"/>
  <c r="AC180" i="3"/>
  <c r="H180" i="3"/>
  <c r="G180" i="3"/>
  <c r="BT179" i="3"/>
  <c r="BS179" i="3"/>
  <c r="BR179" i="3"/>
  <c r="BQ179" i="3"/>
  <c r="BP179" i="3"/>
  <c r="BO179" i="3"/>
  <c r="BN179" i="3"/>
  <c r="BM179" i="3"/>
  <c r="BL179" i="3"/>
  <c r="BK179" i="3"/>
  <c r="BJ179" i="3"/>
  <c r="BI179" i="3"/>
  <c r="BH179" i="3"/>
  <c r="BG179" i="3"/>
  <c r="BF179" i="3"/>
  <c r="BE179" i="3"/>
  <c r="BD179" i="3"/>
  <c r="BC179" i="3"/>
  <c r="BB179" i="3"/>
  <c r="AX179" i="3"/>
  <c r="AW179" i="3"/>
  <c r="AV179" i="3"/>
  <c r="AC179" i="3"/>
  <c r="H179" i="3"/>
  <c r="G179" i="3"/>
  <c r="BT178" i="3"/>
  <c r="BS178" i="3"/>
  <c r="BR178" i="3"/>
  <c r="BQ178" i="3"/>
  <c r="BP178" i="3"/>
  <c r="BO178" i="3"/>
  <c r="BN178" i="3"/>
  <c r="BM178" i="3"/>
  <c r="BL178" i="3"/>
  <c r="BK178" i="3"/>
  <c r="BJ178" i="3"/>
  <c r="BI178" i="3"/>
  <c r="BH178" i="3"/>
  <c r="BG178" i="3"/>
  <c r="BF178" i="3"/>
  <c r="BE178" i="3"/>
  <c r="BD178" i="3"/>
  <c r="BC178" i="3"/>
  <c r="BB178" i="3"/>
  <c r="BA178" i="3"/>
  <c r="AX178" i="3"/>
  <c r="AW178" i="3"/>
  <c r="AV178" i="3"/>
  <c r="AC178" i="3"/>
  <c r="H178" i="3"/>
  <c r="G178" i="3"/>
  <c r="BT177" i="3"/>
  <c r="BS177" i="3"/>
  <c r="BR177" i="3"/>
  <c r="BQ177" i="3"/>
  <c r="BP177" i="3"/>
  <c r="BO177" i="3"/>
  <c r="BN177" i="3"/>
  <c r="BM177" i="3"/>
  <c r="BL177" i="3"/>
  <c r="BK177" i="3"/>
  <c r="BJ177" i="3"/>
  <c r="BI177" i="3"/>
  <c r="BH177" i="3"/>
  <c r="BG177" i="3"/>
  <c r="BF177" i="3"/>
  <c r="BE177" i="3"/>
  <c r="BD177" i="3"/>
  <c r="BC177" i="3"/>
  <c r="BB177" i="3"/>
  <c r="BA177" i="3"/>
  <c r="AZ177" i="3"/>
  <c r="AX177" i="3"/>
  <c r="AW177" i="3"/>
  <c r="AV177" i="3"/>
  <c r="AC177" i="3"/>
  <c r="H177" i="3"/>
  <c r="BT176" i="3"/>
  <c r="BS176" i="3"/>
  <c r="BR176" i="3"/>
  <c r="BQ176" i="3"/>
  <c r="BP176" i="3"/>
  <c r="BO176" i="3"/>
  <c r="BN176" i="3"/>
  <c r="BM176" i="3"/>
  <c r="BK176" i="3"/>
  <c r="BJ176" i="3"/>
  <c r="BI176" i="3"/>
  <c r="BH176" i="3"/>
  <c r="BG176" i="3"/>
  <c r="BF176" i="3"/>
  <c r="BE176" i="3"/>
  <c r="BD176" i="3"/>
  <c r="BC176" i="3"/>
  <c r="BB176" i="3"/>
  <c r="BA176" i="3"/>
  <c r="AX176" i="3"/>
  <c r="AW176" i="3"/>
  <c r="AV176" i="3"/>
  <c r="AC176" i="3"/>
  <c r="H176" i="3"/>
  <c r="G176" i="3"/>
  <c r="BT175" i="3"/>
  <c r="BS175" i="3"/>
  <c r="BR175" i="3"/>
  <c r="BQ175" i="3"/>
  <c r="BP175" i="3"/>
  <c r="BO175" i="3"/>
  <c r="BN175" i="3"/>
  <c r="BM175" i="3"/>
  <c r="BL175" i="3"/>
  <c r="BK175" i="3"/>
  <c r="BJ175" i="3"/>
  <c r="BI175" i="3"/>
  <c r="BH175" i="3"/>
  <c r="BG175" i="3"/>
  <c r="BF175" i="3"/>
  <c r="BE175" i="3"/>
  <c r="BD175" i="3"/>
  <c r="BC175" i="3"/>
  <c r="BB175" i="3"/>
  <c r="AX175" i="3"/>
  <c r="AW175" i="3"/>
  <c r="AV175" i="3"/>
  <c r="AC175" i="3"/>
  <c r="H175" i="3"/>
  <c r="G175" i="3"/>
  <c r="BT174" i="3"/>
  <c r="BS174" i="3"/>
  <c r="BR174" i="3"/>
  <c r="BQ174" i="3"/>
  <c r="BP174" i="3"/>
  <c r="BO174" i="3"/>
  <c r="BN174" i="3"/>
  <c r="BM174" i="3"/>
  <c r="BL174" i="3"/>
  <c r="BK174" i="3"/>
  <c r="BJ174" i="3"/>
  <c r="BI174" i="3"/>
  <c r="BH174" i="3"/>
  <c r="BG174" i="3"/>
  <c r="BF174" i="3"/>
  <c r="BE174" i="3"/>
  <c r="BD174" i="3"/>
  <c r="BC174" i="3"/>
  <c r="BB174" i="3"/>
  <c r="BA174" i="3"/>
  <c r="AX174" i="3"/>
  <c r="AW174" i="3"/>
  <c r="AV174" i="3"/>
  <c r="AC174" i="3"/>
  <c r="H174" i="3"/>
  <c r="G174" i="3"/>
  <c r="BT173" i="3"/>
  <c r="BS173" i="3"/>
  <c r="BR173" i="3"/>
  <c r="BQ173" i="3"/>
  <c r="BP173" i="3"/>
  <c r="BO173" i="3"/>
  <c r="BN173" i="3"/>
  <c r="BM173" i="3"/>
  <c r="BL173" i="3"/>
  <c r="BK173" i="3"/>
  <c r="BJ173" i="3"/>
  <c r="BI173" i="3"/>
  <c r="BH173" i="3"/>
  <c r="BG173" i="3"/>
  <c r="BF173" i="3"/>
  <c r="BE173" i="3"/>
  <c r="BD173" i="3"/>
  <c r="BC173" i="3"/>
  <c r="BB173" i="3"/>
  <c r="BA173" i="3"/>
  <c r="AX173" i="3"/>
  <c r="AW173" i="3"/>
  <c r="AV173" i="3"/>
  <c r="AC173" i="3"/>
  <c r="H173" i="3"/>
  <c r="BT172" i="3"/>
  <c r="BS172" i="3"/>
  <c r="BR172" i="3"/>
  <c r="BQ172" i="3"/>
  <c r="BP172" i="3"/>
  <c r="BO172" i="3"/>
  <c r="BN172" i="3"/>
  <c r="BM172" i="3"/>
  <c r="BK172" i="3"/>
  <c r="BJ172" i="3"/>
  <c r="BI172" i="3"/>
  <c r="BH172" i="3"/>
  <c r="BG172" i="3"/>
  <c r="BF172" i="3"/>
  <c r="BE172" i="3"/>
  <c r="BD172" i="3"/>
  <c r="BC172" i="3"/>
  <c r="BB172" i="3"/>
  <c r="BA172" i="3"/>
  <c r="AX172" i="3"/>
  <c r="AW172" i="3"/>
  <c r="AV172" i="3"/>
  <c r="AC172" i="3"/>
  <c r="H172" i="3"/>
  <c r="G172" i="3"/>
  <c r="BT171" i="3"/>
  <c r="BS171" i="3"/>
  <c r="BR171" i="3"/>
  <c r="BQ171" i="3"/>
  <c r="BP171" i="3"/>
  <c r="BO171" i="3"/>
  <c r="BN171" i="3"/>
  <c r="BM171" i="3"/>
  <c r="BL171" i="3"/>
  <c r="BK171" i="3"/>
  <c r="BJ171" i="3"/>
  <c r="BI171" i="3"/>
  <c r="BH171" i="3"/>
  <c r="BG171" i="3"/>
  <c r="BF171" i="3"/>
  <c r="BE171" i="3"/>
  <c r="BD171" i="3"/>
  <c r="BC171" i="3"/>
  <c r="BB171" i="3"/>
  <c r="AX171" i="3"/>
  <c r="AW171" i="3"/>
  <c r="AV171" i="3"/>
  <c r="AC171" i="3"/>
  <c r="H171" i="3"/>
  <c r="G171" i="3"/>
  <c r="BT170" i="3"/>
  <c r="BS170" i="3"/>
  <c r="BR170" i="3"/>
  <c r="BQ170" i="3"/>
  <c r="BP170" i="3"/>
  <c r="BO170" i="3"/>
  <c r="BN170" i="3"/>
  <c r="BM170" i="3"/>
  <c r="BL170" i="3"/>
  <c r="BK170" i="3"/>
  <c r="BJ170" i="3"/>
  <c r="BI170" i="3"/>
  <c r="BH170" i="3"/>
  <c r="BG170" i="3"/>
  <c r="BF170" i="3"/>
  <c r="BE170" i="3"/>
  <c r="BD170" i="3"/>
  <c r="BC170" i="3"/>
  <c r="BB170" i="3"/>
  <c r="BA170" i="3"/>
  <c r="AX170" i="3"/>
  <c r="AW170" i="3"/>
  <c r="AV170" i="3"/>
  <c r="AC170" i="3"/>
  <c r="H170" i="3"/>
  <c r="G170" i="3"/>
  <c r="BT169" i="3"/>
  <c r="BS169" i="3"/>
  <c r="BR169" i="3"/>
  <c r="BQ169" i="3"/>
  <c r="BP169" i="3"/>
  <c r="BO169" i="3"/>
  <c r="BN169" i="3"/>
  <c r="BM169" i="3"/>
  <c r="BL169" i="3"/>
  <c r="BK169" i="3"/>
  <c r="BJ169" i="3"/>
  <c r="BI169" i="3"/>
  <c r="BH169" i="3"/>
  <c r="BG169" i="3"/>
  <c r="BF169" i="3"/>
  <c r="BE169" i="3"/>
  <c r="BD169" i="3"/>
  <c r="BC169" i="3"/>
  <c r="BB169" i="3"/>
  <c r="BA169" i="3"/>
  <c r="AZ169" i="3"/>
  <c r="AX169" i="3"/>
  <c r="AW169" i="3"/>
  <c r="AV169" i="3"/>
  <c r="AC169" i="3"/>
  <c r="H169" i="3"/>
  <c r="BT168" i="3"/>
  <c r="BS168" i="3"/>
  <c r="BR168" i="3"/>
  <c r="BQ168" i="3"/>
  <c r="BP168" i="3"/>
  <c r="BO168" i="3"/>
  <c r="BN168" i="3"/>
  <c r="BM168" i="3"/>
  <c r="BK168" i="3"/>
  <c r="BJ168" i="3"/>
  <c r="BI168" i="3"/>
  <c r="BH168" i="3"/>
  <c r="BG168" i="3"/>
  <c r="BF168" i="3"/>
  <c r="BE168" i="3"/>
  <c r="BD168" i="3"/>
  <c r="BC168" i="3"/>
  <c r="BB168" i="3"/>
  <c r="BA168" i="3"/>
  <c r="AX168" i="3"/>
  <c r="AW168" i="3"/>
  <c r="AV168" i="3"/>
  <c r="AC168" i="3"/>
  <c r="H168" i="3"/>
  <c r="G168" i="3"/>
  <c r="BT167" i="3"/>
  <c r="BS167" i="3"/>
  <c r="BR167" i="3"/>
  <c r="BQ167" i="3"/>
  <c r="BP167" i="3"/>
  <c r="BO167" i="3"/>
  <c r="BN167" i="3"/>
  <c r="BM167" i="3"/>
  <c r="BL167" i="3"/>
  <c r="BK167" i="3"/>
  <c r="BJ167" i="3"/>
  <c r="BI167" i="3"/>
  <c r="BH167" i="3"/>
  <c r="BG167" i="3"/>
  <c r="BF167" i="3"/>
  <c r="BE167" i="3"/>
  <c r="BD167" i="3"/>
  <c r="BC167" i="3"/>
  <c r="BB167" i="3"/>
  <c r="AX167" i="3"/>
  <c r="AW167" i="3"/>
  <c r="AV167" i="3"/>
  <c r="AC167" i="3"/>
  <c r="H167" i="3"/>
  <c r="G167" i="3"/>
  <c r="BT166" i="3"/>
  <c r="BS166" i="3"/>
  <c r="BR166" i="3"/>
  <c r="BQ166" i="3"/>
  <c r="BP166" i="3"/>
  <c r="BO166" i="3"/>
  <c r="BN166" i="3"/>
  <c r="BM166" i="3"/>
  <c r="BL166" i="3"/>
  <c r="BK166" i="3"/>
  <c r="BJ166" i="3"/>
  <c r="BI166" i="3"/>
  <c r="BH166" i="3"/>
  <c r="BG166" i="3"/>
  <c r="BF166" i="3"/>
  <c r="BE166" i="3"/>
  <c r="BD166" i="3"/>
  <c r="BC166" i="3"/>
  <c r="BB166" i="3"/>
  <c r="BA166" i="3"/>
  <c r="AX166" i="3"/>
  <c r="AW166" i="3"/>
  <c r="AV166" i="3"/>
  <c r="AC166" i="3"/>
  <c r="H166" i="3"/>
  <c r="G166" i="3"/>
  <c r="BT165" i="3"/>
  <c r="BS165" i="3"/>
  <c r="BR165" i="3"/>
  <c r="BQ165" i="3"/>
  <c r="BP165" i="3"/>
  <c r="BO165" i="3"/>
  <c r="BN165" i="3"/>
  <c r="BM165" i="3"/>
  <c r="BL165" i="3"/>
  <c r="BK165" i="3"/>
  <c r="BJ165" i="3"/>
  <c r="BI165" i="3"/>
  <c r="BH165" i="3"/>
  <c r="BG165" i="3"/>
  <c r="BF165" i="3"/>
  <c r="BE165" i="3"/>
  <c r="BD165" i="3"/>
  <c r="BC165" i="3"/>
  <c r="BB165" i="3"/>
  <c r="BA165" i="3"/>
  <c r="AX165" i="3"/>
  <c r="AW165" i="3"/>
  <c r="AV165" i="3"/>
  <c r="AC165" i="3"/>
  <c r="H165" i="3"/>
  <c r="BT164" i="3"/>
  <c r="BS164" i="3"/>
  <c r="BR164" i="3"/>
  <c r="BQ164" i="3"/>
  <c r="BP164" i="3"/>
  <c r="BO164" i="3"/>
  <c r="BN164" i="3"/>
  <c r="BM164" i="3"/>
  <c r="BK164" i="3"/>
  <c r="BJ164" i="3"/>
  <c r="BI164" i="3"/>
  <c r="BH164" i="3"/>
  <c r="BG164" i="3"/>
  <c r="BF164" i="3"/>
  <c r="BE164" i="3"/>
  <c r="BD164" i="3"/>
  <c r="BC164" i="3"/>
  <c r="BB164" i="3"/>
  <c r="BA164" i="3"/>
  <c r="AX164" i="3"/>
  <c r="AW164" i="3"/>
  <c r="AV164" i="3"/>
  <c r="AC164" i="3"/>
  <c r="H164" i="3"/>
  <c r="G164" i="3"/>
  <c r="BT163" i="3"/>
  <c r="BS163" i="3"/>
  <c r="BR163" i="3"/>
  <c r="BQ163" i="3"/>
  <c r="BP163" i="3"/>
  <c r="BO163" i="3"/>
  <c r="BN163" i="3"/>
  <c r="BM163" i="3"/>
  <c r="BL163" i="3"/>
  <c r="BK163" i="3"/>
  <c r="BJ163" i="3"/>
  <c r="BI163" i="3"/>
  <c r="BH163" i="3"/>
  <c r="BG163" i="3"/>
  <c r="BF163" i="3"/>
  <c r="BE163" i="3"/>
  <c r="BD163" i="3"/>
  <c r="BC163" i="3"/>
  <c r="BB163" i="3"/>
  <c r="AX163" i="3"/>
  <c r="AW163" i="3"/>
  <c r="AV163" i="3"/>
  <c r="AC163" i="3"/>
  <c r="H163" i="3"/>
  <c r="G163" i="3"/>
  <c r="BT162" i="3"/>
  <c r="BS162" i="3"/>
  <c r="BR162" i="3"/>
  <c r="BQ162" i="3"/>
  <c r="BP162" i="3"/>
  <c r="BO162" i="3"/>
  <c r="BN162" i="3"/>
  <c r="BM162" i="3"/>
  <c r="BL162" i="3"/>
  <c r="BK162" i="3"/>
  <c r="BJ162" i="3"/>
  <c r="BI162" i="3"/>
  <c r="BH162" i="3"/>
  <c r="BG162" i="3"/>
  <c r="BF162" i="3"/>
  <c r="BE162" i="3"/>
  <c r="BD162" i="3"/>
  <c r="BC162" i="3"/>
  <c r="BB162" i="3"/>
  <c r="BA162" i="3"/>
  <c r="AX162" i="3"/>
  <c r="AW162" i="3"/>
  <c r="AV162" i="3"/>
  <c r="AC162" i="3"/>
  <c r="H162" i="3"/>
  <c r="G162" i="3"/>
  <c r="BT161" i="3"/>
  <c r="BS161" i="3"/>
  <c r="BR161" i="3"/>
  <c r="BQ161" i="3"/>
  <c r="BP161" i="3"/>
  <c r="BO161" i="3"/>
  <c r="BN161" i="3"/>
  <c r="BM161" i="3"/>
  <c r="BL161" i="3"/>
  <c r="BK161" i="3"/>
  <c r="BJ161" i="3"/>
  <c r="BI161" i="3"/>
  <c r="BH161" i="3"/>
  <c r="BG161" i="3"/>
  <c r="BF161" i="3"/>
  <c r="BE161" i="3"/>
  <c r="BD161" i="3"/>
  <c r="BC161" i="3"/>
  <c r="BB161" i="3"/>
  <c r="BA161" i="3"/>
  <c r="AZ161" i="3"/>
  <c r="AX161" i="3"/>
  <c r="AW161" i="3"/>
  <c r="AV161" i="3"/>
  <c r="AC161" i="3"/>
  <c r="H161" i="3"/>
  <c r="BT160" i="3"/>
  <c r="BS160" i="3"/>
  <c r="BR160" i="3"/>
  <c r="BQ160" i="3"/>
  <c r="BP160" i="3"/>
  <c r="BO160" i="3"/>
  <c r="BN160" i="3"/>
  <c r="BM160" i="3"/>
  <c r="BK160" i="3"/>
  <c r="BJ160" i="3"/>
  <c r="BI160" i="3"/>
  <c r="BH160" i="3"/>
  <c r="BG160" i="3"/>
  <c r="BF160" i="3"/>
  <c r="BE160" i="3"/>
  <c r="BD160" i="3"/>
  <c r="BC160" i="3"/>
  <c r="BB160" i="3"/>
  <c r="BA160" i="3"/>
  <c r="AX160" i="3"/>
  <c r="AW160" i="3"/>
  <c r="AV160" i="3"/>
  <c r="AC160" i="3"/>
  <c r="H160" i="3"/>
  <c r="G160" i="3"/>
  <c r="BT159" i="3"/>
  <c r="BS159" i="3"/>
  <c r="BR159" i="3"/>
  <c r="BQ159" i="3"/>
  <c r="BP159" i="3"/>
  <c r="BO159" i="3"/>
  <c r="BN159" i="3"/>
  <c r="BM159" i="3"/>
  <c r="BL159" i="3"/>
  <c r="BK159" i="3"/>
  <c r="BJ159" i="3"/>
  <c r="BI159" i="3"/>
  <c r="BH159" i="3"/>
  <c r="BG159" i="3"/>
  <c r="BF159" i="3"/>
  <c r="BE159" i="3"/>
  <c r="BD159" i="3"/>
  <c r="BC159" i="3"/>
  <c r="BB159" i="3"/>
  <c r="AX159" i="3"/>
  <c r="AW159" i="3"/>
  <c r="AV159" i="3"/>
  <c r="AC159" i="3"/>
  <c r="H159" i="3"/>
  <c r="G159" i="3"/>
  <c r="BT158" i="3"/>
  <c r="BS158" i="3"/>
  <c r="BR158" i="3"/>
  <c r="BQ158" i="3"/>
  <c r="BP158" i="3"/>
  <c r="BO158" i="3"/>
  <c r="BN158" i="3"/>
  <c r="BM158" i="3"/>
  <c r="BL158" i="3"/>
  <c r="BK158" i="3"/>
  <c r="BJ158" i="3"/>
  <c r="BI158" i="3"/>
  <c r="BH158" i="3"/>
  <c r="BG158" i="3"/>
  <c r="BF158" i="3"/>
  <c r="BE158" i="3"/>
  <c r="BD158" i="3"/>
  <c r="BC158" i="3"/>
  <c r="BB158" i="3"/>
  <c r="BA158" i="3"/>
  <c r="AX158" i="3"/>
  <c r="AW158" i="3"/>
  <c r="AV158" i="3"/>
  <c r="AC158" i="3"/>
  <c r="H158" i="3"/>
  <c r="G158" i="3"/>
  <c r="BT157" i="3"/>
  <c r="BS157" i="3"/>
  <c r="BR157" i="3"/>
  <c r="BQ157" i="3"/>
  <c r="BP157" i="3"/>
  <c r="BO157" i="3"/>
  <c r="BN157" i="3"/>
  <c r="BM157" i="3"/>
  <c r="BL157" i="3"/>
  <c r="BK157" i="3"/>
  <c r="BJ157" i="3"/>
  <c r="BI157" i="3"/>
  <c r="BH157" i="3"/>
  <c r="BG157" i="3"/>
  <c r="BF157" i="3"/>
  <c r="BE157" i="3"/>
  <c r="BD157" i="3"/>
  <c r="BC157" i="3"/>
  <c r="BB157" i="3"/>
  <c r="BA157" i="3"/>
  <c r="AX157" i="3"/>
  <c r="AW157" i="3"/>
  <c r="AV157" i="3"/>
  <c r="AC157" i="3"/>
  <c r="H157" i="3"/>
  <c r="BT156" i="3"/>
  <c r="BS156" i="3"/>
  <c r="BR156" i="3"/>
  <c r="BQ156" i="3"/>
  <c r="BP156" i="3"/>
  <c r="BO156" i="3"/>
  <c r="BN156" i="3"/>
  <c r="BM156" i="3"/>
  <c r="BK156" i="3"/>
  <c r="BJ156" i="3"/>
  <c r="BI156" i="3"/>
  <c r="BH156" i="3"/>
  <c r="BG156" i="3"/>
  <c r="BF156" i="3"/>
  <c r="BE156" i="3"/>
  <c r="BD156" i="3"/>
  <c r="BC156" i="3"/>
  <c r="BB156" i="3"/>
  <c r="BA156" i="3"/>
  <c r="AX156" i="3"/>
  <c r="AW156" i="3"/>
  <c r="AV156" i="3"/>
  <c r="AC156" i="3"/>
  <c r="H156" i="3"/>
  <c r="G156" i="3"/>
  <c r="BT155" i="3"/>
  <c r="BS155" i="3"/>
  <c r="BR155" i="3"/>
  <c r="BQ155" i="3"/>
  <c r="BP155" i="3"/>
  <c r="BO155" i="3"/>
  <c r="BN155" i="3"/>
  <c r="BM155" i="3"/>
  <c r="BL155" i="3"/>
  <c r="BK155" i="3"/>
  <c r="BJ155" i="3"/>
  <c r="BI155" i="3"/>
  <c r="BH155" i="3"/>
  <c r="BG155" i="3"/>
  <c r="BF155" i="3"/>
  <c r="BE155" i="3"/>
  <c r="BD155" i="3"/>
  <c r="BC155" i="3"/>
  <c r="BB155" i="3"/>
  <c r="AX155" i="3"/>
  <c r="AW155" i="3"/>
  <c r="AV155" i="3"/>
  <c r="AC155" i="3"/>
  <c r="H155" i="3"/>
  <c r="G155" i="3"/>
  <c r="BT154" i="3"/>
  <c r="BS154" i="3"/>
  <c r="BR154" i="3"/>
  <c r="BQ154" i="3"/>
  <c r="BP154" i="3"/>
  <c r="BO154" i="3"/>
  <c r="BN154" i="3"/>
  <c r="BM154" i="3"/>
  <c r="BL154" i="3"/>
  <c r="BK154" i="3"/>
  <c r="BJ154" i="3"/>
  <c r="BI154" i="3"/>
  <c r="BH154" i="3"/>
  <c r="BG154" i="3"/>
  <c r="BF154" i="3"/>
  <c r="BE154" i="3"/>
  <c r="BD154" i="3"/>
  <c r="BC154" i="3"/>
  <c r="BB154" i="3"/>
  <c r="BA154" i="3"/>
  <c r="AX154" i="3"/>
  <c r="AW154" i="3"/>
  <c r="AV154" i="3"/>
  <c r="AC154" i="3"/>
  <c r="H154" i="3"/>
  <c r="G154" i="3"/>
  <c r="BT153" i="3"/>
  <c r="BS153" i="3"/>
  <c r="BR153" i="3"/>
  <c r="BQ153" i="3"/>
  <c r="BP153" i="3"/>
  <c r="BO153" i="3"/>
  <c r="BN153" i="3"/>
  <c r="BM153" i="3"/>
  <c r="BL153" i="3"/>
  <c r="BK153" i="3"/>
  <c r="BJ153" i="3"/>
  <c r="BI153" i="3"/>
  <c r="BH153" i="3"/>
  <c r="BG153" i="3"/>
  <c r="BF153" i="3"/>
  <c r="BE153" i="3"/>
  <c r="BD153" i="3"/>
  <c r="BC153" i="3"/>
  <c r="BB153" i="3"/>
  <c r="BA153" i="3"/>
  <c r="AZ153" i="3"/>
  <c r="AX153" i="3"/>
  <c r="AW153" i="3"/>
  <c r="AV153" i="3"/>
  <c r="AC153" i="3"/>
  <c r="H153" i="3"/>
  <c r="BT152" i="3"/>
  <c r="BS152" i="3"/>
  <c r="BR152" i="3"/>
  <c r="BQ152" i="3"/>
  <c r="BP152" i="3"/>
  <c r="BO152" i="3"/>
  <c r="BN152" i="3"/>
  <c r="BM152" i="3"/>
  <c r="BK152" i="3"/>
  <c r="BJ152" i="3"/>
  <c r="BI152" i="3"/>
  <c r="BH152" i="3"/>
  <c r="BG152" i="3"/>
  <c r="BF152" i="3"/>
  <c r="BE152" i="3"/>
  <c r="BD152" i="3"/>
  <c r="BC152" i="3"/>
  <c r="BB152" i="3"/>
  <c r="BA152" i="3"/>
  <c r="AX152" i="3"/>
  <c r="AW152" i="3"/>
  <c r="AV152" i="3"/>
  <c r="AC152" i="3"/>
  <c r="H152" i="3"/>
  <c r="G152" i="3"/>
  <c r="BT151" i="3"/>
  <c r="BS151" i="3"/>
  <c r="BR151" i="3"/>
  <c r="BQ151" i="3"/>
  <c r="BP151" i="3"/>
  <c r="BO151" i="3"/>
  <c r="BN151" i="3"/>
  <c r="BM151" i="3"/>
  <c r="BL151" i="3"/>
  <c r="BK151" i="3"/>
  <c r="BJ151" i="3"/>
  <c r="BI151" i="3"/>
  <c r="BH151" i="3"/>
  <c r="BG151" i="3"/>
  <c r="BF151" i="3"/>
  <c r="BE151" i="3"/>
  <c r="BD151" i="3"/>
  <c r="BC151" i="3"/>
  <c r="BB151" i="3"/>
  <c r="AX151" i="3"/>
  <c r="AW151" i="3"/>
  <c r="AV151" i="3"/>
  <c r="AC151" i="3"/>
  <c r="H151" i="3"/>
  <c r="G151" i="3"/>
  <c r="BT150" i="3"/>
  <c r="BS150" i="3"/>
  <c r="BR150" i="3"/>
  <c r="BQ150" i="3"/>
  <c r="BP150" i="3"/>
  <c r="BO150" i="3"/>
  <c r="BN150" i="3"/>
  <c r="BM150" i="3"/>
  <c r="BL150" i="3"/>
  <c r="BK150" i="3"/>
  <c r="BJ150" i="3"/>
  <c r="BI150" i="3"/>
  <c r="BH150" i="3"/>
  <c r="BG150" i="3"/>
  <c r="BF150" i="3"/>
  <c r="BE150" i="3"/>
  <c r="BD150" i="3"/>
  <c r="BC150" i="3"/>
  <c r="BB150" i="3"/>
  <c r="BA150" i="3"/>
  <c r="AX150" i="3"/>
  <c r="AW150" i="3"/>
  <c r="AV150" i="3"/>
  <c r="AC150" i="3"/>
  <c r="H150" i="3"/>
  <c r="G150" i="3"/>
  <c r="BT149" i="3"/>
  <c r="BS149" i="3"/>
  <c r="BR149" i="3"/>
  <c r="BQ149" i="3"/>
  <c r="BP149" i="3"/>
  <c r="BO149" i="3"/>
  <c r="BN149" i="3"/>
  <c r="BM149" i="3"/>
  <c r="BL149" i="3"/>
  <c r="BK149" i="3"/>
  <c r="BJ149" i="3"/>
  <c r="BI149" i="3"/>
  <c r="BH149" i="3"/>
  <c r="BG149" i="3"/>
  <c r="BF149" i="3"/>
  <c r="BE149" i="3"/>
  <c r="BD149" i="3"/>
  <c r="BC149" i="3"/>
  <c r="BB149" i="3"/>
  <c r="BA149" i="3"/>
  <c r="AX149" i="3"/>
  <c r="AW149" i="3"/>
  <c r="AV149" i="3"/>
  <c r="AC149" i="3"/>
  <c r="H149" i="3"/>
  <c r="BT148" i="3"/>
  <c r="BS148" i="3"/>
  <c r="BR148" i="3"/>
  <c r="BQ148" i="3"/>
  <c r="BP148" i="3"/>
  <c r="BO148" i="3"/>
  <c r="BN148" i="3"/>
  <c r="BM148" i="3"/>
  <c r="BK148" i="3"/>
  <c r="BJ148" i="3"/>
  <c r="BI148" i="3"/>
  <c r="BH148" i="3"/>
  <c r="BG148" i="3"/>
  <c r="BF148" i="3"/>
  <c r="BE148" i="3"/>
  <c r="BD148" i="3"/>
  <c r="BC148" i="3"/>
  <c r="BB148" i="3"/>
  <c r="BA148" i="3"/>
  <c r="AX148" i="3"/>
  <c r="AW148" i="3"/>
  <c r="AV148" i="3"/>
  <c r="AC148" i="3"/>
  <c r="H148" i="3"/>
  <c r="G148" i="3"/>
  <c r="BT147" i="3"/>
  <c r="BS147" i="3"/>
  <c r="BR147" i="3"/>
  <c r="BQ147" i="3"/>
  <c r="BP147" i="3"/>
  <c r="BO147" i="3"/>
  <c r="BN147" i="3"/>
  <c r="BM147" i="3"/>
  <c r="BL147" i="3"/>
  <c r="BK147" i="3"/>
  <c r="BJ147" i="3"/>
  <c r="BI147" i="3"/>
  <c r="BH147" i="3"/>
  <c r="BG147" i="3"/>
  <c r="BF147" i="3"/>
  <c r="BE147" i="3"/>
  <c r="BD147" i="3"/>
  <c r="BC147" i="3"/>
  <c r="BB147" i="3"/>
  <c r="AX147" i="3"/>
  <c r="AW147" i="3"/>
  <c r="AV147" i="3"/>
  <c r="AC147" i="3"/>
  <c r="H147" i="3"/>
  <c r="G147" i="3"/>
  <c r="BT146" i="3"/>
  <c r="BS146" i="3"/>
  <c r="BR146" i="3"/>
  <c r="BQ146" i="3"/>
  <c r="BP146" i="3"/>
  <c r="BO146" i="3"/>
  <c r="BN146" i="3"/>
  <c r="BM146" i="3"/>
  <c r="BL146" i="3"/>
  <c r="BK146" i="3"/>
  <c r="BJ146" i="3"/>
  <c r="BI146" i="3"/>
  <c r="BH146" i="3"/>
  <c r="BG146" i="3"/>
  <c r="BF146" i="3"/>
  <c r="BE146" i="3"/>
  <c r="BD146" i="3"/>
  <c r="BC146" i="3"/>
  <c r="BB146" i="3"/>
  <c r="BA146" i="3"/>
  <c r="AX146" i="3"/>
  <c r="AW146" i="3"/>
  <c r="AV146" i="3"/>
  <c r="AC146" i="3"/>
  <c r="H146" i="3"/>
  <c r="G146" i="3"/>
  <c r="BT145" i="3"/>
  <c r="BS145" i="3"/>
  <c r="BR145" i="3"/>
  <c r="BQ145" i="3"/>
  <c r="BP145" i="3"/>
  <c r="BO145" i="3"/>
  <c r="BN145" i="3"/>
  <c r="BM145" i="3"/>
  <c r="BL145" i="3"/>
  <c r="BK145" i="3"/>
  <c r="BJ145" i="3"/>
  <c r="BI145" i="3"/>
  <c r="BH145" i="3"/>
  <c r="BG145" i="3"/>
  <c r="BF145" i="3"/>
  <c r="BE145" i="3"/>
  <c r="BD145" i="3"/>
  <c r="BC145" i="3"/>
  <c r="BB145" i="3"/>
  <c r="BA145" i="3"/>
  <c r="AZ145" i="3"/>
  <c r="AX145" i="3"/>
  <c r="AW145" i="3"/>
  <c r="AV145" i="3"/>
  <c r="AC145" i="3"/>
  <c r="H145" i="3"/>
  <c r="BT144" i="3"/>
  <c r="BS144" i="3"/>
  <c r="BR144" i="3"/>
  <c r="BQ144" i="3"/>
  <c r="BP144" i="3"/>
  <c r="BO144" i="3"/>
  <c r="BN144" i="3"/>
  <c r="BM144" i="3"/>
  <c r="BK144" i="3"/>
  <c r="BJ144" i="3"/>
  <c r="BI144" i="3"/>
  <c r="BH144" i="3"/>
  <c r="BG144" i="3"/>
  <c r="BF144" i="3"/>
  <c r="BE144" i="3"/>
  <c r="BD144" i="3"/>
  <c r="BC144" i="3"/>
  <c r="BB144" i="3"/>
  <c r="BA144" i="3"/>
  <c r="AX144" i="3"/>
  <c r="AW144" i="3"/>
  <c r="AV144" i="3"/>
  <c r="AC144" i="3"/>
  <c r="H144" i="3"/>
  <c r="G144" i="3"/>
  <c r="BT143" i="3"/>
  <c r="BS143" i="3"/>
  <c r="BR143" i="3"/>
  <c r="BQ143" i="3"/>
  <c r="BP143" i="3"/>
  <c r="BO143" i="3"/>
  <c r="BN143" i="3"/>
  <c r="BM143" i="3"/>
  <c r="BL143" i="3"/>
  <c r="BK143" i="3"/>
  <c r="BJ143" i="3"/>
  <c r="BI143" i="3"/>
  <c r="BH143" i="3"/>
  <c r="BG143" i="3"/>
  <c r="BF143" i="3"/>
  <c r="BE143" i="3"/>
  <c r="BD143" i="3"/>
  <c r="BC143" i="3"/>
  <c r="BB143" i="3"/>
  <c r="AX143" i="3"/>
  <c r="AW143" i="3"/>
  <c r="AV143" i="3"/>
  <c r="AC143" i="3"/>
  <c r="H143" i="3"/>
  <c r="G143" i="3"/>
  <c r="BT142" i="3"/>
  <c r="BS142" i="3"/>
  <c r="BR142" i="3"/>
  <c r="BQ142" i="3"/>
  <c r="BP142" i="3"/>
  <c r="BO142" i="3"/>
  <c r="BN142" i="3"/>
  <c r="BM142" i="3"/>
  <c r="BL142" i="3"/>
  <c r="BK142" i="3"/>
  <c r="BJ142" i="3"/>
  <c r="BI142" i="3"/>
  <c r="BH142" i="3"/>
  <c r="BG142" i="3"/>
  <c r="BF142" i="3"/>
  <c r="BE142" i="3"/>
  <c r="BD142" i="3"/>
  <c r="BC142" i="3"/>
  <c r="BB142" i="3"/>
  <c r="BA142" i="3"/>
  <c r="AX142" i="3"/>
  <c r="AW142" i="3"/>
  <c r="AV142" i="3"/>
  <c r="AC142" i="3"/>
  <c r="H142" i="3"/>
  <c r="G142" i="3"/>
  <c r="BT141" i="3"/>
  <c r="BS141" i="3"/>
  <c r="BR141" i="3"/>
  <c r="BQ141" i="3"/>
  <c r="BP141" i="3"/>
  <c r="BO141" i="3"/>
  <c r="BN141" i="3"/>
  <c r="BM141" i="3"/>
  <c r="BL141" i="3"/>
  <c r="BK141" i="3"/>
  <c r="BJ141" i="3"/>
  <c r="BI141" i="3"/>
  <c r="BH141" i="3"/>
  <c r="BG141" i="3"/>
  <c r="BF141" i="3"/>
  <c r="BE141" i="3"/>
  <c r="BD141" i="3"/>
  <c r="BC141" i="3"/>
  <c r="BB141" i="3"/>
  <c r="BA141" i="3"/>
  <c r="AZ141" i="3"/>
  <c r="AX141" i="3"/>
  <c r="AW141" i="3"/>
  <c r="AV141" i="3"/>
  <c r="AC141" i="3"/>
  <c r="H141" i="3"/>
  <c r="BT140" i="3"/>
  <c r="BS140" i="3"/>
  <c r="BR140" i="3"/>
  <c r="BQ140" i="3"/>
  <c r="BP140" i="3"/>
  <c r="BO140" i="3"/>
  <c r="BN140" i="3"/>
  <c r="BM140" i="3"/>
  <c r="BK140" i="3"/>
  <c r="BJ140" i="3"/>
  <c r="BI140" i="3"/>
  <c r="BH140" i="3"/>
  <c r="BG140" i="3"/>
  <c r="BF140" i="3"/>
  <c r="BE140" i="3"/>
  <c r="BD140" i="3"/>
  <c r="BC140" i="3"/>
  <c r="BB140" i="3"/>
  <c r="BA140" i="3"/>
  <c r="AX140" i="3"/>
  <c r="AW140" i="3"/>
  <c r="AV140" i="3"/>
  <c r="AC140" i="3"/>
  <c r="H140" i="3"/>
  <c r="G140" i="3"/>
  <c r="BT139" i="3"/>
  <c r="BS139" i="3"/>
  <c r="BR139" i="3"/>
  <c r="BQ139" i="3"/>
  <c r="BP139" i="3"/>
  <c r="BO139" i="3"/>
  <c r="BN139" i="3"/>
  <c r="BM139" i="3"/>
  <c r="BL139" i="3"/>
  <c r="BK139" i="3"/>
  <c r="BJ139" i="3"/>
  <c r="BI139" i="3"/>
  <c r="BH139" i="3"/>
  <c r="BG139" i="3"/>
  <c r="BF139" i="3"/>
  <c r="BE139" i="3"/>
  <c r="BD139" i="3"/>
  <c r="BC139" i="3"/>
  <c r="BB139" i="3"/>
  <c r="AX139" i="3"/>
  <c r="AW139" i="3"/>
  <c r="AV139" i="3"/>
  <c r="AC139" i="3"/>
  <c r="H139" i="3"/>
  <c r="G139" i="3"/>
  <c r="BT138" i="3"/>
  <c r="BS138" i="3"/>
  <c r="BR138" i="3"/>
  <c r="BQ138" i="3"/>
  <c r="BP138" i="3"/>
  <c r="BO138" i="3"/>
  <c r="BN138" i="3"/>
  <c r="BM138" i="3"/>
  <c r="BL138" i="3"/>
  <c r="BK138" i="3"/>
  <c r="BJ138" i="3"/>
  <c r="BI138" i="3"/>
  <c r="BH138" i="3"/>
  <c r="BG138" i="3"/>
  <c r="BF138" i="3"/>
  <c r="BE138" i="3"/>
  <c r="BD138" i="3"/>
  <c r="BC138" i="3"/>
  <c r="BB138" i="3"/>
  <c r="BA138" i="3"/>
  <c r="AX138" i="3"/>
  <c r="AW138" i="3"/>
  <c r="AV138" i="3"/>
  <c r="AC138" i="3"/>
  <c r="H138" i="3"/>
  <c r="G138" i="3"/>
  <c r="BT137" i="3"/>
  <c r="BS137" i="3"/>
  <c r="BR137" i="3"/>
  <c r="BQ137" i="3"/>
  <c r="BP137" i="3"/>
  <c r="BO137" i="3"/>
  <c r="BN137" i="3"/>
  <c r="BM137" i="3"/>
  <c r="BL137" i="3"/>
  <c r="BK137" i="3"/>
  <c r="BJ137" i="3"/>
  <c r="BI137" i="3"/>
  <c r="BH137" i="3"/>
  <c r="BG137" i="3"/>
  <c r="BF137" i="3"/>
  <c r="BE137" i="3"/>
  <c r="BD137" i="3"/>
  <c r="BC137" i="3"/>
  <c r="BB137" i="3"/>
  <c r="BA137" i="3"/>
  <c r="AZ137" i="3"/>
  <c r="AX137" i="3"/>
  <c r="AW137" i="3"/>
  <c r="AV137" i="3"/>
  <c r="AC137" i="3"/>
  <c r="H137" i="3"/>
  <c r="BT136" i="3"/>
  <c r="BS136" i="3"/>
  <c r="BR136" i="3"/>
  <c r="BQ136" i="3"/>
  <c r="BP136" i="3"/>
  <c r="BO136" i="3"/>
  <c r="BN136" i="3"/>
  <c r="BM136" i="3"/>
  <c r="BK136" i="3"/>
  <c r="BJ136" i="3"/>
  <c r="BI136" i="3"/>
  <c r="BH136" i="3"/>
  <c r="BG136" i="3"/>
  <c r="BF136" i="3"/>
  <c r="BE136" i="3"/>
  <c r="BD136" i="3"/>
  <c r="BC136" i="3"/>
  <c r="BB136" i="3"/>
  <c r="BA136" i="3"/>
  <c r="AX136" i="3"/>
  <c r="AW136" i="3"/>
  <c r="AV136" i="3"/>
  <c r="AC136" i="3"/>
  <c r="H136" i="3"/>
  <c r="G136" i="3"/>
  <c r="BT135" i="3"/>
  <c r="BS135" i="3"/>
  <c r="BR135" i="3"/>
  <c r="BQ135" i="3"/>
  <c r="BP135" i="3"/>
  <c r="BO135" i="3"/>
  <c r="BN135" i="3"/>
  <c r="BM135" i="3"/>
  <c r="BL135" i="3"/>
  <c r="BK135" i="3"/>
  <c r="BJ135" i="3"/>
  <c r="BI135" i="3"/>
  <c r="BH135" i="3"/>
  <c r="BG135" i="3"/>
  <c r="BF135" i="3"/>
  <c r="BE135" i="3"/>
  <c r="BD135" i="3"/>
  <c r="BC135" i="3"/>
  <c r="BB135" i="3"/>
  <c r="AX135" i="3"/>
  <c r="AW135" i="3"/>
  <c r="AV135" i="3"/>
  <c r="AC135" i="3"/>
  <c r="H135" i="3"/>
  <c r="G135" i="3"/>
  <c r="BT134" i="3"/>
  <c r="BS134" i="3"/>
  <c r="BR134" i="3"/>
  <c r="BQ134" i="3"/>
  <c r="BP134" i="3"/>
  <c r="BO134" i="3"/>
  <c r="BN134" i="3"/>
  <c r="BM134" i="3"/>
  <c r="BL134" i="3"/>
  <c r="BK134" i="3"/>
  <c r="BJ134" i="3"/>
  <c r="BI134" i="3"/>
  <c r="BH134" i="3"/>
  <c r="BG134" i="3"/>
  <c r="BF134" i="3"/>
  <c r="BE134" i="3"/>
  <c r="BD134" i="3"/>
  <c r="BC134" i="3"/>
  <c r="BB134" i="3"/>
  <c r="BA134" i="3"/>
  <c r="AZ134" i="3"/>
  <c r="AX134" i="3"/>
  <c r="AW134" i="3"/>
  <c r="AV134" i="3"/>
  <c r="AC134" i="3"/>
  <c r="H134" i="3"/>
  <c r="G134" i="3"/>
  <c r="BT133" i="3"/>
  <c r="BS133" i="3"/>
  <c r="BR133" i="3"/>
  <c r="BQ133" i="3"/>
  <c r="BP133" i="3"/>
  <c r="BO133" i="3"/>
  <c r="BN133" i="3"/>
  <c r="BM133" i="3"/>
  <c r="BL133" i="3"/>
  <c r="BK133" i="3"/>
  <c r="BJ133" i="3"/>
  <c r="BI133" i="3"/>
  <c r="BH133" i="3"/>
  <c r="BG133" i="3"/>
  <c r="BF133" i="3"/>
  <c r="BE133" i="3"/>
  <c r="BD133" i="3"/>
  <c r="BC133" i="3"/>
  <c r="BB133" i="3"/>
  <c r="BA133" i="3"/>
  <c r="AX133" i="3"/>
  <c r="AW133" i="3"/>
  <c r="AV133" i="3"/>
  <c r="AC133" i="3"/>
  <c r="H133" i="3"/>
  <c r="BT132" i="3"/>
  <c r="BS132" i="3"/>
  <c r="BR132" i="3"/>
  <c r="BQ132" i="3"/>
  <c r="BP132" i="3"/>
  <c r="BO132" i="3"/>
  <c r="BN132" i="3"/>
  <c r="BM132" i="3"/>
  <c r="BK132" i="3"/>
  <c r="BJ132" i="3"/>
  <c r="BI132" i="3"/>
  <c r="BH132" i="3"/>
  <c r="BG132" i="3"/>
  <c r="BF132" i="3"/>
  <c r="BE132" i="3"/>
  <c r="BD132" i="3"/>
  <c r="BC132" i="3"/>
  <c r="BB132" i="3"/>
  <c r="BA132" i="3"/>
  <c r="AX132" i="3"/>
  <c r="AW132" i="3"/>
  <c r="AV132" i="3"/>
  <c r="AC132" i="3"/>
  <c r="H132" i="3"/>
  <c r="G132" i="3"/>
  <c r="BT131" i="3"/>
  <c r="BS131" i="3"/>
  <c r="BR131" i="3"/>
  <c r="BQ131" i="3"/>
  <c r="BP131" i="3"/>
  <c r="BO131" i="3"/>
  <c r="BN131" i="3"/>
  <c r="BM131" i="3"/>
  <c r="BL131" i="3"/>
  <c r="BK131" i="3"/>
  <c r="BJ131" i="3"/>
  <c r="BI131" i="3"/>
  <c r="BH131" i="3"/>
  <c r="BG131" i="3"/>
  <c r="BF131" i="3"/>
  <c r="BE131" i="3"/>
  <c r="BD131" i="3"/>
  <c r="BC131" i="3"/>
  <c r="BB131" i="3"/>
  <c r="AX131" i="3"/>
  <c r="AW131" i="3"/>
  <c r="AV131" i="3"/>
  <c r="AC131" i="3"/>
  <c r="H131" i="3"/>
  <c r="G131" i="3"/>
  <c r="BT130" i="3"/>
  <c r="BS130" i="3"/>
  <c r="BR130" i="3"/>
  <c r="BQ130" i="3"/>
  <c r="BP130" i="3"/>
  <c r="BO130" i="3"/>
  <c r="BN130" i="3"/>
  <c r="BM130" i="3"/>
  <c r="BL130" i="3"/>
  <c r="BK130" i="3"/>
  <c r="BJ130" i="3"/>
  <c r="BI130" i="3"/>
  <c r="BH130" i="3"/>
  <c r="BG130" i="3"/>
  <c r="BF130" i="3"/>
  <c r="BE130" i="3"/>
  <c r="BD130" i="3"/>
  <c r="BC130" i="3"/>
  <c r="BB130" i="3"/>
  <c r="BA130" i="3"/>
  <c r="AX130" i="3"/>
  <c r="AW130" i="3"/>
  <c r="AV130" i="3"/>
  <c r="AC130" i="3"/>
  <c r="H130" i="3"/>
  <c r="G130" i="3"/>
  <c r="BT129" i="3"/>
  <c r="BS129" i="3"/>
  <c r="BR129" i="3"/>
  <c r="BQ129" i="3"/>
  <c r="BP129" i="3"/>
  <c r="BO129" i="3"/>
  <c r="BN129" i="3"/>
  <c r="BM129" i="3"/>
  <c r="BL129" i="3"/>
  <c r="BK129" i="3"/>
  <c r="BJ129" i="3"/>
  <c r="BI129" i="3"/>
  <c r="BH129" i="3"/>
  <c r="BG129" i="3"/>
  <c r="BF129" i="3"/>
  <c r="BE129" i="3"/>
  <c r="BD129" i="3"/>
  <c r="BC129" i="3"/>
  <c r="BB129" i="3"/>
  <c r="BA129" i="3"/>
  <c r="AZ129" i="3"/>
  <c r="AX129" i="3"/>
  <c r="AW129" i="3"/>
  <c r="AV129" i="3"/>
  <c r="AC129" i="3"/>
  <c r="H129" i="3"/>
  <c r="BT128" i="3"/>
  <c r="BS128" i="3"/>
  <c r="BR128" i="3"/>
  <c r="BQ128" i="3"/>
  <c r="BP128" i="3"/>
  <c r="BO128" i="3"/>
  <c r="BN128" i="3"/>
  <c r="BM128" i="3"/>
  <c r="BK128" i="3"/>
  <c r="BJ128" i="3"/>
  <c r="BI128" i="3"/>
  <c r="BH128" i="3"/>
  <c r="BG128" i="3"/>
  <c r="BF128" i="3"/>
  <c r="BE128" i="3"/>
  <c r="BD128" i="3"/>
  <c r="BC128" i="3"/>
  <c r="BB128" i="3"/>
  <c r="BA128" i="3"/>
  <c r="AX128" i="3"/>
  <c r="AW128" i="3"/>
  <c r="AV128" i="3"/>
  <c r="AC128" i="3"/>
  <c r="H128" i="3"/>
  <c r="G128" i="3"/>
  <c r="BT127" i="3"/>
  <c r="BS127" i="3"/>
  <c r="BR127" i="3"/>
  <c r="BQ127" i="3"/>
  <c r="BP127" i="3"/>
  <c r="BO127" i="3"/>
  <c r="BN127" i="3"/>
  <c r="BM127" i="3"/>
  <c r="BL127" i="3"/>
  <c r="BK127" i="3"/>
  <c r="BJ127" i="3"/>
  <c r="BI127" i="3"/>
  <c r="BH127" i="3"/>
  <c r="BG127" i="3"/>
  <c r="BF127" i="3"/>
  <c r="BE127" i="3"/>
  <c r="BD127" i="3"/>
  <c r="BC127" i="3"/>
  <c r="BB127" i="3"/>
  <c r="AX127" i="3"/>
  <c r="AW127" i="3"/>
  <c r="AV127" i="3"/>
  <c r="AC127" i="3"/>
  <c r="H127" i="3"/>
  <c r="G127" i="3"/>
  <c r="BT126" i="3"/>
  <c r="BS126" i="3"/>
  <c r="BR126" i="3"/>
  <c r="BQ126" i="3"/>
  <c r="BP126" i="3"/>
  <c r="BO126" i="3"/>
  <c r="BN126" i="3"/>
  <c r="BM126" i="3"/>
  <c r="BL126" i="3"/>
  <c r="BK126" i="3"/>
  <c r="BJ126" i="3"/>
  <c r="BI126" i="3"/>
  <c r="BH126" i="3"/>
  <c r="BG126" i="3"/>
  <c r="BF126" i="3"/>
  <c r="BE126" i="3"/>
  <c r="BD126" i="3"/>
  <c r="BC126" i="3"/>
  <c r="BB126" i="3"/>
  <c r="BA126" i="3"/>
  <c r="AZ126" i="3"/>
  <c r="AX126" i="3"/>
  <c r="AW126" i="3"/>
  <c r="AV126" i="3"/>
  <c r="AC126" i="3"/>
  <c r="H126" i="3"/>
  <c r="G126" i="3"/>
  <c r="BT125" i="3"/>
  <c r="BS125" i="3"/>
  <c r="BR125" i="3"/>
  <c r="BQ125" i="3"/>
  <c r="BP125" i="3"/>
  <c r="BO125" i="3"/>
  <c r="BN125" i="3"/>
  <c r="BM125" i="3"/>
  <c r="BL125" i="3"/>
  <c r="BK125" i="3"/>
  <c r="BJ125" i="3"/>
  <c r="BI125" i="3"/>
  <c r="BH125" i="3"/>
  <c r="BG125" i="3"/>
  <c r="BF125" i="3"/>
  <c r="BE125" i="3"/>
  <c r="BD125" i="3"/>
  <c r="BC125" i="3"/>
  <c r="BB125" i="3"/>
  <c r="BA125" i="3"/>
  <c r="AZ125" i="3"/>
  <c r="AX125" i="3"/>
  <c r="AW125" i="3"/>
  <c r="AV125" i="3"/>
  <c r="AC125" i="3"/>
  <c r="H125" i="3"/>
  <c r="BT124" i="3"/>
  <c r="BS124" i="3"/>
  <c r="BR124" i="3"/>
  <c r="BQ124" i="3"/>
  <c r="BP124" i="3"/>
  <c r="BO124" i="3"/>
  <c r="BN124" i="3"/>
  <c r="BM124" i="3"/>
  <c r="BK124" i="3"/>
  <c r="BJ124" i="3"/>
  <c r="BI124" i="3"/>
  <c r="BH124" i="3"/>
  <c r="BG124" i="3"/>
  <c r="BF124" i="3"/>
  <c r="BE124" i="3"/>
  <c r="BD124" i="3"/>
  <c r="BC124" i="3"/>
  <c r="BB124" i="3"/>
  <c r="BA124" i="3"/>
  <c r="AX124" i="3"/>
  <c r="AW124" i="3"/>
  <c r="AV124" i="3"/>
  <c r="AC124" i="3"/>
  <c r="H124" i="3"/>
  <c r="G124" i="3"/>
  <c r="BT123" i="3"/>
  <c r="BS123" i="3"/>
  <c r="BR123" i="3"/>
  <c r="BQ123" i="3"/>
  <c r="BP123" i="3"/>
  <c r="BO123" i="3"/>
  <c r="BN123" i="3"/>
  <c r="BM123" i="3"/>
  <c r="BL123" i="3"/>
  <c r="BK123" i="3"/>
  <c r="BJ123" i="3"/>
  <c r="BI123" i="3"/>
  <c r="BH123" i="3"/>
  <c r="BG123" i="3"/>
  <c r="BF123" i="3"/>
  <c r="BE123" i="3"/>
  <c r="BD123" i="3"/>
  <c r="BC123" i="3"/>
  <c r="BB123" i="3"/>
  <c r="AX123" i="3"/>
  <c r="AW123" i="3"/>
  <c r="AV123" i="3"/>
  <c r="AC123" i="3"/>
  <c r="H123" i="3"/>
  <c r="G123" i="3"/>
  <c r="BT122" i="3"/>
  <c r="BS122" i="3"/>
  <c r="BR122" i="3"/>
  <c r="BQ122" i="3"/>
  <c r="BP122" i="3"/>
  <c r="BO122" i="3"/>
  <c r="BN122" i="3"/>
  <c r="BM122" i="3"/>
  <c r="BL122" i="3"/>
  <c r="BK122" i="3"/>
  <c r="BJ122" i="3"/>
  <c r="BI122" i="3"/>
  <c r="BH122" i="3"/>
  <c r="BG122" i="3"/>
  <c r="BF122" i="3"/>
  <c r="BE122" i="3"/>
  <c r="BD122" i="3"/>
  <c r="BC122" i="3"/>
  <c r="BB122" i="3"/>
  <c r="BA122" i="3"/>
  <c r="AZ122" i="3"/>
  <c r="AX122" i="3"/>
  <c r="AW122" i="3"/>
  <c r="AV122" i="3"/>
  <c r="AC122" i="3"/>
  <c r="H122" i="3"/>
  <c r="G122" i="3"/>
  <c r="BT121" i="3"/>
  <c r="BS121" i="3"/>
  <c r="BR121" i="3"/>
  <c r="BQ121" i="3"/>
  <c r="BP121" i="3"/>
  <c r="BO121" i="3"/>
  <c r="BN121" i="3"/>
  <c r="BM121" i="3"/>
  <c r="BL121" i="3"/>
  <c r="BK121" i="3"/>
  <c r="BJ121" i="3"/>
  <c r="BI121" i="3"/>
  <c r="BH121" i="3"/>
  <c r="BG121" i="3"/>
  <c r="BF121" i="3"/>
  <c r="BE121" i="3"/>
  <c r="BD121" i="3"/>
  <c r="BC121" i="3"/>
  <c r="BB121" i="3"/>
  <c r="BA121" i="3"/>
  <c r="AZ121" i="3"/>
  <c r="AX121" i="3"/>
  <c r="AW121" i="3"/>
  <c r="AV121" i="3"/>
  <c r="AC121" i="3"/>
  <c r="H121" i="3"/>
  <c r="BT120" i="3"/>
  <c r="BS120" i="3"/>
  <c r="BR120" i="3"/>
  <c r="BQ120" i="3"/>
  <c r="BP120" i="3"/>
  <c r="BO120" i="3"/>
  <c r="BN120" i="3"/>
  <c r="BM120" i="3"/>
  <c r="BK120" i="3"/>
  <c r="BJ120" i="3"/>
  <c r="BI120" i="3"/>
  <c r="BH120" i="3"/>
  <c r="BG120" i="3"/>
  <c r="BF120" i="3"/>
  <c r="BE120" i="3"/>
  <c r="BD120" i="3"/>
  <c r="BC120" i="3"/>
  <c r="BB120" i="3"/>
  <c r="BA120" i="3"/>
  <c r="AX120" i="3"/>
  <c r="AW120" i="3"/>
  <c r="AV120" i="3"/>
  <c r="AC120" i="3"/>
  <c r="H120" i="3"/>
  <c r="G120" i="3"/>
  <c r="BT119" i="3"/>
  <c r="BS119" i="3"/>
  <c r="BR119" i="3"/>
  <c r="BQ119" i="3"/>
  <c r="BP119" i="3"/>
  <c r="BO119" i="3"/>
  <c r="BN119" i="3"/>
  <c r="BM119" i="3"/>
  <c r="BL119" i="3"/>
  <c r="BK119" i="3"/>
  <c r="BJ119" i="3"/>
  <c r="BI119" i="3"/>
  <c r="BH119" i="3"/>
  <c r="BG119" i="3"/>
  <c r="BF119" i="3"/>
  <c r="BE119" i="3"/>
  <c r="BD119" i="3"/>
  <c r="BC119" i="3"/>
  <c r="BB119" i="3"/>
  <c r="AX119" i="3"/>
  <c r="AW119" i="3"/>
  <c r="AV119" i="3"/>
  <c r="AC119" i="3"/>
  <c r="H119" i="3"/>
  <c r="G119" i="3"/>
  <c r="BT118" i="3"/>
  <c r="BS118" i="3"/>
  <c r="BR118" i="3"/>
  <c r="BQ118" i="3"/>
  <c r="BP118" i="3"/>
  <c r="BO118" i="3"/>
  <c r="BN118" i="3"/>
  <c r="BM118" i="3"/>
  <c r="BL118" i="3"/>
  <c r="BK118" i="3"/>
  <c r="BJ118" i="3"/>
  <c r="BI118" i="3"/>
  <c r="BH118" i="3"/>
  <c r="BG118" i="3"/>
  <c r="BF118" i="3"/>
  <c r="BE118" i="3"/>
  <c r="BD118" i="3"/>
  <c r="BC118" i="3"/>
  <c r="BB118" i="3"/>
  <c r="BA118" i="3"/>
  <c r="AZ118" i="3"/>
  <c r="AX118" i="3"/>
  <c r="AW118" i="3"/>
  <c r="AV118" i="3"/>
  <c r="AC118" i="3"/>
  <c r="H118" i="3"/>
  <c r="G118" i="3"/>
  <c r="BT117" i="3"/>
  <c r="BS117" i="3"/>
  <c r="BR117" i="3"/>
  <c r="BQ117" i="3"/>
  <c r="BP117" i="3"/>
  <c r="BO117" i="3"/>
  <c r="BN117" i="3"/>
  <c r="BM117" i="3"/>
  <c r="BL117" i="3"/>
  <c r="BK117" i="3"/>
  <c r="BJ117" i="3"/>
  <c r="BI117" i="3"/>
  <c r="BH117" i="3"/>
  <c r="BG117" i="3"/>
  <c r="BF117" i="3"/>
  <c r="BE117" i="3"/>
  <c r="BD117" i="3"/>
  <c r="BC117" i="3"/>
  <c r="BB117" i="3"/>
  <c r="BA117" i="3"/>
  <c r="AX117" i="3"/>
  <c r="AW117" i="3"/>
  <c r="AV117" i="3"/>
  <c r="AC117" i="3"/>
  <c r="H117" i="3"/>
  <c r="BT116" i="3"/>
  <c r="BS116" i="3"/>
  <c r="BR116" i="3"/>
  <c r="BQ116" i="3"/>
  <c r="BP116" i="3"/>
  <c r="BO116" i="3"/>
  <c r="BN116" i="3"/>
  <c r="BM116" i="3"/>
  <c r="BK116" i="3"/>
  <c r="BJ116" i="3"/>
  <c r="BI116" i="3"/>
  <c r="BH116" i="3"/>
  <c r="BG116" i="3"/>
  <c r="BF116" i="3"/>
  <c r="BE116" i="3"/>
  <c r="BD116" i="3"/>
  <c r="BC116" i="3"/>
  <c r="BB116" i="3"/>
  <c r="BA116" i="3"/>
  <c r="AX116" i="3"/>
  <c r="AW116" i="3"/>
  <c r="AV116" i="3"/>
  <c r="AC116" i="3"/>
  <c r="H116" i="3"/>
  <c r="G116" i="3"/>
  <c r="BT115" i="3"/>
  <c r="BS115" i="3"/>
  <c r="BR115" i="3"/>
  <c r="BQ115" i="3"/>
  <c r="BP115" i="3"/>
  <c r="BO115" i="3"/>
  <c r="BN115" i="3"/>
  <c r="BM115" i="3"/>
  <c r="BL115" i="3"/>
  <c r="BK115" i="3"/>
  <c r="BJ115" i="3"/>
  <c r="BI115" i="3"/>
  <c r="BH115" i="3"/>
  <c r="BG115" i="3"/>
  <c r="BF115" i="3"/>
  <c r="BE115" i="3"/>
  <c r="BD115" i="3"/>
  <c r="BC115" i="3"/>
  <c r="BB115" i="3"/>
  <c r="AX115" i="3"/>
  <c r="AW115" i="3"/>
  <c r="AV115" i="3"/>
  <c r="AC115" i="3"/>
  <c r="H115" i="3"/>
  <c r="G115" i="3"/>
  <c r="BT114" i="3"/>
  <c r="BS114" i="3"/>
  <c r="BR114" i="3"/>
  <c r="BQ114" i="3"/>
  <c r="BP114" i="3"/>
  <c r="BO114" i="3"/>
  <c r="BN114" i="3"/>
  <c r="BM114" i="3"/>
  <c r="BL114" i="3"/>
  <c r="BK114" i="3"/>
  <c r="BJ114" i="3"/>
  <c r="BI114" i="3"/>
  <c r="BH114" i="3"/>
  <c r="BG114" i="3"/>
  <c r="BF114" i="3"/>
  <c r="BE114" i="3"/>
  <c r="BD114" i="3"/>
  <c r="BC114" i="3"/>
  <c r="BB114" i="3"/>
  <c r="BA114" i="3"/>
  <c r="AX114" i="3"/>
  <c r="AW114" i="3"/>
  <c r="AV114" i="3"/>
  <c r="AC114" i="3"/>
  <c r="H114" i="3"/>
  <c r="G114" i="3"/>
  <c r="BT113" i="3"/>
  <c r="BS113" i="3"/>
  <c r="BR113" i="3"/>
  <c r="BQ113" i="3"/>
  <c r="BP113" i="3"/>
  <c r="BO113" i="3"/>
  <c r="BN113" i="3"/>
  <c r="BM113" i="3"/>
  <c r="BL113" i="3"/>
  <c r="BK113" i="3"/>
  <c r="BJ113" i="3"/>
  <c r="BI113" i="3"/>
  <c r="BH113" i="3"/>
  <c r="BG113" i="3"/>
  <c r="BF113" i="3"/>
  <c r="BE113" i="3"/>
  <c r="BD113" i="3"/>
  <c r="BC113" i="3"/>
  <c r="BB113" i="3"/>
  <c r="BA113" i="3"/>
  <c r="AZ113" i="3"/>
  <c r="AX113" i="3"/>
  <c r="AW113" i="3"/>
  <c r="AV113" i="3"/>
  <c r="AC113" i="3"/>
  <c r="H113" i="3"/>
  <c r="BT302" i="3"/>
  <c r="BS302" i="3"/>
  <c r="BR302" i="3"/>
  <c r="BQ302" i="3"/>
  <c r="BP302" i="3"/>
  <c r="BO302" i="3"/>
  <c r="BN302" i="3"/>
  <c r="BM302" i="3"/>
  <c r="BL302" i="3"/>
  <c r="BK302" i="3"/>
  <c r="BJ302" i="3"/>
  <c r="BI302" i="3"/>
  <c r="BH302" i="3"/>
  <c r="BG302" i="3"/>
  <c r="BF302" i="3"/>
  <c r="BE302" i="3"/>
  <c r="BD302" i="3"/>
  <c r="BC302" i="3"/>
  <c r="BB302" i="3"/>
  <c r="BA302" i="3"/>
  <c r="AZ302" i="3"/>
  <c r="AX302" i="3"/>
  <c r="AW302" i="3"/>
  <c r="AV302" i="3"/>
  <c r="AC302" i="3"/>
  <c r="H302" i="3"/>
  <c r="G302" i="3"/>
  <c r="BT301" i="3"/>
  <c r="BS301" i="3"/>
  <c r="BR301" i="3"/>
  <c r="BQ301" i="3"/>
  <c r="BP301" i="3"/>
  <c r="BO301" i="3"/>
  <c r="BN301" i="3"/>
  <c r="BM301" i="3"/>
  <c r="BL301" i="3"/>
  <c r="BK301" i="3"/>
  <c r="BJ301" i="3"/>
  <c r="BI301" i="3"/>
  <c r="BH301" i="3"/>
  <c r="BG301" i="3"/>
  <c r="BF301" i="3"/>
  <c r="BE301" i="3"/>
  <c r="BD301" i="3"/>
  <c r="BC301" i="3"/>
  <c r="BB301" i="3"/>
  <c r="BA301" i="3"/>
  <c r="AZ301" i="3"/>
  <c r="AX301" i="3"/>
  <c r="AW301" i="3"/>
  <c r="AV301" i="3"/>
  <c r="AC301" i="3"/>
  <c r="H301" i="3"/>
  <c r="G301" i="3"/>
  <c r="BT300" i="3"/>
  <c r="BS300" i="3"/>
  <c r="BR300" i="3"/>
  <c r="BQ300" i="3"/>
  <c r="BP300" i="3"/>
  <c r="BO300" i="3"/>
  <c r="BN300" i="3"/>
  <c r="BM300" i="3"/>
  <c r="BL300" i="3"/>
  <c r="BK300" i="3"/>
  <c r="BJ300" i="3"/>
  <c r="BI300" i="3"/>
  <c r="BH300" i="3"/>
  <c r="BG300" i="3"/>
  <c r="BF300" i="3"/>
  <c r="BE300" i="3"/>
  <c r="BD300" i="3"/>
  <c r="BC300" i="3"/>
  <c r="BB300" i="3"/>
  <c r="BA300" i="3"/>
  <c r="AZ300" i="3"/>
  <c r="AX300" i="3"/>
  <c r="AW300" i="3"/>
  <c r="AV300" i="3"/>
  <c r="AC300" i="3"/>
  <c r="H300" i="3"/>
  <c r="G300" i="3"/>
  <c r="BT299" i="3"/>
  <c r="BS299" i="3"/>
  <c r="BR299" i="3"/>
  <c r="BQ299" i="3"/>
  <c r="BP299" i="3"/>
  <c r="BO299" i="3"/>
  <c r="BN299" i="3"/>
  <c r="BM299" i="3"/>
  <c r="BL299" i="3"/>
  <c r="BK299" i="3"/>
  <c r="BJ299" i="3"/>
  <c r="BI299" i="3"/>
  <c r="BH299" i="3"/>
  <c r="BG299" i="3"/>
  <c r="BF299" i="3"/>
  <c r="BE299" i="3"/>
  <c r="BD299" i="3"/>
  <c r="BC299" i="3"/>
  <c r="BB299" i="3"/>
  <c r="BA299" i="3"/>
  <c r="AX299" i="3"/>
  <c r="AW299" i="3"/>
  <c r="AV299" i="3"/>
  <c r="AC299" i="3"/>
  <c r="H299" i="3"/>
  <c r="G299" i="3"/>
  <c r="BT298" i="3"/>
  <c r="BS298" i="3"/>
  <c r="BR298" i="3"/>
  <c r="BQ298" i="3"/>
  <c r="BP298" i="3"/>
  <c r="BO298" i="3"/>
  <c r="BN298" i="3"/>
  <c r="BM298" i="3"/>
  <c r="BL298" i="3"/>
  <c r="BK298" i="3"/>
  <c r="BJ298" i="3"/>
  <c r="BI298" i="3"/>
  <c r="BH298" i="3"/>
  <c r="BG298" i="3"/>
  <c r="BF298" i="3"/>
  <c r="BE298" i="3"/>
  <c r="BD298" i="3"/>
  <c r="BC298" i="3"/>
  <c r="BB298" i="3"/>
  <c r="BA298" i="3"/>
  <c r="AZ298" i="3"/>
  <c r="AX298" i="3"/>
  <c r="AW298" i="3"/>
  <c r="AV298" i="3"/>
  <c r="AC298" i="3"/>
  <c r="H298" i="3"/>
  <c r="G298" i="3"/>
  <c r="BT297" i="3"/>
  <c r="BS297" i="3"/>
  <c r="BR297" i="3"/>
  <c r="BQ297" i="3"/>
  <c r="BP297" i="3"/>
  <c r="BO297" i="3"/>
  <c r="BN297" i="3"/>
  <c r="BM297" i="3"/>
  <c r="BL297" i="3"/>
  <c r="BK297" i="3"/>
  <c r="BJ297" i="3"/>
  <c r="BI297" i="3"/>
  <c r="BH297" i="3"/>
  <c r="BG297" i="3"/>
  <c r="BF297" i="3"/>
  <c r="BE297" i="3"/>
  <c r="BD297" i="3"/>
  <c r="BC297" i="3"/>
  <c r="BB297" i="3"/>
  <c r="BA297" i="3"/>
  <c r="AX297" i="3"/>
  <c r="AW297" i="3"/>
  <c r="AV297" i="3"/>
  <c r="AC297" i="3"/>
  <c r="H297" i="3"/>
  <c r="G297" i="3"/>
  <c r="BT296" i="3"/>
  <c r="BS296" i="3"/>
  <c r="BR296" i="3"/>
  <c r="BQ296" i="3"/>
  <c r="BP296" i="3"/>
  <c r="BO296" i="3"/>
  <c r="BN296" i="3"/>
  <c r="BM296" i="3"/>
  <c r="BL296" i="3"/>
  <c r="BK296" i="3"/>
  <c r="BJ296" i="3"/>
  <c r="BI296" i="3"/>
  <c r="BH296" i="3"/>
  <c r="BG296" i="3"/>
  <c r="BF296" i="3"/>
  <c r="BE296" i="3"/>
  <c r="BD296" i="3"/>
  <c r="BC296" i="3"/>
  <c r="BB296" i="3"/>
  <c r="BA296" i="3"/>
  <c r="AX296" i="3"/>
  <c r="AW296" i="3"/>
  <c r="AV296" i="3"/>
  <c r="AC296" i="3"/>
  <c r="H296" i="3"/>
  <c r="G296" i="3"/>
  <c r="BT295" i="3"/>
  <c r="BS295" i="3"/>
  <c r="BR295" i="3"/>
  <c r="BQ295" i="3"/>
  <c r="BP295" i="3"/>
  <c r="BO295" i="3"/>
  <c r="BN295" i="3"/>
  <c r="BM295" i="3"/>
  <c r="BL295" i="3"/>
  <c r="BK295" i="3"/>
  <c r="BJ295" i="3"/>
  <c r="BI295" i="3"/>
  <c r="BH295" i="3"/>
  <c r="BG295" i="3"/>
  <c r="BF295" i="3"/>
  <c r="BE295" i="3"/>
  <c r="BD295" i="3"/>
  <c r="BC295" i="3"/>
  <c r="BB295" i="3"/>
  <c r="BA295" i="3"/>
  <c r="AX295" i="3"/>
  <c r="AW295" i="3"/>
  <c r="AV295" i="3"/>
  <c r="AC295" i="3"/>
  <c r="H295" i="3"/>
  <c r="G295" i="3"/>
  <c r="BT294" i="3"/>
  <c r="BS294" i="3"/>
  <c r="BR294" i="3"/>
  <c r="BQ294" i="3"/>
  <c r="BP294" i="3"/>
  <c r="BO294" i="3"/>
  <c r="BN294" i="3"/>
  <c r="BM294" i="3"/>
  <c r="BL294" i="3"/>
  <c r="BK294" i="3"/>
  <c r="BJ294" i="3"/>
  <c r="BI294" i="3"/>
  <c r="BH294" i="3"/>
  <c r="BG294" i="3"/>
  <c r="BF294" i="3"/>
  <c r="BE294" i="3"/>
  <c r="BD294" i="3"/>
  <c r="BC294" i="3"/>
  <c r="BB294" i="3"/>
  <c r="BA294" i="3"/>
  <c r="AZ294" i="3"/>
  <c r="AX294" i="3"/>
  <c r="AW294" i="3"/>
  <c r="AV294" i="3"/>
  <c r="AC294" i="3"/>
  <c r="H294" i="3"/>
  <c r="G294" i="3"/>
  <c r="BT293" i="3"/>
  <c r="BS293" i="3"/>
  <c r="BR293" i="3"/>
  <c r="BQ293" i="3"/>
  <c r="BP293" i="3"/>
  <c r="BO293" i="3"/>
  <c r="BN293" i="3"/>
  <c r="BM293" i="3"/>
  <c r="BL293" i="3"/>
  <c r="BK293" i="3"/>
  <c r="BJ293" i="3"/>
  <c r="BI293" i="3"/>
  <c r="BH293" i="3"/>
  <c r="BG293" i="3"/>
  <c r="BF293" i="3"/>
  <c r="BE293" i="3"/>
  <c r="BD293" i="3"/>
  <c r="BC293" i="3"/>
  <c r="BB293" i="3"/>
  <c r="BA293" i="3"/>
  <c r="AZ293" i="3"/>
  <c r="AX293" i="3"/>
  <c r="AW293" i="3"/>
  <c r="AV293" i="3"/>
  <c r="AC293" i="3"/>
  <c r="H293" i="3"/>
  <c r="G293" i="3"/>
  <c r="BT292" i="3"/>
  <c r="BS292" i="3"/>
  <c r="BR292" i="3"/>
  <c r="BQ292" i="3"/>
  <c r="BP292" i="3"/>
  <c r="BO292" i="3"/>
  <c r="BN292" i="3"/>
  <c r="BM292" i="3"/>
  <c r="BL292" i="3"/>
  <c r="BK292" i="3"/>
  <c r="BJ292" i="3"/>
  <c r="BI292" i="3"/>
  <c r="BH292" i="3"/>
  <c r="BG292" i="3"/>
  <c r="BF292" i="3"/>
  <c r="BE292" i="3"/>
  <c r="BD292" i="3"/>
  <c r="BC292" i="3"/>
  <c r="BB292" i="3"/>
  <c r="BA292" i="3"/>
  <c r="AZ292" i="3"/>
  <c r="AX292" i="3"/>
  <c r="AW292" i="3"/>
  <c r="AV292" i="3"/>
  <c r="AC292" i="3"/>
  <c r="H292" i="3"/>
  <c r="G292" i="3"/>
  <c r="BT291" i="3"/>
  <c r="BS291" i="3"/>
  <c r="BR291" i="3"/>
  <c r="BQ291" i="3"/>
  <c r="BP291" i="3"/>
  <c r="BO291" i="3"/>
  <c r="BN291" i="3"/>
  <c r="BM291" i="3"/>
  <c r="BL291" i="3"/>
  <c r="BK291" i="3"/>
  <c r="BJ291" i="3"/>
  <c r="BI291" i="3"/>
  <c r="BH291" i="3"/>
  <c r="BG291" i="3"/>
  <c r="BF291" i="3"/>
  <c r="BE291" i="3"/>
  <c r="BD291" i="3"/>
  <c r="BC291" i="3"/>
  <c r="BB291" i="3"/>
  <c r="BA291" i="3"/>
  <c r="AX291" i="3"/>
  <c r="AW291" i="3"/>
  <c r="AV291" i="3"/>
  <c r="AC291" i="3"/>
  <c r="H291" i="3"/>
  <c r="G291" i="3"/>
  <c r="BT290" i="3"/>
  <c r="BS290" i="3"/>
  <c r="BR290" i="3"/>
  <c r="BQ290" i="3"/>
  <c r="BP290" i="3"/>
  <c r="BO290" i="3"/>
  <c r="BN290" i="3"/>
  <c r="BM290" i="3"/>
  <c r="BL290" i="3"/>
  <c r="BK290" i="3"/>
  <c r="BJ290" i="3"/>
  <c r="BI290" i="3"/>
  <c r="BH290" i="3"/>
  <c r="BG290" i="3"/>
  <c r="BF290" i="3"/>
  <c r="BE290" i="3"/>
  <c r="BD290" i="3"/>
  <c r="BC290" i="3"/>
  <c r="BB290" i="3"/>
  <c r="BA290" i="3"/>
  <c r="AZ290" i="3"/>
  <c r="AX290" i="3"/>
  <c r="AW290" i="3"/>
  <c r="AV290" i="3"/>
  <c r="AC290" i="3"/>
  <c r="H290" i="3"/>
  <c r="G290" i="3"/>
  <c r="BT289" i="3"/>
  <c r="BS289" i="3"/>
  <c r="BR289" i="3"/>
  <c r="BQ289" i="3"/>
  <c r="BP289" i="3"/>
  <c r="BO289" i="3"/>
  <c r="BN289" i="3"/>
  <c r="BM289" i="3"/>
  <c r="BL289" i="3"/>
  <c r="BK289" i="3"/>
  <c r="BJ289" i="3"/>
  <c r="BI289" i="3"/>
  <c r="BH289" i="3"/>
  <c r="BG289" i="3"/>
  <c r="BF289" i="3"/>
  <c r="BE289" i="3"/>
  <c r="BD289" i="3"/>
  <c r="BC289" i="3"/>
  <c r="BB289" i="3"/>
  <c r="BA289" i="3"/>
  <c r="AZ289" i="3"/>
  <c r="AX289" i="3"/>
  <c r="AW289" i="3"/>
  <c r="AV289" i="3"/>
  <c r="AC289" i="3"/>
  <c r="H289" i="3"/>
  <c r="G289" i="3"/>
  <c r="BT288" i="3"/>
  <c r="BS288" i="3"/>
  <c r="BR288" i="3"/>
  <c r="BQ288" i="3"/>
  <c r="BP288" i="3"/>
  <c r="BO288" i="3"/>
  <c r="BN288" i="3"/>
  <c r="BM288" i="3"/>
  <c r="BL288" i="3"/>
  <c r="BK288" i="3"/>
  <c r="BJ288" i="3"/>
  <c r="BI288" i="3"/>
  <c r="BH288" i="3"/>
  <c r="BG288" i="3"/>
  <c r="BF288" i="3"/>
  <c r="BE288" i="3"/>
  <c r="BD288" i="3"/>
  <c r="BC288" i="3"/>
  <c r="BB288" i="3"/>
  <c r="BA288" i="3"/>
  <c r="AX288" i="3"/>
  <c r="AW288" i="3"/>
  <c r="AV288" i="3"/>
  <c r="AC288" i="3"/>
  <c r="H288" i="3"/>
  <c r="G288" i="3"/>
  <c r="BT287" i="3"/>
  <c r="BS287" i="3"/>
  <c r="BR287" i="3"/>
  <c r="BQ287" i="3"/>
  <c r="BP287" i="3"/>
  <c r="BO287" i="3"/>
  <c r="BN287" i="3"/>
  <c r="BM287" i="3"/>
  <c r="BL287" i="3"/>
  <c r="BK287" i="3"/>
  <c r="BJ287" i="3"/>
  <c r="BI287" i="3"/>
  <c r="BH287" i="3"/>
  <c r="BG287" i="3"/>
  <c r="BF287" i="3"/>
  <c r="BE287" i="3"/>
  <c r="BD287" i="3"/>
  <c r="BC287" i="3"/>
  <c r="BB287" i="3"/>
  <c r="BA287" i="3"/>
  <c r="AX287" i="3"/>
  <c r="AW287" i="3"/>
  <c r="AV287" i="3"/>
  <c r="AC287" i="3"/>
  <c r="H287" i="3"/>
  <c r="G287" i="3"/>
  <c r="BT286" i="3"/>
  <c r="BS286" i="3"/>
  <c r="BR286" i="3"/>
  <c r="BQ286" i="3"/>
  <c r="BP286" i="3"/>
  <c r="BO286" i="3"/>
  <c r="BN286" i="3"/>
  <c r="BM286" i="3"/>
  <c r="BL286" i="3"/>
  <c r="BK286" i="3"/>
  <c r="BJ286" i="3"/>
  <c r="BI286" i="3"/>
  <c r="BH286" i="3"/>
  <c r="BG286" i="3"/>
  <c r="BF286" i="3"/>
  <c r="BE286" i="3"/>
  <c r="BD286" i="3"/>
  <c r="BC286" i="3"/>
  <c r="BB286" i="3"/>
  <c r="BA286" i="3"/>
  <c r="AX286" i="3"/>
  <c r="AW286" i="3"/>
  <c r="AV286" i="3"/>
  <c r="AC286" i="3"/>
  <c r="H286" i="3"/>
  <c r="G286" i="3"/>
  <c r="BT285" i="3"/>
  <c r="BS285" i="3"/>
  <c r="BR285" i="3"/>
  <c r="BQ285" i="3"/>
  <c r="BP285" i="3"/>
  <c r="BO285" i="3"/>
  <c r="BN285" i="3"/>
  <c r="BM285" i="3"/>
  <c r="BL285" i="3"/>
  <c r="BK285" i="3"/>
  <c r="BJ285" i="3"/>
  <c r="BI285" i="3"/>
  <c r="BH285" i="3"/>
  <c r="BG285" i="3"/>
  <c r="BF285" i="3"/>
  <c r="BE285" i="3"/>
  <c r="BD285" i="3"/>
  <c r="BC285" i="3"/>
  <c r="BB285" i="3"/>
  <c r="BA285" i="3"/>
  <c r="AZ285" i="3"/>
  <c r="AX285" i="3"/>
  <c r="AW285" i="3"/>
  <c r="AV285" i="3"/>
  <c r="AC285" i="3"/>
  <c r="H285" i="3"/>
  <c r="G285" i="3"/>
  <c r="BT284" i="3"/>
  <c r="BS284" i="3"/>
  <c r="BR284" i="3"/>
  <c r="BQ284" i="3"/>
  <c r="BP284" i="3"/>
  <c r="BO284" i="3"/>
  <c r="BN284" i="3"/>
  <c r="BM284" i="3"/>
  <c r="BL284" i="3"/>
  <c r="BK284" i="3"/>
  <c r="BJ284" i="3"/>
  <c r="BI284" i="3"/>
  <c r="BH284" i="3"/>
  <c r="BG284" i="3"/>
  <c r="BF284" i="3"/>
  <c r="BE284" i="3"/>
  <c r="BD284" i="3"/>
  <c r="BC284" i="3"/>
  <c r="BB284" i="3"/>
  <c r="BA284" i="3"/>
  <c r="AZ284" i="3"/>
  <c r="AX284" i="3"/>
  <c r="AW284" i="3"/>
  <c r="AV284" i="3"/>
  <c r="AC284" i="3"/>
  <c r="H284" i="3"/>
  <c r="G284" i="3"/>
  <c r="BT283" i="3"/>
  <c r="BS283" i="3"/>
  <c r="BR283" i="3"/>
  <c r="BQ283" i="3"/>
  <c r="BP283" i="3"/>
  <c r="BO283" i="3"/>
  <c r="BN283" i="3"/>
  <c r="BM283" i="3"/>
  <c r="BL283" i="3"/>
  <c r="BK283" i="3"/>
  <c r="BJ283" i="3"/>
  <c r="BI283" i="3"/>
  <c r="BH283" i="3"/>
  <c r="BG283" i="3"/>
  <c r="BF283" i="3"/>
  <c r="BE283" i="3"/>
  <c r="BD283" i="3"/>
  <c r="BC283" i="3"/>
  <c r="BB283" i="3"/>
  <c r="BA283" i="3"/>
  <c r="AX283" i="3"/>
  <c r="AW283" i="3"/>
  <c r="AV283" i="3"/>
  <c r="AC283" i="3"/>
  <c r="H283" i="3"/>
  <c r="G283" i="3"/>
  <c r="BT282" i="3"/>
  <c r="BS282" i="3"/>
  <c r="BR282" i="3"/>
  <c r="BQ282" i="3"/>
  <c r="BP282" i="3"/>
  <c r="BO282" i="3"/>
  <c r="BN282" i="3"/>
  <c r="BM282" i="3"/>
  <c r="BL282" i="3"/>
  <c r="BK282" i="3"/>
  <c r="BJ282" i="3"/>
  <c r="BI282" i="3"/>
  <c r="BH282" i="3"/>
  <c r="BG282" i="3"/>
  <c r="BF282" i="3"/>
  <c r="BE282" i="3"/>
  <c r="BD282" i="3"/>
  <c r="BC282" i="3"/>
  <c r="BB282" i="3"/>
  <c r="BA282" i="3"/>
  <c r="AZ282" i="3"/>
  <c r="AX282" i="3"/>
  <c r="AW282" i="3"/>
  <c r="AV282" i="3"/>
  <c r="AC282" i="3"/>
  <c r="H282" i="3"/>
  <c r="G282" i="3"/>
  <c r="BT281" i="3"/>
  <c r="BS281" i="3"/>
  <c r="BR281" i="3"/>
  <c r="BQ281" i="3"/>
  <c r="BP281" i="3"/>
  <c r="BO281" i="3"/>
  <c r="BN281" i="3"/>
  <c r="BM281" i="3"/>
  <c r="BL281" i="3"/>
  <c r="BK281" i="3"/>
  <c r="BJ281" i="3"/>
  <c r="BI281" i="3"/>
  <c r="BH281" i="3"/>
  <c r="BG281" i="3"/>
  <c r="BF281" i="3"/>
  <c r="BE281" i="3"/>
  <c r="BD281" i="3"/>
  <c r="BC281" i="3"/>
  <c r="BB281" i="3"/>
  <c r="BA281" i="3"/>
  <c r="AX281" i="3"/>
  <c r="AW281" i="3"/>
  <c r="AV281" i="3"/>
  <c r="AC281" i="3"/>
  <c r="H281" i="3"/>
  <c r="G281" i="3"/>
  <c r="BT280" i="3"/>
  <c r="BS280" i="3"/>
  <c r="BR280" i="3"/>
  <c r="BQ280" i="3"/>
  <c r="BP280" i="3"/>
  <c r="BO280" i="3"/>
  <c r="BN280" i="3"/>
  <c r="BM280" i="3"/>
  <c r="BL280" i="3"/>
  <c r="BK280" i="3"/>
  <c r="BJ280" i="3"/>
  <c r="BI280" i="3"/>
  <c r="BH280" i="3"/>
  <c r="BG280" i="3"/>
  <c r="BF280" i="3"/>
  <c r="BE280" i="3"/>
  <c r="BD280" i="3"/>
  <c r="BC280" i="3"/>
  <c r="BB280" i="3"/>
  <c r="BA280" i="3"/>
  <c r="AX280" i="3"/>
  <c r="AW280" i="3"/>
  <c r="AV280" i="3"/>
  <c r="AC280" i="3"/>
  <c r="H280" i="3"/>
  <c r="G280" i="3"/>
  <c r="BT279" i="3"/>
  <c r="BS279" i="3"/>
  <c r="BR279" i="3"/>
  <c r="BQ279" i="3"/>
  <c r="BP279" i="3"/>
  <c r="BO279" i="3"/>
  <c r="BN279" i="3"/>
  <c r="BM279" i="3"/>
  <c r="BL279" i="3"/>
  <c r="BK279" i="3"/>
  <c r="BJ279" i="3"/>
  <c r="BI279" i="3"/>
  <c r="BH279" i="3"/>
  <c r="BG279" i="3"/>
  <c r="BF279" i="3"/>
  <c r="BE279" i="3"/>
  <c r="BD279" i="3"/>
  <c r="BC279" i="3"/>
  <c r="BB279" i="3"/>
  <c r="BA279" i="3"/>
  <c r="AX279" i="3"/>
  <c r="AW279" i="3"/>
  <c r="AV279" i="3"/>
  <c r="AC279" i="3"/>
  <c r="H279" i="3"/>
  <c r="G279" i="3"/>
  <c r="BT278" i="3"/>
  <c r="BS278" i="3"/>
  <c r="BR278" i="3"/>
  <c r="BQ278" i="3"/>
  <c r="BP278" i="3"/>
  <c r="BO278" i="3"/>
  <c r="BN278" i="3"/>
  <c r="BM278" i="3"/>
  <c r="BL278" i="3"/>
  <c r="BK278" i="3"/>
  <c r="BJ278" i="3"/>
  <c r="BI278" i="3"/>
  <c r="BH278" i="3"/>
  <c r="BG278" i="3"/>
  <c r="BF278" i="3"/>
  <c r="BE278" i="3"/>
  <c r="BD278" i="3"/>
  <c r="BC278" i="3"/>
  <c r="BB278" i="3"/>
  <c r="BA278" i="3"/>
  <c r="AZ278" i="3"/>
  <c r="AX278" i="3"/>
  <c r="AW278" i="3"/>
  <c r="AV278" i="3"/>
  <c r="AC278" i="3"/>
  <c r="H278" i="3"/>
  <c r="G278" i="3"/>
  <c r="BT277" i="3"/>
  <c r="BS277" i="3"/>
  <c r="BR277" i="3"/>
  <c r="BQ277" i="3"/>
  <c r="BP277" i="3"/>
  <c r="BO277" i="3"/>
  <c r="BN277" i="3"/>
  <c r="BM277" i="3"/>
  <c r="BL277" i="3"/>
  <c r="BK277" i="3"/>
  <c r="BJ277" i="3"/>
  <c r="BI277" i="3"/>
  <c r="BH277" i="3"/>
  <c r="BG277" i="3"/>
  <c r="BF277" i="3"/>
  <c r="BE277" i="3"/>
  <c r="BD277" i="3"/>
  <c r="BC277" i="3"/>
  <c r="BB277" i="3"/>
  <c r="BA277" i="3"/>
  <c r="AZ277" i="3"/>
  <c r="AX277" i="3"/>
  <c r="AW277" i="3"/>
  <c r="AV277" i="3"/>
  <c r="AC277" i="3"/>
  <c r="H277" i="3"/>
  <c r="G277" i="3"/>
  <c r="BT276" i="3"/>
  <c r="BS276" i="3"/>
  <c r="BR276" i="3"/>
  <c r="BQ276" i="3"/>
  <c r="BP276" i="3"/>
  <c r="BO276" i="3"/>
  <c r="BN276" i="3"/>
  <c r="BM276" i="3"/>
  <c r="BL276" i="3"/>
  <c r="BK276" i="3"/>
  <c r="BJ276" i="3"/>
  <c r="BI276" i="3"/>
  <c r="BH276" i="3"/>
  <c r="BG276" i="3"/>
  <c r="BF276" i="3"/>
  <c r="BE276" i="3"/>
  <c r="BD276" i="3"/>
  <c r="BC276" i="3"/>
  <c r="BB276" i="3"/>
  <c r="BA276" i="3"/>
  <c r="AZ276" i="3"/>
  <c r="AX276" i="3"/>
  <c r="AW276" i="3"/>
  <c r="AV276" i="3"/>
  <c r="AC276" i="3"/>
  <c r="H276" i="3"/>
  <c r="G276" i="3"/>
  <c r="BT275" i="3"/>
  <c r="BS275" i="3"/>
  <c r="BR275" i="3"/>
  <c r="BQ275" i="3"/>
  <c r="BP275" i="3"/>
  <c r="BO275" i="3"/>
  <c r="BN275" i="3"/>
  <c r="BM275" i="3"/>
  <c r="BL275" i="3"/>
  <c r="BK275" i="3"/>
  <c r="BJ275" i="3"/>
  <c r="BI275" i="3"/>
  <c r="BH275" i="3"/>
  <c r="BG275" i="3"/>
  <c r="BF275" i="3"/>
  <c r="BE275" i="3"/>
  <c r="BD275" i="3"/>
  <c r="BC275" i="3"/>
  <c r="BB275" i="3"/>
  <c r="BA275" i="3"/>
  <c r="AX275" i="3"/>
  <c r="AW275" i="3"/>
  <c r="AV275" i="3"/>
  <c r="AC275" i="3"/>
  <c r="H275" i="3"/>
  <c r="G275" i="3"/>
  <c r="BT274" i="3"/>
  <c r="BS274" i="3"/>
  <c r="BR274" i="3"/>
  <c r="BQ274" i="3"/>
  <c r="BP274" i="3"/>
  <c r="BO274" i="3"/>
  <c r="BN274" i="3"/>
  <c r="BM274" i="3"/>
  <c r="BL274" i="3"/>
  <c r="BK274" i="3"/>
  <c r="BJ274" i="3"/>
  <c r="BI274" i="3"/>
  <c r="BH274" i="3"/>
  <c r="BG274" i="3"/>
  <c r="BF274" i="3"/>
  <c r="BE274" i="3"/>
  <c r="BD274" i="3"/>
  <c r="BC274" i="3"/>
  <c r="BB274" i="3"/>
  <c r="BA274" i="3"/>
  <c r="AZ274" i="3"/>
  <c r="AX274" i="3"/>
  <c r="AW274" i="3"/>
  <c r="AV274" i="3"/>
  <c r="AC274" i="3"/>
  <c r="H274" i="3"/>
  <c r="G274" i="3"/>
  <c r="BT273" i="3"/>
  <c r="BS273" i="3"/>
  <c r="BR273" i="3"/>
  <c r="BQ273" i="3"/>
  <c r="BP273" i="3"/>
  <c r="BO273" i="3"/>
  <c r="BN273" i="3"/>
  <c r="BM273" i="3"/>
  <c r="BL273" i="3"/>
  <c r="BK273" i="3"/>
  <c r="BJ273" i="3"/>
  <c r="BI273" i="3"/>
  <c r="BH273" i="3"/>
  <c r="BG273" i="3"/>
  <c r="BF273" i="3"/>
  <c r="BE273" i="3"/>
  <c r="BD273" i="3"/>
  <c r="BC273" i="3"/>
  <c r="BB273" i="3"/>
  <c r="BA273" i="3"/>
  <c r="AX273" i="3"/>
  <c r="AW273" i="3"/>
  <c r="AV273" i="3"/>
  <c r="AC273" i="3"/>
  <c r="H273" i="3"/>
  <c r="G273" i="3"/>
  <c r="BT272" i="3"/>
  <c r="BS272" i="3"/>
  <c r="BR272" i="3"/>
  <c r="BQ272" i="3"/>
  <c r="BP272" i="3"/>
  <c r="BO272" i="3"/>
  <c r="BN272" i="3"/>
  <c r="BM272" i="3"/>
  <c r="BL272" i="3"/>
  <c r="BK272" i="3"/>
  <c r="BJ272" i="3"/>
  <c r="BI272" i="3"/>
  <c r="BH272" i="3"/>
  <c r="BG272" i="3"/>
  <c r="BF272" i="3"/>
  <c r="BE272" i="3"/>
  <c r="BD272" i="3"/>
  <c r="BC272" i="3"/>
  <c r="BB272" i="3"/>
  <c r="BA272" i="3"/>
  <c r="AZ272" i="3"/>
  <c r="AX272" i="3"/>
  <c r="AW272" i="3"/>
  <c r="AV272" i="3"/>
  <c r="AC272" i="3"/>
  <c r="H272" i="3"/>
  <c r="G272" i="3"/>
  <c r="BT271" i="3"/>
  <c r="BS271" i="3"/>
  <c r="BR271" i="3"/>
  <c r="BQ271" i="3"/>
  <c r="BP271" i="3"/>
  <c r="BO271" i="3"/>
  <c r="BN271" i="3"/>
  <c r="BM271" i="3"/>
  <c r="BL271" i="3"/>
  <c r="BK271" i="3"/>
  <c r="BJ271" i="3"/>
  <c r="BI271" i="3"/>
  <c r="BH271" i="3"/>
  <c r="BG271" i="3"/>
  <c r="BF271" i="3"/>
  <c r="BE271" i="3"/>
  <c r="BD271" i="3"/>
  <c r="BC271" i="3"/>
  <c r="BB271" i="3"/>
  <c r="BA271" i="3"/>
  <c r="AX271" i="3"/>
  <c r="AW271" i="3"/>
  <c r="AV271" i="3"/>
  <c r="AC271" i="3"/>
  <c r="H271" i="3"/>
  <c r="G271" i="3"/>
  <c r="BT270" i="3"/>
  <c r="BS270" i="3"/>
  <c r="BR270" i="3"/>
  <c r="BQ270" i="3"/>
  <c r="BP270" i="3"/>
  <c r="BO270" i="3"/>
  <c r="BN270" i="3"/>
  <c r="BM270" i="3"/>
  <c r="BL270" i="3"/>
  <c r="BK270" i="3"/>
  <c r="BJ270" i="3"/>
  <c r="BI270" i="3"/>
  <c r="BH270" i="3"/>
  <c r="BG270" i="3"/>
  <c r="BF270" i="3"/>
  <c r="BE270" i="3"/>
  <c r="BD270" i="3"/>
  <c r="BC270" i="3"/>
  <c r="BB270" i="3"/>
  <c r="BA270" i="3"/>
  <c r="AZ270" i="3"/>
  <c r="AX270" i="3"/>
  <c r="AW270" i="3"/>
  <c r="AV270" i="3"/>
  <c r="AC270" i="3"/>
  <c r="H270" i="3"/>
  <c r="G270" i="3"/>
  <c r="BT269" i="3"/>
  <c r="BS269" i="3"/>
  <c r="BR269" i="3"/>
  <c r="BQ269" i="3"/>
  <c r="BP269" i="3"/>
  <c r="BO269" i="3"/>
  <c r="BN269" i="3"/>
  <c r="BM269" i="3"/>
  <c r="BL269" i="3"/>
  <c r="BK269" i="3"/>
  <c r="BJ269" i="3"/>
  <c r="BI269" i="3"/>
  <c r="BH269" i="3"/>
  <c r="BG269" i="3"/>
  <c r="BF269" i="3"/>
  <c r="BE269" i="3"/>
  <c r="BD269" i="3"/>
  <c r="BC269" i="3"/>
  <c r="BB269" i="3"/>
  <c r="BA269" i="3"/>
  <c r="AX269" i="3"/>
  <c r="AW269" i="3"/>
  <c r="AV269" i="3"/>
  <c r="AC269" i="3"/>
  <c r="H269" i="3"/>
  <c r="G269" i="3"/>
  <c r="BT268" i="3"/>
  <c r="BS268" i="3"/>
  <c r="BR268" i="3"/>
  <c r="BQ268" i="3"/>
  <c r="BP268" i="3"/>
  <c r="BO268" i="3"/>
  <c r="BN268" i="3"/>
  <c r="BM268" i="3"/>
  <c r="BL268" i="3"/>
  <c r="BK268" i="3"/>
  <c r="BJ268" i="3"/>
  <c r="BI268" i="3"/>
  <c r="BH268" i="3"/>
  <c r="BG268" i="3"/>
  <c r="BF268" i="3"/>
  <c r="BE268" i="3"/>
  <c r="BD268" i="3"/>
  <c r="BC268" i="3"/>
  <c r="BB268" i="3"/>
  <c r="BA268" i="3"/>
  <c r="AX268" i="3"/>
  <c r="AW268" i="3"/>
  <c r="AV268" i="3"/>
  <c r="AC268" i="3"/>
  <c r="H268" i="3"/>
  <c r="G268" i="3"/>
  <c r="BT267" i="3"/>
  <c r="BS267" i="3"/>
  <c r="BR267" i="3"/>
  <c r="BQ267" i="3"/>
  <c r="BP267" i="3"/>
  <c r="BO267" i="3"/>
  <c r="BN267" i="3"/>
  <c r="BM267" i="3"/>
  <c r="BL267" i="3"/>
  <c r="BK267" i="3"/>
  <c r="BJ267" i="3"/>
  <c r="BI267" i="3"/>
  <c r="BH267" i="3"/>
  <c r="BG267" i="3"/>
  <c r="BF267" i="3"/>
  <c r="BE267" i="3"/>
  <c r="BD267" i="3"/>
  <c r="BC267" i="3"/>
  <c r="BB267" i="3"/>
  <c r="BA267" i="3"/>
  <c r="AZ267" i="3"/>
  <c r="AX267" i="3"/>
  <c r="AW267" i="3"/>
  <c r="AV267" i="3"/>
  <c r="AC267" i="3"/>
  <c r="H267" i="3"/>
  <c r="G267" i="3"/>
  <c r="BT266" i="3"/>
  <c r="BS266" i="3"/>
  <c r="BR266" i="3"/>
  <c r="BQ266" i="3"/>
  <c r="BP266" i="3"/>
  <c r="BO266" i="3"/>
  <c r="BN266" i="3"/>
  <c r="BM266" i="3"/>
  <c r="BL266" i="3"/>
  <c r="BK266" i="3"/>
  <c r="BJ266" i="3"/>
  <c r="BI266" i="3"/>
  <c r="BH266" i="3"/>
  <c r="BG266" i="3"/>
  <c r="BF266" i="3"/>
  <c r="BE266" i="3"/>
  <c r="BD266" i="3"/>
  <c r="BC266" i="3"/>
  <c r="BB266" i="3"/>
  <c r="BA266" i="3"/>
  <c r="AX266" i="3"/>
  <c r="AW266" i="3"/>
  <c r="AV266" i="3"/>
  <c r="AC266" i="3"/>
  <c r="H266" i="3"/>
  <c r="G266" i="3"/>
  <c r="BT265" i="3"/>
  <c r="BS265" i="3"/>
  <c r="BR265" i="3"/>
  <c r="BQ265" i="3"/>
  <c r="BP265" i="3"/>
  <c r="BO265" i="3"/>
  <c r="BN265" i="3"/>
  <c r="BM265" i="3"/>
  <c r="BL265" i="3"/>
  <c r="BK265" i="3"/>
  <c r="BJ265" i="3"/>
  <c r="BI265" i="3"/>
  <c r="BH265" i="3"/>
  <c r="BG265" i="3"/>
  <c r="BF265" i="3"/>
  <c r="BE265" i="3"/>
  <c r="BD265" i="3"/>
  <c r="BC265" i="3"/>
  <c r="BB265" i="3"/>
  <c r="BA265" i="3"/>
  <c r="AX265" i="3"/>
  <c r="AW265" i="3"/>
  <c r="AV265" i="3"/>
  <c r="AC265" i="3"/>
  <c r="H265" i="3"/>
  <c r="G265" i="3"/>
  <c r="BT264" i="3"/>
  <c r="BS264" i="3"/>
  <c r="BR264" i="3"/>
  <c r="BQ264" i="3"/>
  <c r="BP264" i="3"/>
  <c r="BO264" i="3"/>
  <c r="BN264" i="3"/>
  <c r="BM264" i="3"/>
  <c r="BL264" i="3"/>
  <c r="BK264" i="3"/>
  <c r="BJ264" i="3"/>
  <c r="BI264" i="3"/>
  <c r="BH264" i="3"/>
  <c r="BG264" i="3"/>
  <c r="BF264" i="3"/>
  <c r="BE264" i="3"/>
  <c r="BD264" i="3"/>
  <c r="BC264" i="3"/>
  <c r="BB264" i="3"/>
  <c r="BA264" i="3"/>
  <c r="AZ264" i="3"/>
  <c r="AX264" i="3"/>
  <c r="AW264" i="3"/>
  <c r="AV264" i="3"/>
  <c r="AC264" i="3"/>
  <c r="H264" i="3"/>
  <c r="G264" i="3"/>
  <c r="BT263" i="3"/>
  <c r="BS263" i="3"/>
  <c r="BR263" i="3"/>
  <c r="BQ263" i="3"/>
  <c r="BP263" i="3"/>
  <c r="BO263" i="3"/>
  <c r="BN263" i="3"/>
  <c r="BM263" i="3"/>
  <c r="BL263" i="3"/>
  <c r="BK263" i="3"/>
  <c r="BJ263" i="3"/>
  <c r="BI263" i="3"/>
  <c r="BH263" i="3"/>
  <c r="BG263" i="3"/>
  <c r="BF263" i="3"/>
  <c r="BE263" i="3"/>
  <c r="BD263" i="3"/>
  <c r="BC263" i="3"/>
  <c r="BB263" i="3"/>
  <c r="BA263" i="3"/>
  <c r="AX263" i="3"/>
  <c r="AW263" i="3"/>
  <c r="AV263" i="3"/>
  <c r="AC263" i="3"/>
  <c r="H263" i="3"/>
  <c r="G263" i="3"/>
  <c r="BT262" i="3"/>
  <c r="BS262" i="3"/>
  <c r="BR262" i="3"/>
  <c r="BQ262" i="3"/>
  <c r="BP262" i="3"/>
  <c r="BO262" i="3"/>
  <c r="BN262" i="3"/>
  <c r="BM262" i="3"/>
  <c r="BL262" i="3"/>
  <c r="BK262" i="3"/>
  <c r="BJ262" i="3"/>
  <c r="BI262" i="3"/>
  <c r="BH262" i="3"/>
  <c r="BG262" i="3"/>
  <c r="BF262" i="3"/>
  <c r="BE262" i="3"/>
  <c r="BD262" i="3"/>
  <c r="BC262" i="3"/>
  <c r="BB262" i="3"/>
  <c r="BA262" i="3"/>
  <c r="AZ262" i="3"/>
  <c r="AX262" i="3"/>
  <c r="AW262" i="3"/>
  <c r="AV262" i="3"/>
  <c r="AC262" i="3"/>
  <c r="H262" i="3"/>
  <c r="G262" i="3"/>
  <c r="BT261" i="3"/>
  <c r="BS261" i="3"/>
  <c r="BR261" i="3"/>
  <c r="BQ261" i="3"/>
  <c r="BP261" i="3"/>
  <c r="BO261" i="3"/>
  <c r="BN261" i="3"/>
  <c r="BM261" i="3"/>
  <c r="BL261" i="3"/>
  <c r="BK261" i="3"/>
  <c r="BJ261" i="3"/>
  <c r="BI261" i="3"/>
  <c r="BH261" i="3"/>
  <c r="BG261" i="3"/>
  <c r="BF261" i="3"/>
  <c r="BE261" i="3"/>
  <c r="BD261" i="3"/>
  <c r="BC261" i="3"/>
  <c r="BB261" i="3"/>
  <c r="BA261" i="3"/>
  <c r="AX261" i="3"/>
  <c r="AW261" i="3"/>
  <c r="AV261" i="3"/>
  <c r="AC261" i="3"/>
  <c r="H261" i="3"/>
  <c r="G261" i="3"/>
  <c r="BT260" i="3"/>
  <c r="BS260" i="3"/>
  <c r="BR260" i="3"/>
  <c r="BQ260" i="3"/>
  <c r="BP260" i="3"/>
  <c r="BO260" i="3"/>
  <c r="BN260" i="3"/>
  <c r="BM260" i="3"/>
  <c r="BL260" i="3"/>
  <c r="BK260" i="3"/>
  <c r="BJ260" i="3"/>
  <c r="BI260" i="3"/>
  <c r="BH260" i="3"/>
  <c r="BG260" i="3"/>
  <c r="BF260" i="3"/>
  <c r="BE260" i="3"/>
  <c r="BD260" i="3"/>
  <c r="BC260" i="3"/>
  <c r="BB260" i="3"/>
  <c r="BA260" i="3"/>
  <c r="AZ260" i="3"/>
  <c r="AX260" i="3"/>
  <c r="AW260" i="3"/>
  <c r="AV260" i="3"/>
  <c r="AC260" i="3"/>
  <c r="H260" i="3"/>
  <c r="G260" i="3"/>
  <c r="BT259" i="3"/>
  <c r="BS259" i="3"/>
  <c r="BR259" i="3"/>
  <c r="BQ259" i="3"/>
  <c r="BP259" i="3"/>
  <c r="BO259" i="3"/>
  <c r="BN259" i="3"/>
  <c r="BM259" i="3"/>
  <c r="BL259" i="3"/>
  <c r="BK259" i="3"/>
  <c r="BJ259" i="3"/>
  <c r="BI259" i="3"/>
  <c r="BH259" i="3"/>
  <c r="BG259" i="3"/>
  <c r="BF259" i="3"/>
  <c r="BE259" i="3"/>
  <c r="BD259" i="3"/>
  <c r="BC259" i="3"/>
  <c r="BB259" i="3"/>
  <c r="BA259" i="3"/>
  <c r="AX259" i="3"/>
  <c r="AW259" i="3"/>
  <c r="AV259" i="3"/>
  <c r="AC259" i="3"/>
  <c r="H259" i="3"/>
  <c r="G259" i="3"/>
  <c r="BT258" i="3"/>
  <c r="BS258" i="3"/>
  <c r="BR258" i="3"/>
  <c r="BQ258" i="3"/>
  <c r="BP258" i="3"/>
  <c r="BO258" i="3"/>
  <c r="BN258" i="3"/>
  <c r="BM258" i="3"/>
  <c r="BL258" i="3"/>
  <c r="BK258" i="3"/>
  <c r="BJ258" i="3"/>
  <c r="BI258" i="3"/>
  <c r="BH258" i="3"/>
  <c r="BG258" i="3"/>
  <c r="BF258" i="3"/>
  <c r="BE258" i="3"/>
  <c r="BD258" i="3"/>
  <c r="BC258" i="3"/>
  <c r="BB258" i="3"/>
  <c r="BA258" i="3"/>
  <c r="AZ258" i="3"/>
  <c r="AX258" i="3"/>
  <c r="AW258" i="3"/>
  <c r="AV258" i="3"/>
  <c r="AC258" i="3"/>
  <c r="H258" i="3"/>
  <c r="G258" i="3"/>
  <c r="BT257" i="3"/>
  <c r="BS257" i="3"/>
  <c r="BR257" i="3"/>
  <c r="BQ257" i="3"/>
  <c r="BP257" i="3"/>
  <c r="BO257" i="3"/>
  <c r="BN257" i="3"/>
  <c r="BM257" i="3"/>
  <c r="BL257" i="3"/>
  <c r="BK257" i="3"/>
  <c r="BJ257" i="3"/>
  <c r="BI257" i="3"/>
  <c r="BH257" i="3"/>
  <c r="BG257" i="3"/>
  <c r="BF257" i="3"/>
  <c r="BE257" i="3"/>
  <c r="BD257" i="3"/>
  <c r="BC257" i="3"/>
  <c r="BB257" i="3"/>
  <c r="BA257" i="3"/>
  <c r="AX257" i="3"/>
  <c r="AW257" i="3"/>
  <c r="AV257" i="3"/>
  <c r="AC257" i="3"/>
  <c r="H257" i="3"/>
  <c r="G257" i="3"/>
  <c r="BT256" i="3"/>
  <c r="BS256" i="3"/>
  <c r="BR256" i="3"/>
  <c r="BQ256" i="3"/>
  <c r="BP256" i="3"/>
  <c r="BO256" i="3"/>
  <c r="BN256" i="3"/>
  <c r="BM256" i="3"/>
  <c r="BL256" i="3"/>
  <c r="BK256" i="3"/>
  <c r="BJ256" i="3"/>
  <c r="BI256" i="3"/>
  <c r="BH256" i="3"/>
  <c r="BG256" i="3"/>
  <c r="BF256" i="3"/>
  <c r="BE256" i="3"/>
  <c r="BD256" i="3"/>
  <c r="BC256" i="3"/>
  <c r="BB256" i="3"/>
  <c r="BA256" i="3"/>
  <c r="AX256" i="3"/>
  <c r="AW256" i="3"/>
  <c r="AV256" i="3"/>
  <c r="AC256" i="3"/>
  <c r="H256" i="3"/>
  <c r="G256" i="3"/>
  <c r="BT255" i="3"/>
  <c r="BS255" i="3"/>
  <c r="BR255" i="3"/>
  <c r="BQ255" i="3"/>
  <c r="BP255" i="3"/>
  <c r="BO255" i="3"/>
  <c r="BN255" i="3"/>
  <c r="BM255" i="3"/>
  <c r="BL255" i="3"/>
  <c r="BK255" i="3"/>
  <c r="BJ255" i="3"/>
  <c r="BI255" i="3"/>
  <c r="BH255" i="3"/>
  <c r="BG255" i="3"/>
  <c r="BF255" i="3"/>
  <c r="BE255" i="3"/>
  <c r="BD255" i="3"/>
  <c r="BC255" i="3"/>
  <c r="BB255" i="3"/>
  <c r="BA255" i="3"/>
  <c r="AZ255" i="3"/>
  <c r="AX255" i="3"/>
  <c r="AW255" i="3"/>
  <c r="AV255" i="3"/>
  <c r="AC255" i="3"/>
  <c r="H255" i="3"/>
  <c r="G255" i="3"/>
  <c r="BT254" i="3"/>
  <c r="BS254" i="3"/>
  <c r="BR254" i="3"/>
  <c r="BQ254" i="3"/>
  <c r="BP254" i="3"/>
  <c r="BO254" i="3"/>
  <c r="BN254" i="3"/>
  <c r="BM254" i="3"/>
  <c r="BL254" i="3"/>
  <c r="BK254" i="3"/>
  <c r="BJ254" i="3"/>
  <c r="BI254" i="3"/>
  <c r="BH254" i="3"/>
  <c r="BG254" i="3"/>
  <c r="BF254" i="3"/>
  <c r="BE254" i="3"/>
  <c r="BD254" i="3"/>
  <c r="BC254" i="3"/>
  <c r="BB254" i="3"/>
  <c r="BA254" i="3"/>
  <c r="AX254" i="3"/>
  <c r="AW254" i="3"/>
  <c r="AV254" i="3"/>
  <c r="AC254" i="3"/>
  <c r="H254" i="3"/>
  <c r="G254" i="3"/>
  <c r="BT253" i="3"/>
  <c r="BS253" i="3"/>
  <c r="BR253" i="3"/>
  <c r="BQ253" i="3"/>
  <c r="BP253" i="3"/>
  <c r="BO253" i="3"/>
  <c r="BN253" i="3"/>
  <c r="BM253" i="3"/>
  <c r="BL253" i="3"/>
  <c r="BK253" i="3"/>
  <c r="BJ253" i="3"/>
  <c r="BI253" i="3"/>
  <c r="BH253" i="3"/>
  <c r="BG253" i="3"/>
  <c r="BF253" i="3"/>
  <c r="BE253" i="3"/>
  <c r="BD253" i="3"/>
  <c r="BC253" i="3"/>
  <c r="BB253" i="3"/>
  <c r="BA253" i="3"/>
  <c r="AX253" i="3"/>
  <c r="AW253" i="3"/>
  <c r="AV253" i="3"/>
  <c r="AC253" i="3"/>
  <c r="H253" i="3"/>
  <c r="G253" i="3"/>
  <c r="BT252" i="3"/>
  <c r="BS252" i="3"/>
  <c r="BR252" i="3"/>
  <c r="BQ252" i="3"/>
  <c r="BP252" i="3"/>
  <c r="BO252" i="3"/>
  <c r="BN252" i="3"/>
  <c r="BM252" i="3"/>
  <c r="BL252" i="3"/>
  <c r="BK252" i="3"/>
  <c r="BJ252" i="3"/>
  <c r="BI252" i="3"/>
  <c r="BH252" i="3"/>
  <c r="BG252" i="3"/>
  <c r="BF252" i="3"/>
  <c r="BE252" i="3"/>
  <c r="BD252" i="3"/>
  <c r="BC252" i="3"/>
  <c r="BB252" i="3"/>
  <c r="BA252" i="3"/>
  <c r="AZ252" i="3"/>
  <c r="AX252" i="3"/>
  <c r="AW252" i="3"/>
  <c r="AV252" i="3"/>
  <c r="AC252" i="3"/>
  <c r="H252" i="3"/>
  <c r="G252" i="3"/>
  <c r="BT251" i="3"/>
  <c r="BS251" i="3"/>
  <c r="BR251" i="3"/>
  <c r="BQ251" i="3"/>
  <c r="BP251" i="3"/>
  <c r="BO251" i="3"/>
  <c r="BN251" i="3"/>
  <c r="BM251" i="3"/>
  <c r="BL251" i="3"/>
  <c r="BK251" i="3"/>
  <c r="BJ251" i="3"/>
  <c r="BI251" i="3"/>
  <c r="BH251" i="3"/>
  <c r="BG251" i="3"/>
  <c r="BF251" i="3"/>
  <c r="BE251" i="3"/>
  <c r="BD251" i="3"/>
  <c r="BC251" i="3"/>
  <c r="BB251" i="3"/>
  <c r="BA251" i="3"/>
  <c r="AX251" i="3"/>
  <c r="AW251" i="3"/>
  <c r="AV251" i="3"/>
  <c r="AC251" i="3"/>
  <c r="H251" i="3"/>
  <c r="G251" i="3"/>
  <c r="BT250" i="3"/>
  <c r="BS250" i="3"/>
  <c r="BR250" i="3"/>
  <c r="BQ250" i="3"/>
  <c r="BP250" i="3"/>
  <c r="BO250" i="3"/>
  <c r="BN250" i="3"/>
  <c r="BM250" i="3"/>
  <c r="BL250" i="3"/>
  <c r="BK250" i="3"/>
  <c r="BJ250" i="3"/>
  <c r="BI250" i="3"/>
  <c r="BH250" i="3"/>
  <c r="BG250" i="3"/>
  <c r="BF250" i="3"/>
  <c r="BE250" i="3"/>
  <c r="BD250" i="3"/>
  <c r="BC250" i="3"/>
  <c r="BB250" i="3"/>
  <c r="BA250" i="3"/>
  <c r="AX250" i="3"/>
  <c r="AW250" i="3"/>
  <c r="AV250" i="3"/>
  <c r="AC250" i="3"/>
  <c r="H250" i="3"/>
  <c r="G250" i="3"/>
  <c r="BT249" i="3"/>
  <c r="BS249" i="3"/>
  <c r="BR249" i="3"/>
  <c r="BQ249" i="3"/>
  <c r="BP249" i="3"/>
  <c r="BO249" i="3"/>
  <c r="BN249" i="3"/>
  <c r="BM249" i="3"/>
  <c r="BL249" i="3"/>
  <c r="BK249" i="3"/>
  <c r="BJ249" i="3"/>
  <c r="BI249" i="3"/>
  <c r="BH249" i="3"/>
  <c r="BG249" i="3"/>
  <c r="BF249" i="3"/>
  <c r="BE249" i="3"/>
  <c r="BD249" i="3"/>
  <c r="BC249" i="3"/>
  <c r="BB249" i="3"/>
  <c r="BA249" i="3"/>
  <c r="AX249" i="3"/>
  <c r="AW249" i="3"/>
  <c r="AV249" i="3"/>
  <c r="AC249" i="3"/>
  <c r="H249" i="3"/>
  <c r="G249" i="3"/>
  <c r="BT248" i="3"/>
  <c r="BS248" i="3"/>
  <c r="BR248" i="3"/>
  <c r="BQ248" i="3"/>
  <c r="BP248" i="3"/>
  <c r="BO248" i="3"/>
  <c r="BN248" i="3"/>
  <c r="BM248" i="3"/>
  <c r="BL248" i="3"/>
  <c r="BK248" i="3"/>
  <c r="BJ248" i="3"/>
  <c r="BI248" i="3"/>
  <c r="BH248" i="3"/>
  <c r="BG248" i="3"/>
  <c r="BF248" i="3"/>
  <c r="BE248" i="3"/>
  <c r="BD248" i="3"/>
  <c r="BC248" i="3"/>
  <c r="BB248" i="3"/>
  <c r="BA248" i="3"/>
  <c r="AX248" i="3"/>
  <c r="AW248" i="3"/>
  <c r="AV248" i="3"/>
  <c r="AC248" i="3"/>
  <c r="H248" i="3"/>
  <c r="G248" i="3"/>
  <c r="BT247" i="3"/>
  <c r="BS247" i="3"/>
  <c r="BR247" i="3"/>
  <c r="BQ247" i="3"/>
  <c r="BP247" i="3"/>
  <c r="BO247" i="3"/>
  <c r="BN247" i="3"/>
  <c r="BM247" i="3"/>
  <c r="BL247" i="3"/>
  <c r="BK247" i="3"/>
  <c r="BJ247" i="3"/>
  <c r="BI247" i="3"/>
  <c r="BH247" i="3"/>
  <c r="BG247" i="3"/>
  <c r="BF247" i="3"/>
  <c r="BE247" i="3"/>
  <c r="BD247" i="3"/>
  <c r="BC247" i="3"/>
  <c r="BB247" i="3"/>
  <c r="BA247" i="3"/>
  <c r="AZ247" i="3"/>
  <c r="AX247" i="3"/>
  <c r="AW247" i="3"/>
  <c r="AV247" i="3"/>
  <c r="AC247" i="3"/>
  <c r="H247" i="3"/>
  <c r="G247" i="3"/>
  <c r="BT246" i="3"/>
  <c r="BS246" i="3"/>
  <c r="BR246" i="3"/>
  <c r="BQ246" i="3"/>
  <c r="BP246" i="3"/>
  <c r="BO246" i="3"/>
  <c r="BN246" i="3"/>
  <c r="BM246" i="3"/>
  <c r="BL246" i="3"/>
  <c r="BK246" i="3"/>
  <c r="BJ246" i="3"/>
  <c r="BI246" i="3"/>
  <c r="BH246" i="3"/>
  <c r="BG246" i="3"/>
  <c r="BF246" i="3"/>
  <c r="BE246" i="3"/>
  <c r="BD246" i="3"/>
  <c r="BC246" i="3"/>
  <c r="BB246" i="3"/>
  <c r="BA246" i="3"/>
  <c r="AZ246" i="3"/>
  <c r="AX246" i="3"/>
  <c r="AW246" i="3"/>
  <c r="AV246" i="3"/>
  <c r="AC246" i="3"/>
  <c r="H246" i="3"/>
  <c r="G246" i="3"/>
  <c r="BT245" i="3"/>
  <c r="BS245" i="3"/>
  <c r="BR245" i="3"/>
  <c r="BQ245" i="3"/>
  <c r="BP245" i="3"/>
  <c r="BO245" i="3"/>
  <c r="BN245" i="3"/>
  <c r="BM245" i="3"/>
  <c r="BL245" i="3"/>
  <c r="BK245" i="3"/>
  <c r="BJ245" i="3"/>
  <c r="BI245" i="3"/>
  <c r="BH245" i="3"/>
  <c r="BG245" i="3"/>
  <c r="BF245" i="3"/>
  <c r="BE245" i="3"/>
  <c r="BD245" i="3"/>
  <c r="BC245" i="3"/>
  <c r="BB245" i="3"/>
  <c r="BA245" i="3"/>
  <c r="AX245" i="3"/>
  <c r="AW245" i="3"/>
  <c r="AV245" i="3"/>
  <c r="AC245" i="3"/>
  <c r="H245" i="3"/>
  <c r="G245" i="3"/>
  <c r="BT244" i="3"/>
  <c r="BS244" i="3"/>
  <c r="BR244" i="3"/>
  <c r="BQ244" i="3"/>
  <c r="BP244" i="3"/>
  <c r="BO244" i="3"/>
  <c r="BN244" i="3"/>
  <c r="BM244" i="3"/>
  <c r="BL244" i="3"/>
  <c r="BK244" i="3"/>
  <c r="BJ244" i="3"/>
  <c r="BI244" i="3"/>
  <c r="BH244" i="3"/>
  <c r="BG244" i="3"/>
  <c r="BF244" i="3"/>
  <c r="BE244" i="3"/>
  <c r="BD244" i="3"/>
  <c r="BC244" i="3"/>
  <c r="BB244" i="3"/>
  <c r="BA244" i="3"/>
  <c r="AZ244" i="3"/>
  <c r="AX244" i="3"/>
  <c r="AW244" i="3"/>
  <c r="AV244" i="3"/>
  <c r="AC244" i="3"/>
  <c r="H244" i="3"/>
  <c r="G244" i="3"/>
  <c r="BT243" i="3"/>
  <c r="BS243" i="3"/>
  <c r="BR243" i="3"/>
  <c r="BQ243" i="3"/>
  <c r="BP243" i="3"/>
  <c r="BO243" i="3"/>
  <c r="BN243" i="3"/>
  <c r="BM243" i="3"/>
  <c r="BL243" i="3"/>
  <c r="BK243" i="3"/>
  <c r="BJ243" i="3"/>
  <c r="BI243" i="3"/>
  <c r="BH243" i="3"/>
  <c r="BG243" i="3"/>
  <c r="BF243" i="3"/>
  <c r="BE243" i="3"/>
  <c r="BD243" i="3"/>
  <c r="BC243" i="3"/>
  <c r="BB243" i="3"/>
  <c r="BA243" i="3"/>
  <c r="AX243" i="3"/>
  <c r="AW243" i="3"/>
  <c r="AV243" i="3"/>
  <c r="AC243" i="3"/>
  <c r="H243" i="3"/>
  <c r="G243" i="3"/>
  <c r="BT242" i="3"/>
  <c r="BS242" i="3"/>
  <c r="BR242" i="3"/>
  <c r="BQ242" i="3"/>
  <c r="BP242" i="3"/>
  <c r="BO242" i="3"/>
  <c r="BN242" i="3"/>
  <c r="BM242" i="3"/>
  <c r="BL242" i="3"/>
  <c r="BK242" i="3"/>
  <c r="BJ242" i="3"/>
  <c r="BI242" i="3"/>
  <c r="BH242" i="3"/>
  <c r="BG242" i="3"/>
  <c r="BF242" i="3"/>
  <c r="BE242" i="3"/>
  <c r="BD242" i="3"/>
  <c r="BC242" i="3"/>
  <c r="BB242" i="3"/>
  <c r="BA242" i="3"/>
  <c r="AZ242" i="3"/>
  <c r="AX242" i="3"/>
  <c r="AW242" i="3"/>
  <c r="AV242" i="3"/>
  <c r="AC242" i="3"/>
  <c r="H242" i="3"/>
  <c r="G242" i="3"/>
  <c r="BT241" i="3"/>
  <c r="BS241" i="3"/>
  <c r="BR241" i="3"/>
  <c r="BQ241" i="3"/>
  <c r="BP241" i="3"/>
  <c r="BO241" i="3"/>
  <c r="BN241" i="3"/>
  <c r="BM241" i="3"/>
  <c r="BL241" i="3"/>
  <c r="BK241" i="3"/>
  <c r="BJ241" i="3"/>
  <c r="BI241" i="3"/>
  <c r="BH241" i="3"/>
  <c r="BG241" i="3"/>
  <c r="BF241" i="3"/>
  <c r="BE241" i="3"/>
  <c r="BD241" i="3"/>
  <c r="BC241" i="3"/>
  <c r="BB241" i="3"/>
  <c r="BA241" i="3"/>
  <c r="AX241" i="3"/>
  <c r="AW241" i="3"/>
  <c r="AV241" i="3"/>
  <c r="AC241" i="3"/>
  <c r="H241" i="3"/>
  <c r="G241" i="3"/>
  <c r="BT240" i="3"/>
  <c r="BS240" i="3"/>
  <c r="BR240" i="3"/>
  <c r="BQ240" i="3"/>
  <c r="BP240" i="3"/>
  <c r="BO240" i="3"/>
  <c r="BN240" i="3"/>
  <c r="BM240" i="3"/>
  <c r="BL240" i="3"/>
  <c r="BK240" i="3"/>
  <c r="BJ240" i="3"/>
  <c r="BI240" i="3"/>
  <c r="BH240" i="3"/>
  <c r="BG240" i="3"/>
  <c r="BF240" i="3"/>
  <c r="BE240" i="3"/>
  <c r="BD240" i="3"/>
  <c r="BC240" i="3"/>
  <c r="BB240" i="3"/>
  <c r="BA240" i="3"/>
  <c r="AX240" i="3"/>
  <c r="AW240" i="3"/>
  <c r="AV240" i="3"/>
  <c r="AC240" i="3"/>
  <c r="H240" i="3"/>
  <c r="G240" i="3"/>
  <c r="BT239" i="3"/>
  <c r="BS239" i="3"/>
  <c r="BR239" i="3"/>
  <c r="BQ239" i="3"/>
  <c r="BP239" i="3"/>
  <c r="BO239" i="3"/>
  <c r="BN239" i="3"/>
  <c r="BM239" i="3"/>
  <c r="BL239" i="3"/>
  <c r="BK239" i="3"/>
  <c r="BJ239" i="3"/>
  <c r="BI239" i="3"/>
  <c r="BH239" i="3"/>
  <c r="BG239" i="3"/>
  <c r="BF239" i="3"/>
  <c r="BE239" i="3"/>
  <c r="BD239" i="3"/>
  <c r="BC239" i="3"/>
  <c r="BB239" i="3"/>
  <c r="BA239" i="3"/>
  <c r="AZ239" i="3"/>
  <c r="AX239" i="3"/>
  <c r="AW239" i="3"/>
  <c r="AV239" i="3"/>
  <c r="AC239" i="3"/>
  <c r="H239" i="3"/>
  <c r="G239" i="3"/>
  <c r="BT238" i="3"/>
  <c r="BS238" i="3"/>
  <c r="BR238" i="3"/>
  <c r="BQ238" i="3"/>
  <c r="BP238" i="3"/>
  <c r="BO238" i="3"/>
  <c r="BN238" i="3"/>
  <c r="BM238" i="3"/>
  <c r="BL238" i="3"/>
  <c r="BK238" i="3"/>
  <c r="BJ238" i="3"/>
  <c r="BI238" i="3"/>
  <c r="BH238" i="3"/>
  <c r="BG238" i="3"/>
  <c r="BF238" i="3"/>
  <c r="BE238" i="3"/>
  <c r="BD238" i="3"/>
  <c r="BC238" i="3"/>
  <c r="BB238" i="3"/>
  <c r="BA238" i="3"/>
  <c r="AX238" i="3"/>
  <c r="AW238" i="3"/>
  <c r="AV238" i="3"/>
  <c r="AC238" i="3"/>
  <c r="H238" i="3"/>
  <c r="G238" i="3"/>
  <c r="BT237" i="3"/>
  <c r="BS237" i="3"/>
  <c r="BR237" i="3"/>
  <c r="BQ237" i="3"/>
  <c r="BP237" i="3"/>
  <c r="BO237" i="3"/>
  <c r="BN237" i="3"/>
  <c r="BM237" i="3"/>
  <c r="BL237" i="3"/>
  <c r="BK237" i="3"/>
  <c r="BJ237" i="3"/>
  <c r="BI237" i="3"/>
  <c r="BH237" i="3"/>
  <c r="BG237" i="3"/>
  <c r="BF237" i="3"/>
  <c r="BE237" i="3"/>
  <c r="BD237" i="3"/>
  <c r="BC237" i="3"/>
  <c r="BB237" i="3"/>
  <c r="BA237" i="3"/>
  <c r="AX237" i="3"/>
  <c r="AW237" i="3"/>
  <c r="AV237" i="3"/>
  <c r="AC237" i="3"/>
  <c r="H237" i="3"/>
  <c r="G237" i="3"/>
  <c r="BT236" i="3"/>
  <c r="BS236" i="3"/>
  <c r="BR236" i="3"/>
  <c r="BQ236" i="3"/>
  <c r="BP236" i="3"/>
  <c r="BO236" i="3"/>
  <c r="BN236" i="3"/>
  <c r="BM236" i="3"/>
  <c r="BL236" i="3"/>
  <c r="BK236" i="3"/>
  <c r="BJ236" i="3"/>
  <c r="BI236" i="3"/>
  <c r="BH236" i="3"/>
  <c r="BG236" i="3"/>
  <c r="BF236" i="3"/>
  <c r="BE236" i="3"/>
  <c r="BD236" i="3"/>
  <c r="BC236" i="3"/>
  <c r="BB236" i="3"/>
  <c r="BA236" i="3"/>
  <c r="AZ236" i="3"/>
  <c r="AX236" i="3"/>
  <c r="AW236" i="3"/>
  <c r="AV236" i="3"/>
  <c r="AC236" i="3"/>
  <c r="H236" i="3"/>
  <c r="G236" i="3"/>
  <c r="BT235" i="3"/>
  <c r="BS235" i="3"/>
  <c r="BR235" i="3"/>
  <c r="BQ235" i="3"/>
  <c r="BP235" i="3"/>
  <c r="BO235" i="3"/>
  <c r="BN235" i="3"/>
  <c r="BM235" i="3"/>
  <c r="BL235" i="3"/>
  <c r="BK235" i="3"/>
  <c r="BJ235" i="3"/>
  <c r="BI235" i="3"/>
  <c r="BH235" i="3"/>
  <c r="BG235" i="3"/>
  <c r="BF235" i="3"/>
  <c r="BE235" i="3"/>
  <c r="BD235" i="3"/>
  <c r="BC235" i="3"/>
  <c r="BB235" i="3"/>
  <c r="BA235" i="3"/>
  <c r="AX235" i="3"/>
  <c r="AW235" i="3"/>
  <c r="AV235" i="3"/>
  <c r="AC235" i="3"/>
  <c r="H235" i="3"/>
  <c r="G235" i="3"/>
  <c r="BT234" i="3"/>
  <c r="BS234" i="3"/>
  <c r="BR234" i="3"/>
  <c r="BQ234" i="3"/>
  <c r="BP234" i="3"/>
  <c r="BO234" i="3"/>
  <c r="BN234" i="3"/>
  <c r="BM234" i="3"/>
  <c r="BL234" i="3"/>
  <c r="BK234" i="3"/>
  <c r="BJ234" i="3"/>
  <c r="BI234" i="3"/>
  <c r="BH234" i="3"/>
  <c r="BG234" i="3"/>
  <c r="BF234" i="3"/>
  <c r="BE234" i="3"/>
  <c r="BD234" i="3"/>
  <c r="BC234" i="3"/>
  <c r="BB234" i="3"/>
  <c r="BA234" i="3"/>
  <c r="AX234" i="3"/>
  <c r="AW234" i="3"/>
  <c r="AV234" i="3"/>
  <c r="AC234" i="3"/>
  <c r="H234" i="3"/>
  <c r="G234" i="3"/>
  <c r="BT233" i="3"/>
  <c r="BS233" i="3"/>
  <c r="BR233" i="3"/>
  <c r="BQ233" i="3"/>
  <c r="BP233" i="3"/>
  <c r="BO233" i="3"/>
  <c r="BN233" i="3"/>
  <c r="BM233" i="3"/>
  <c r="BL233" i="3"/>
  <c r="BK233" i="3"/>
  <c r="BJ233" i="3"/>
  <c r="BI233" i="3"/>
  <c r="BH233" i="3"/>
  <c r="BG233" i="3"/>
  <c r="BF233" i="3"/>
  <c r="BE233" i="3"/>
  <c r="BD233" i="3"/>
  <c r="BC233" i="3"/>
  <c r="BB233" i="3"/>
  <c r="BA233" i="3"/>
  <c r="AX233" i="3"/>
  <c r="AW233" i="3"/>
  <c r="AV233" i="3"/>
  <c r="AC233" i="3"/>
  <c r="H233" i="3"/>
  <c r="G233" i="3"/>
  <c r="BT232" i="3"/>
  <c r="BS232" i="3"/>
  <c r="BR232" i="3"/>
  <c r="BQ232" i="3"/>
  <c r="BP232" i="3"/>
  <c r="BO232" i="3"/>
  <c r="BN232" i="3"/>
  <c r="BM232" i="3"/>
  <c r="BL232" i="3"/>
  <c r="BK232" i="3"/>
  <c r="BJ232" i="3"/>
  <c r="BI232" i="3"/>
  <c r="BH232" i="3"/>
  <c r="BG232" i="3"/>
  <c r="BF232" i="3"/>
  <c r="BE232" i="3"/>
  <c r="BD232" i="3"/>
  <c r="BC232" i="3"/>
  <c r="BB232" i="3"/>
  <c r="BA232" i="3"/>
  <c r="AX232" i="3"/>
  <c r="AW232" i="3"/>
  <c r="AV232" i="3"/>
  <c r="AC232" i="3"/>
  <c r="H232" i="3"/>
  <c r="G232" i="3"/>
  <c r="BT231" i="3"/>
  <c r="BS231" i="3"/>
  <c r="BR231" i="3"/>
  <c r="BQ231" i="3"/>
  <c r="BP231" i="3"/>
  <c r="BO231" i="3"/>
  <c r="BN231" i="3"/>
  <c r="BM231" i="3"/>
  <c r="BL231" i="3"/>
  <c r="BK231" i="3"/>
  <c r="BJ231" i="3"/>
  <c r="BI231" i="3"/>
  <c r="BH231" i="3"/>
  <c r="BG231" i="3"/>
  <c r="BF231" i="3"/>
  <c r="BE231" i="3"/>
  <c r="BD231" i="3"/>
  <c r="BC231" i="3"/>
  <c r="BB231" i="3"/>
  <c r="BA231" i="3"/>
  <c r="AZ231" i="3"/>
  <c r="AX231" i="3"/>
  <c r="AW231" i="3"/>
  <c r="AV231" i="3"/>
  <c r="AC231" i="3"/>
  <c r="H231" i="3"/>
  <c r="G231" i="3"/>
  <c r="BT230" i="3"/>
  <c r="BS230" i="3"/>
  <c r="BR230" i="3"/>
  <c r="BQ230" i="3"/>
  <c r="BP230" i="3"/>
  <c r="BO230" i="3"/>
  <c r="BN230" i="3"/>
  <c r="BM230" i="3"/>
  <c r="BL230" i="3"/>
  <c r="BK230" i="3"/>
  <c r="BJ230" i="3"/>
  <c r="BI230" i="3"/>
  <c r="BH230" i="3"/>
  <c r="BG230" i="3"/>
  <c r="BF230" i="3"/>
  <c r="BE230" i="3"/>
  <c r="BD230" i="3"/>
  <c r="BC230" i="3"/>
  <c r="BB230" i="3"/>
  <c r="BA230" i="3"/>
  <c r="AZ230" i="3"/>
  <c r="AX230" i="3"/>
  <c r="AW230" i="3"/>
  <c r="AV230" i="3"/>
  <c r="AC230" i="3"/>
  <c r="H230" i="3"/>
  <c r="G230" i="3"/>
  <c r="BT229" i="3"/>
  <c r="BS229" i="3"/>
  <c r="BR229" i="3"/>
  <c r="BQ229" i="3"/>
  <c r="BP229" i="3"/>
  <c r="BO229" i="3"/>
  <c r="BN229" i="3"/>
  <c r="BM229" i="3"/>
  <c r="BL229" i="3"/>
  <c r="BK229" i="3"/>
  <c r="BJ229" i="3"/>
  <c r="BI229" i="3"/>
  <c r="BH229" i="3"/>
  <c r="BG229" i="3"/>
  <c r="BF229" i="3"/>
  <c r="BE229" i="3"/>
  <c r="BD229" i="3"/>
  <c r="BC229" i="3"/>
  <c r="BB229" i="3"/>
  <c r="BA229" i="3"/>
  <c r="AX229" i="3"/>
  <c r="AW229" i="3"/>
  <c r="AV229" i="3"/>
  <c r="AC229" i="3"/>
  <c r="H229" i="3"/>
  <c r="G229" i="3"/>
  <c r="BT228" i="3"/>
  <c r="BS228" i="3"/>
  <c r="BR228" i="3"/>
  <c r="BQ228" i="3"/>
  <c r="BP228" i="3"/>
  <c r="BO228" i="3"/>
  <c r="BN228" i="3"/>
  <c r="BM228" i="3"/>
  <c r="BL228" i="3"/>
  <c r="BK228" i="3"/>
  <c r="BJ228" i="3"/>
  <c r="BI228" i="3"/>
  <c r="BH228" i="3"/>
  <c r="BG228" i="3"/>
  <c r="BF228" i="3"/>
  <c r="BE228" i="3"/>
  <c r="BD228" i="3"/>
  <c r="BC228" i="3"/>
  <c r="BB228" i="3"/>
  <c r="BA228" i="3"/>
  <c r="AZ228" i="3"/>
  <c r="AX228" i="3"/>
  <c r="AW228" i="3"/>
  <c r="AV228" i="3"/>
  <c r="AC228" i="3"/>
  <c r="H228" i="3"/>
  <c r="G228" i="3"/>
  <c r="BT227" i="3"/>
  <c r="BS227" i="3"/>
  <c r="BR227" i="3"/>
  <c r="BQ227" i="3"/>
  <c r="BP227" i="3"/>
  <c r="BO227" i="3"/>
  <c r="BN227" i="3"/>
  <c r="BM227" i="3"/>
  <c r="BL227" i="3"/>
  <c r="BK227" i="3"/>
  <c r="BJ227" i="3"/>
  <c r="BI227" i="3"/>
  <c r="BH227" i="3"/>
  <c r="BG227" i="3"/>
  <c r="BF227" i="3"/>
  <c r="BE227" i="3"/>
  <c r="BD227" i="3"/>
  <c r="BC227" i="3"/>
  <c r="BB227" i="3"/>
  <c r="BA227" i="3"/>
  <c r="AX227" i="3"/>
  <c r="AW227" i="3"/>
  <c r="AV227" i="3"/>
  <c r="AC227" i="3"/>
  <c r="H227" i="3"/>
  <c r="G227" i="3"/>
  <c r="BT226" i="3"/>
  <c r="BS226" i="3"/>
  <c r="BR226" i="3"/>
  <c r="BQ226" i="3"/>
  <c r="BP226" i="3"/>
  <c r="BO226" i="3"/>
  <c r="BN226" i="3"/>
  <c r="BM226" i="3"/>
  <c r="BL226" i="3"/>
  <c r="BK226" i="3"/>
  <c r="BJ226" i="3"/>
  <c r="BI226" i="3"/>
  <c r="BH226" i="3"/>
  <c r="BG226" i="3"/>
  <c r="BF226" i="3"/>
  <c r="BE226" i="3"/>
  <c r="BD226" i="3"/>
  <c r="BC226" i="3"/>
  <c r="BB226" i="3"/>
  <c r="BA226" i="3"/>
  <c r="AZ226" i="3"/>
  <c r="AX226" i="3"/>
  <c r="AW226" i="3"/>
  <c r="AV226" i="3"/>
  <c r="AC226" i="3"/>
  <c r="H226" i="3"/>
  <c r="G226" i="3"/>
  <c r="BT225" i="3"/>
  <c r="BS225" i="3"/>
  <c r="BR225" i="3"/>
  <c r="BQ225" i="3"/>
  <c r="BP225" i="3"/>
  <c r="BO225" i="3"/>
  <c r="BN225" i="3"/>
  <c r="BM225" i="3"/>
  <c r="BL225" i="3"/>
  <c r="BK225" i="3"/>
  <c r="BJ225" i="3"/>
  <c r="BI225" i="3"/>
  <c r="BH225" i="3"/>
  <c r="BG225" i="3"/>
  <c r="BF225" i="3"/>
  <c r="BE225" i="3"/>
  <c r="BD225" i="3"/>
  <c r="BC225" i="3"/>
  <c r="BB225" i="3"/>
  <c r="BA225" i="3"/>
  <c r="AZ225" i="3"/>
  <c r="AX225" i="3"/>
  <c r="AW225" i="3"/>
  <c r="AV225" i="3"/>
  <c r="AC225" i="3"/>
  <c r="H225" i="3"/>
  <c r="G225" i="3"/>
  <c r="BT224" i="3"/>
  <c r="BS224" i="3"/>
  <c r="BR224" i="3"/>
  <c r="BQ224" i="3"/>
  <c r="BP224" i="3"/>
  <c r="BO224" i="3"/>
  <c r="BN224" i="3"/>
  <c r="BM224" i="3"/>
  <c r="BL224" i="3"/>
  <c r="BK224" i="3"/>
  <c r="BJ224" i="3"/>
  <c r="BI224" i="3"/>
  <c r="BH224" i="3"/>
  <c r="BG224" i="3"/>
  <c r="BF224" i="3"/>
  <c r="BE224" i="3"/>
  <c r="BD224" i="3"/>
  <c r="BC224" i="3"/>
  <c r="BB224" i="3"/>
  <c r="BA224" i="3"/>
  <c r="AX224" i="3"/>
  <c r="AW224" i="3"/>
  <c r="AV224" i="3"/>
  <c r="AC224" i="3"/>
  <c r="H224" i="3"/>
  <c r="G224" i="3"/>
  <c r="BT223" i="3"/>
  <c r="BS223" i="3"/>
  <c r="BR223" i="3"/>
  <c r="BQ223" i="3"/>
  <c r="BP223" i="3"/>
  <c r="BO223" i="3"/>
  <c r="BN223" i="3"/>
  <c r="BM223" i="3"/>
  <c r="BL223" i="3"/>
  <c r="BK223" i="3"/>
  <c r="BJ223" i="3"/>
  <c r="BI223" i="3"/>
  <c r="BH223" i="3"/>
  <c r="BG223" i="3"/>
  <c r="BF223" i="3"/>
  <c r="BE223" i="3"/>
  <c r="BD223" i="3"/>
  <c r="BC223" i="3"/>
  <c r="BB223" i="3"/>
  <c r="BA223" i="3"/>
  <c r="AX223" i="3"/>
  <c r="AW223" i="3"/>
  <c r="AV223" i="3"/>
  <c r="AC223" i="3"/>
  <c r="H223" i="3"/>
  <c r="G223" i="3"/>
  <c r="BT222" i="3"/>
  <c r="BS222" i="3"/>
  <c r="BR222" i="3"/>
  <c r="BQ222" i="3"/>
  <c r="BP222" i="3"/>
  <c r="BO222" i="3"/>
  <c r="BN222" i="3"/>
  <c r="BM222" i="3"/>
  <c r="BL222" i="3"/>
  <c r="BK222" i="3"/>
  <c r="BJ222" i="3"/>
  <c r="BI222" i="3"/>
  <c r="BH222" i="3"/>
  <c r="BG222" i="3"/>
  <c r="BF222" i="3"/>
  <c r="BE222" i="3"/>
  <c r="BD222" i="3"/>
  <c r="BC222" i="3"/>
  <c r="BB222" i="3"/>
  <c r="BA222" i="3"/>
  <c r="AX222" i="3"/>
  <c r="AW222" i="3"/>
  <c r="AV222" i="3"/>
  <c r="AC222" i="3"/>
  <c r="H222" i="3"/>
  <c r="G222" i="3"/>
  <c r="BT221" i="3"/>
  <c r="BS221" i="3"/>
  <c r="BR221" i="3"/>
  <c r="BQ221" i="3"/>
  <c r="BP221" i="3"/>
  <c r="BO221" i="3"/>
  <c r="BN221" i="3"/>
  <c r="BM221" i="3"/>
  <c r="BL221" i="3"/>
  <c r="BK221" i="3"/>
  <c r="BJ221" i="3"/>
  <c r="BI221" i="3"/>
  <c r="BH221" i="3"/>
  <c r="BG221" i="3"/>
  <c r="BF221" i="3"/>
  <c r="BE221" i="3"/>
  <c r="BD221" i="3"/>
  <c r="BC221" i="3"/>
  <c r="BB221" i="3"/>
  <c r="BA221" i="3"/>
  <c r="AZ221" i="3"/>
  <c r="AX221" i="3"/>
  <c r="AW221" i="3"/>
  <c r="AV221" i="3"/>
  <c r="AC221" i="3"/>
  <c r="H221" i="3"/>
  <c r="G221" i="3"/>
  <c r="BT220" i="3"/>
  <c r="BS220" i="3"/>
  <c r="BR220" i="3"/>
  <c r="BQ220" i="3"/>
  <c r="BP220" i="3"/>
  <c r="BO220" i="3"/>
  <c r="BN220" i="3"/>
  <c r="BM220" i="3"/>
  <c r="BL220" i="3"/>
  <c r="BK220" i="3"/>
  <c r="BJ220" i="3"/>
  <c r="BI220" i="3"/>
  <c r="BH220" i="3"/>
  <c r="BG220" i="3"/>
  <c r="BF220" i="3"/>
  <c r="BE220" i="3"/>
  <c r="BD220" i="3"/>
  <c r="BC220" i="3"/>
  <c r="BB220" i="3"/>
  <c r="BA220" i="3"/>
  <c r="AZ220" i="3"/>
  <c r="AX220" i="3"/>
  <c r="AW220" i="3"/>
  <c r="AV220" i="3"/>
  <c r="AC220" i="3"/>
  <c r="H220" i="3"/>
  <c r="G220" i="3"/>
  <c r="BT219" i="3"/>
  <c r="BS219" i="3"/>
  <c r="BR219" i="3"/>
  <c r="BQ219" i="3"/>
  <c r="BP219" i="3"/>
  <c r="BO219" i="3"/>
  <c r="BN219" i="3"/>
  <c r="BM219" i="3"/>
  <c r="BL219" i="3"/>
  <c r="BK219" i="3"/>
  <c r="BJ219" i="3"/>
  <c r="BI219" i="3"/>
  <c r="BH219" i="3"/>
  <c r="BG219" i="3"/>
  <c r="BF219" i="3"/>
  <c r="BE219" i="3"/>
  <c r="BD219" i="3"/>
  <c r="BC219" i="3"/>
  <c r="BB219" i="3"/>
  <c r="BA219" i="3"/>
  <c r="AZ219" i="3"/>
  <c r="AX219" i="3"/>
  <c r="AW219" i="3"/>
  <c r="AV219" i="3"/>
  <c r="AC219" i="3"/>
  <c r="H219" i="3"/>
  <c r="G219" i="3"/>
  <c r="BT218" i="3"/>
  <c r="BS218" i="3"/>
  <c r="BR218" i="3"/>
  <c r="BQ218" i="3"/>
  <c r="BP218" i="3"/>
  <c r="BO218" i="3"/>
  <c r="BN218" i="3"/>
  <c r="BM218" i="3"/>
  <c r="BL218" i="3"/>
  <c r="BK218" i="3"/>
  <c r="BJ218" i="3"/>
  <c r="BI218" i="3"/>
  <c r="BH218" i="3"/>
  <c r="BG218" i="3"/>
  <c r="BF218" i="3"/>
  <c r="BE218" i="3"/>
  <c r="BD218" i="3"/>
  <c r="BC218" i="3"/>
  <c r="BB218" i="3"/>
  <c r="BA218" i="3"/>
  <c r="AX218" i="3"/>
  <c r="AW218" i="3"/>
  <c r="AV218" i="3"/>
  <c r="AC218" i="3"/>
  <c r="H218" i="3"/>
  <c r="G218" i="3"/>
  <c r="BT217" i="3"/>
  <c r="BS217" i="3"/>
  <c r="BR217" i="3"/>
  <c r="BQ217" i="3"/>
  <c r="BP217" i="3"/>
  <c r="BO217" i="3"/>
  <c r="BN217" i="3"/>
  <c r="BM217" i="3"/>
  <c r="BL217" i="3"/>
  <c r="BK217" i="3"/>
  <c r="BJ217" i="3"/>
  <c r="BI217" i="3"/>
  <c r="BH217" i="3"/>
  <c r="BG217" i="3"/>
  <c r="BF217" i="3"/>
  <c r="BE217" i="3"/>
  <c r="BD217" i="3"/>
  <c r="BC217" i="3"/>
  <c r="BB217" i="3"/>
  <c r="BA217" i="3"/>
  <c r="AZ217" i="3"/>
  <c r="AX217" i="3"/>
  <c r="AW217" i="3"/>
  <c r="AV217" i="3"/>
  <c r="AC217" i="3"/>
  <c r="H217" i="3"/>
  <c r="G217" i="3"/>
  <c r="BT216" i="3"/>
  <c r="BS216" i="3"/>
  <c r="BR216" i="3"/>
  <c r="BQ216" i="3"/>
  <c r="BP216" i="3"/>
  <c r="BO216" i="3"/>
  <c r="BN216" i="3"/>
  <c r="BM216" i="3"/>
  <c r="BL216" i="3"/>
  <c r="BK216" i="3"/>
  <c r="BJ216" i="3"/>
  <c r="BI216" i="3"/>
  <c r="BH216" i="3"/>
  <c r="BG216" i="3"/>
  <c r="BF216" i="3"/>
  <c r="BE216" i="3"/>
  <c r="BD216" i="3"/>
  <c r="BC216" i="3"/>
  <c r="BB216" i="3"/>
  <c r="BA216" i="3"/>
  <c r="AZ216" i="3"/>
  <c r="AX216" i="3"/>
  <c r="AW216" i="3"/>
  <c r="AV216" i="3"/>
  <c r="AC216" i="3"/>
  <c r="H216" i="3"/>
  <c r="G216" i="3"/>
  <c r="BT215" i="3"/>
  <c r="BS215" i="3"/>
  <c r="BR215" i="3"/>
  <c r="BQ215" i="3"/>
  <c r="BP215" i="3"/>
  <c r="BO215" i="3"/>
  <c r="BN215" i="3"/>
  <c r="BM215" i="3"/>
  <c r="BL215" i="3"/>
  <c r="BK215" i="3"/>
  <c r="BJ215" i="3"/>
  <c r="BI215" i="3"/>
  <c r="BH215" i="3"/>
  <c r="BG215" i="3"/>
  <c r="BF215" i="3"/>
  <c r="BE215" i="3"/>
  <c r="BD215" i="3"/>
  <c r="BC215" i="3"/>
  <c r="BB215" i="3"/>
  <c r="BA215" i="3"/>
  <c r="AX215" i="3"/>
  <c r="AW215" i="3"/>
  <c r="AV215" i="3"/>
  <c r="AC215" i="3"/>
  <c r="H215" i="3"/>
  <c r="G215" i="3"/>
  <c r="BT214" i="3"/>
  <c r="BS214" i="3"/>
  <c r="BR214" i="3"/>
  <c r="BQ214" i="3"/>
  <c r="BP214" i="3"/>
  <c r="BO214" i="3"/>
  <c r="BN214" i="3"/>
  <c r="BM214" i="3"/>
  <c r="BL214" i="3"/>
  <c r="BK214" i="3"/>
  <c r="BJ214" i="3"/>
  <c r="BI214" i="3"/>
  <c r="BH214" i="3"/>
  <c r="BG214" i="3"/>
  <c r="BF214" i="3"/>
  <c r="BE214" i="3"/>
  <c r="BD214" i="3"/>
  <c r="BC214" i="3"/>
  <c r="BB214" i="3"/>
  <c r="BA214" i="3"/>
  <c r="AX214" i="3"/>
  <c r="AW214" i="3"/>
  <c r="AV214" i="3"/>
  <c r="AC214" i="3"/>
  <c r="H214" i="3"/>
  <c r="G214" i="3"/>
  <c r="BT213" i="3"/>
  <c r="BS213" i="3"/>
  <c r="BR213" i="3"/>
  <c r="BQ213" i="3"/>
  <c r="BP213" i="3"/>
  <c r="BO213" i="3"/>
  <c r="BN213" i="3"/>
  <c r="BM213" i="3"/>
  <c r="BL213" i="3"/>
  <c r="BK213" i="3"/>
  <c r="BJ213" i="3"/>
  <c r="BI213" i="3"/>
  <c r="BH213" i="3"/>
  <c r="BG213" i="3"/>
  <c r="BF213" i="3"/>
  <c r="BE213" i="3"/>
  <c r="BD213" i="3"/>
  <c r="BC213" i="3"/>
  <c r="BB213" i="3"/>
  <c r="BA213" i="3"/>
  <c r="AX213" i="3"/>
  <c r="AW213" i="3"/>
  <c r="AV213" i="3"/>
  <c r="AC213" i="3"/>
  <c r="H213" i="3"/>
  <c r="G213" i="3"/>
  <c r="BT212" i="3"/>
  <c r="BS212" i="3"/>
  <c r="BR212" i="3"/>
  <c r="BQ212" i="3"/>
  <c r="BP212" i="3"/>
  <c r="BO212" i="3"/>
  <c r="BN212" i="3"/>
  <c r="BM212" i="3"/>
  <c r="BL212" i="3"/>
  <c r="BK212" i="3"/>
  <c r="BJ212" i="3"/>
  <c r="BI212" i="3"/>
  <c r="BH212" i="3"/>
  <c r="BG212" i="3"/>
  <c r="BF212" i="3"/>
  <c r="BE212" i="3"/>
  <c r="BD212" i="3"/>
  <c r="BC212" i="3"/>
  <c r="BB212" i="3"/>
  <c r="BA212" i="3"/>
  <c r="AZ212" i="3"/>
  <c r="AX212" i="3"/>
  <c r="AW212" i="3"/>
  <c r="AV212" i="3"/>
  <c r="AC212" i="3"/>
  <c r="H212" i="3"/>
  <c r="G212" i="3"/>
  <c r="BT211" i="3"/>
  <c r="BS211" i="3"/>
  <c r="BR211" i="3"/>
  <c r="BQ211" i="3"/>
  <c r="BP211" i="3"/>
  <c r="BO211" i="3"/>
  <c r="BN211" i="3"/>
  <c r="BM211" i="3"/>
  <c r="BL211" i="3"/>
  <c r="BK211" i="3"/>
  <c r="BJ211" i="3"/>
  <c r="BI211" i="3"/>
  <c r="BH211" i="3"/>
  <c r="BG211" i="3"/>
  <c r="BF211" i="3"/>
  <c r="BE211" i="3"/>
  <c r="BD211" i="3"/>
  <c r="BC211" i="3"/>
  <c r="BB211" i="3"/>
  <c r="BA211" i="3"/>
  <c r="AZ211" i="3"/>
  <c r="AX211" i="3"/>
  <c r="AW211" i="3"/>
  <c r="AV211" i="3"/>
  <c r="AC211" i="3"/>
  <c r="H211" i="3"/>
  <c r="G211" i="3"/>
  <c r="BT210" i="3"/>
  <c r="BS210" i="3"/>
  <c r="BR210" i="3"/>
  <c r="BQ210" i="3"/>
  <c r="BP210" i="3"/>
  <c r="BO210" i="3"/>
  <c r="BN210" i="3"/>
  <c r="BM210" i="3"/>
  <c r="BL210" i="3"/>
  <c r="BK210" i="3"/>
  <c r="BJ210" i="3"/>
  <c r="BI210" i="3"/>
  <c r="BH210" i="3"/>
  <c r="BG210" i="3"/>
  <c r="BF210" i="3"/>
  <c r="BE210" i="3"/>
  <c r="BD210" i="3"/>
  <c r="BC210" i="3"/>
  <c r="BB210" i="3"/>
  <c r="BA210" i="3"/>
  <c r="AZ210" i="3"/>
  <c r="AX210" i="3"/>
  <c r="AW210" i="3"/>
  <c r="AV210" i="3"/>
  <c r="AC210" i="3"/>
  <c r="H210" i="3"/>
  <c r="G210" i="3"/>
  <c r="BT209" i="3"/>
  <c r="BS209" i="3"/>
  <c r="BR209" i="3"/>
  <c r="BQ209" i="3"/>
  <c r="BP209" i="3"/>
  <c r="BO209" i="3"/>
  <c r="BN209" i="3"/>
  <c r="BM209" i="3"/>
  <c r="BL209" i="3"/>
  <c r="BK209" i="3"/>
  <c r="BJ209" i="3"/>
  <c r="BI209" i="3"/>
  <c r="BH209" i="3"/>
  <c r="BG209" i="3"/>
  <c r="BF209" i="3"/>
  <c r="BE209" i="3"/>
  <c r="BD209" i="3"/>
  <c r="BC209" i="3"/>
  <c r="BB209" i="3"/>
  <c r="BA209" i="3"/>
  <c r="AX209" i="3"/>
  <c r="AW209" i="3"/>
  <c r="AV209" i="3"/>
  <c r="AC209" i="3"/>
  <c r="H209" i="3"/>
  <c r="G209" i="3"/>
  <c r="BT208" i="3"/>
  <c r="BS208" i="3"/>
  <c r="BR208" i="3"/>
  <c r="BQ208" i="3"/>
  <c r="BP208" i="3"/>
  <c r="BO208" i="3"/>
  <c r="BN208" i="3"/>
  <c r="BM208" i="3"/>
  <c r="BL208" i="3"/>
  <c r="BK208" i="3"/>
  <c r="BJ208" i="3"/>
  <c r="BI208" i="3"/>
  <c r="BH208" i="3"/>
  <c r="BG208" i="3"/>
  <c r="BF208" i="3"/>
  <c r="BE208" i="3"/>
  <c r="BD208" i="3"/>
  <c r="BC208" i="3"/>
  <c r="BB208" i="3"/>
  <c r="BA208" i="3"/>
  <c r="AZ208" i="3"/>
  <c r="AX208" i="3"/>
  <c r="AW208" i="3"/>
  <c r="AV208" i="3"/>
  <c r="AC208" i="3"/>
  <c r="H208" i="3"/>
  <c r="G208" i="3"/>
  <c r="BT397" i="3"/>
  <c r="BS397" i="3"/>
  <c r="BR397" i="3"/>
  <c r="BQ397" i="3"/>
  <c r="BP397" i="3"/>
  <c r="BO397" i="3"/>
  <c r="BN397" i="3"/>
  <c r="BM397" i="3"/>
  <c r="BL397" i="3"/>
  <c r="BK397" i="3"/>
  <c r="BJ397" i="3"/>
  <c r="BI397" i="3"/>
  <c r="BH397" i="3"/>
  <c r="BG397" i="3"/>
  <c r="BF397" i="3"/>
  <c r="BE397" i="3"/>
  <c r="BD397" i="3"/>
  <c r="BC397" i="3"/>
  <c r="BB397" i="3"/>
  <c r="BA397" i="3"/>
  <c r="AZ397" i="3"/>
  <c r="AX397" i="3"/>
  <c r="AW397" i="3"/>
  <c r="AV397" i="3"/>
  <c r="AC397" i="3"/>
  <c r="H397" i="3"/>
  <c r="G397" i="3"/>
  <c r="BT396" i="3"/>
  <c r="BS396" i="3"/>
  <c r="BR396" i="3"/>
  <c r="BQ396" i="3"/>
  <c r="BP396" i="3"/>
  <c r="BO396" i="3"/>
  <c r="BN396" i="3"/>
  <c r="BM396" i="3"/>
  <c r="BL396" i="3"/>
  <c r="BK396" i="3"/>
  <c r="BJ396" i="3"/>
  <c r="BI396" i="3"/>
  <c r="BH396" i="3"/>
  <c r="BG396" i="3"/>
  <c r="BF396" i="3"/>
  <c r="BE396" i="3"/>
  <c r="BD396" i="3"/>
  <c r="BC396" i="3"/>
  <c r="BB396" i="3"/>
  <c r="BA396" i="3"/>
  <c r="AX396" i="3"/>
  <c r="AW396" i="3"/>
  <c r="AV396" i="3"/>
  <c r="AC396" i="3"/>
  <c r="H396" i="3"/>
  <c r="G396" i="3"/>
  <c r="BT395" i="3"/>
  <c r="BS395" i="3"/>
  <c r="BR395" i="3"/>
  <c r="BQ395" i="3"/>
  <c r="BP395" i="3"/>
  <c r="BO395" i="3"/>
  <c r="BN395" i="3"/>
  <c r="BM395" i="3"/>
  <c r="BL395" i="3"/>
  <c r="BK395" i="3"/>
  <c r="BJ395" i="3"/>
  <c r="BI395" i="3"/>
  <c r="BH395" i="3"/>
  <c r="BG395" i="3"/>
  <c r="BF395" i="3"/>
  <c r="BE395" i="3"/>
  <c r="BD395" i="3"/>
  <c r="BC395" i="3"/>
  <c r="BB395" i="3"/>
  <c r="BA395" i="3"/>
  <c r="AZ395" i="3"/>
  <c r="AX395" i="3"/>
  <c r="AW395" i="3"/>
  <c r="AV395" i="3"/>
  <c r="AC395" i="3"/>
  <c r="H395" i="3"/>
  <c r="G395" i="3"/>
  <c r="BT394" i="3"/>
  <c r="BS394" i="3"/>
  <c r="BR394" i="3"/>
  <c r="BQ394" i="3"/>
  <c r="BP394" i="3"/>
  <c r="BO394" i="3"/>
  <c r="BN394" i="3"/>
  <c r="BM394" i="3"/>
  <c r="BK394" i="3"/>
  <c r="BJ394" i="3"/>
  <c r="BI394" i="3"/>
  <c r="BH394" i="3"/>
  <c r="BG394" i="3"/>
  <c r="BF394" i="3"/>
  <c r="BE394" i="3"/>
  <c r="BD394" i="3"/>
  <c r="BC394" i="3"/>
  <c r="BB394" i="3"/>
  <c r="AX394" i="3"/>
  <c r="AW394" i="3"/>
  <c r="AV394" i="3"/>
  <c r="AC394" i="3"/>
  <c r="H394" i="3"/>
  <c r="BT393" i="3"/>
  <c r="BS393" i="3"/>
  <c r="BR393" i="3"/>
  <c r="BQ393" i="3"/>
  <c r="BP393" i="3"/>
  <c r="BO393" i="3"/>
  <c r="BN393" i="3"/>
  <c r="BM393" i="3"/>
  <c r="BL393" i="3"/>
  <c r="BK393" i="3"/>
  <c r="BJ393" i="3"/>
  <c r="BI393" i="3"/>
  <c r="BH393" i="3"/>
  <c r="BG393" i="3"/>
  <c r="BF393" i="3"/>
  <c r="BE393" i="3"/>
  <c r="BD393" i="3"/>
  <c r="BC393" i="3"/>
  <c r="BB393" i="3"/>
  <c r="AX393" i="3"/>
  <c r="AW393" i="3"/>
  <c r="AV393" i="3"/>
  <c r="AC393" i="3"/>
  <c r="H393" i="3"/>
  <c r="BT392" i="3"/>
  <c r="BS392" i="3"/>
  <c r="BR392" i="3"/>
  <c r="BQ392" i="3"/>
  <c r="BP392" i="3"/>
  <c r="BO392" i="3"/>
  <c r="BN392" i="3"/>
  <c r="BM392" i="3"/>
  <c r="BK392" i="3"/>
  <c r="BJ392" i="3"/>
  <c r="BI392" i="3"/>
  <c r="BH392" i="3"/>
  <c r="BG392" i="3"/>
  <c r="BF392" i="3"/>
  <c r="BE392" i="3"/>
  <c r="BD392" i="3"/>
  <c r="BC392" i="3"/>
  <c r="BB392" i="3"/>
  <c r="BA392" i="3"/>
  <c r="AX392" i="3"/>
  <c r="AW392" i="3"/>
  <c r="AV392" i="3"/>
  <c r="AC392" i="3"/>
  <c r="H392" i="3"/>
  <c r="G392" i="3"/>
  <c r="BT391" i="3"/>
  <c r="BS391" i="3"/>
  <c r="BR391" i="3"/>
  <c r="BQ391" i="3"/>
  <c r="BP391" i="3"/>
  <c r="BO391" i="3"/>
  <c r="BN391" i="3"/>
  <c r="BM391" i="3"/>
  <c r="BK391" i="3"/>
  <c r="BJ391" i="3"/>
  <c r="BI391" i="3"/>
  <c r="BH391" i="3"/>
  <c r="BG391" i="3"/>
  <c r="BF391" i="3"/>
  <c r="BE391" i="3"/>
  <c r="BD391" i="3"/>
  <c r="BC391" i="3"/>
  <c r="BB391" i="3"/>
  <c r="AX391" i="3"/>
  <c r="AW391" i="3"/>
  <c r="AV391" i="3"/>
  <c r="AC391" i="3"/>
  <c r="H391" i="3"/>
  <c r="BT390" i="3"/>
  <c r="BS390" i="3"/>
  <c r="BR390" i="3"/>
  <c r="BQ390" i="3"/>
  <c r="BP390" i="3"/>
  <c r="BO390" i="3"/>
  <c r="BN390" i="3"/>
  <c r="BM390" i="3"/>
  <c r="BK390" i="3"/>
  <c r="BJ390" i="3"/>
  <c r="BI390" i="3"/>
  <c r="BH390" i="3"/>
  <c r="BG390" i="3"/>
  <c r="BF390" i="3"/>
  <c r="BE390" i="3"/>
  <c r="BD390" i="3"/>
  <c r="BC390" i="3"/>
  <c r="BB390" i="3"/>
  <c r="AX390" i="3"/>
  <c r="AW390" i="3"/>
  <c r="AV390" i="3"/>
  <c r="AC390" i="3"/>
  <c r="H390" i="3"/>
  <c r="BT389" i="3"/>
  <c r="BS389" i="3"/>
  <c r="BR389" i="3"/>
  <c r="BQ389" i="3"/>
  <c r="BP389" i="3"/>
  <c r="BO389" i="3"/>
  <c r="BN389" i="3"/>
  <c r="BM389" i="3"/>
  <c r="BK389" i="3"/>
  <c r="BJ389" i="3"/>
  <c r="BI389" i="3"/>
  <c r="BH389" i="3"/>
  <c r="BG389" i="3"/>
  <c r="BF389" i="3"/>
  <c r="BE389" i="3"/>
  <c r="BD389" i="3"/>
  <c r="BC389" i="3"/>
  <c r="BB389" i="3"/>
  <c r="AX389" i="3"/>
  <c r="AW389" i="3"/>
  <c r="AV389" i="3"/>
  <c r="AC389" i="3"/>
  <c r="H389" i="3"/>
  <c r="BT388" i="3"/>
  <c r="BS388" i="3"/>
  <c r="BR388" i="3"/>
  <c r="BQ388" i="3"/>
  <c r="BP388" i="3"/>
  <c r="BO388" i="3"/>
  <c r="BN388" i="3"/>
  <c r="BM388" i="3"/>
  <c r="BK388" i="3"/>
  <c r="BJ388" i="3"/>
  <c r="BI388" i="3"/>
  <c r="BH388" i="3"/>
  <c r="BG388" i="3"/>
  <c r="BF388" i="3"/>
  <c r="BE388" i="3"/>
  <c r="BD388" i="3"/>
  <c r="BC388" i="3"/>
  <c r="BB388" i="3"/>
  <c r="BA388" i="3"/>
  <c r="AX388" i="3"/>
  <c r="AW388" i="3"/>
  <c r="AV388" i="3"/>
  <c r="AC388" i="3"/>
  <c r="H388" i="3"/>
  <c r="BT387" i="3"/>
  <c r="BS387" i="3"/>
  <c r="BR387" i="3"/>
  <c r="BQ387" i="3"/>
  <c r="BP387" i="3"/>
  <c r="BO387" i="3"/>
  <c r="BN387" i="3"/>
  <c r="BM387" i="3"/>
  <c r="BK387" i="3"/>
  <c r="BJ387" i="3"/>
  <c r="BI387" i="3"/>
  <c r="BH387" i="3"/>
  <c r="BG387" i="3"/>
  <c r="BF387" i="3"/>
  <c r="BE387" i="3"/>
  <c r="BD387" i="3"/>
  <c r="BC387" i="3"/>
  <c r="BB387" i="3"/>
  <c r="AX387" i="3"/>
  <c r="AW387" i="3"/>
  <c r="AV387" i="3"/>
  <c r="AC387" i="3"/>
  <c r="H387" i="3"/>
  <c r="G387" i="3"/>
  <c r="BT386" i="3"/>
  <c r="BS386" i="3"/>
  <c r="BR386" i="3"/>
  <c r="BQ386" i="3"/>
  <c r="BP386" i="3"/>
  <c r="BO386" i="3"/>
  <c r="BN386" i="3"/>
  <c r="BM386" i="3"/>
  <c r="BL386" i="3"/>
  <c r="BK386" i="3"/>
  <c r="BJ386" i="3"/>
  <c r="BI386" i="3"/>
  <c r="BH386" i="3"/>
  <c r="BG386" i="3"/>
  <c r="BF386" i="3"/>
  <c r="BE386" i="3"/>
  <c r="BD386" i="3"/>
  <c r="BC386" i="3"/>
  <c r="BB386" i="3"/>
  <c r="BA386" i="3"/>
  <c r="AX386" i="3"/>
  <c r="AW386" i="3"/>
  <c r="AV386" i="3"/>
  <c r="AC386" i="3"/>
  <c r="H386" i="3"/>
  <c r="BT385" i="3"/>
  <c r="BS385" i="3"/>
  <c r="BR385" i="3"/>
  <c r="BQ385" i="3"/>
  <c r="BP385" i="3"/>
  <c r="BO385" i="3"/>
  <c r="BN385" i="3"/>
  <c r="BM385" i="3"/>
  <c r="BL385" i="3"/>
  <c r="BK385" i="3"/>
  <c r="BJ385" i="3"/>
  <c r="BI385" i="3"/>
  <c r="BH385" i="3"/>
  <c r="BG385" i="3"/>
  <c r="BF385" i="3"/>
  <c r="BE385" i="3"/>
  <c r="BD385" i="3"/>
  <c r="BC385" i="3"/>
  <c r="BB385" i="3"/>
  <c r="BA385" i="3"/>
  <c r="AZ385" i="3"/>
  <c r="AX385" i="3"/>
  <c r="AW385" i="3"/>
  <c r="AV385" i="3"/>
  <c r="AC385" i="3"/>
  <c r="H385" i="3"/>
  <c r="BT384" i="3"/>
  <c r="BS384" i="3"/>
  <c r="BR384" i="3"/>
  <c r="BQ384" i="3"/>
  <c r="BP384" i="3"/>
  <c r="BO384" i="3"/>
  <c r="BN384" i="3"/>
  <c r="BM384" i="3"/>
  <c r="BK384" i="3"/>
  <c r="BJ384" i="3"/>
  <c r="BI384" i="3"/>
  <c r="BH384" i="3"/>
  <c r="BG384" i="3"/>
  <c r="BF384" i="3"/>
  <c r="BE384" i="3"/>
  <c r="BD384" i="3"/>
  <c r="BC384" i="3"/>
  <c r="BB384" i="3"/>
  <c r="BA384" i="3"/>
  <c r="AX384" i="3"/>
  <c r="AW384" i="3"/>
  <c r="AV384" i="3"/>
  <c r="AC384" i="3"/>
  <c r="H384" i="3"/>
  <c r="G384" i="3"/>
  <c r="BT383" i="3"/>
  <c r="BS383" i="3"/>
  <c r="BR383" i="3"/>
  <c r="BQ383" i="3"/>
  <c r="BP383" i="3"/>
  <c r="BO383" i="3"/>
  <c r="BN383" i="3"/>
  <c r="BM383" i="3"/>
  <c r="BL383" i="3"/>
  <c r="BK383" i="3"/>
  <c r="BJ383" i="3"/>
  <c r="BI383" i="3"/>
  <c r="BH383" i="3"/>
  <c r="BG383" i="3"/>
  <c r="BF383" i="3"/>
  <c r="BE383" i="3"/>
  <c r="BD383" i="3"/>
  <c r="BC383" i="3"/>
  <c r="BB383" i="3"/>
  <c r="AX383" i="3"/>
  <c r="AW383" i="3"/>
  <c r="AV383" i="3"/>
  <c r="AC383" i="3"/>
  <c r="H383" i="3"/>
  <c r="BT382" i="3"/>
  <c r="BS382" i="3"/>
  <c r="BR382" i="3"/>
  <c r="BQ382" i="3"/>
  <c r="BP382" i="3"/>
  <c r="BO382" i="3"/>
  <c r="BN382" i="3"/>
  <c r="BM382" i="3"/>
  <c r="BK382" i="3"/>
  <c r="BJ382" i="3"/>
  <c r="BI382" i="3"/>
  <c r="BH382" i="3"/>
  <c r="BG382" i="3"/>
  <c r="BF382" i="3"/>
  <c r="BE382" i="3"/>
  <c r="BD382" i="3"/>
  <c r="BC382" i="3"/>
  <c r="BB382" i="3"/>
  <c r="AX382" i="3"/>
  <c r="AW382" i="3"/>
  <c r="AV382" i="3"/>
  <c r="AC382" i="3"/>
  <c r="H382" i="3"/>
  <c r="G382" i="3"/>
  <c r="BT381" i="3"/>
  <c r="BS381" i="3"/>
  <c r="BR381" i="3"/>
  <c r="BQ381" i="3"/>
  <c r="BP381" i="3"/>
  <c r="BO381" i="3"/>
  <c r="BN381" i="3"/>
  <c r="BM381" i="3"/>
  <c r="BL381" i="3"/>
  <c r="BK381" i="3"/>
  <c r="BJ381" i="3"/>
  <c r="BI381" i="3"/>
  <c r="BH381" i="3"/>
  <c r="BG381" i="3"/>
  <c r="BF381" i="3"/>
  <c r="BE381" i="3"/>
  <c r="BD381" i="3"/>
  <c r="BC381" i="3"/>
  <c r="BB381" i="3"/>
  <c r="AX381" i="3"/>
  <c r="AW381" i="3"/>
  <c r="AV381" i="3"/>
  <c r="AC381" i="3"/>
  <c r="H381" i="3"/>
  <c r="BT380" i="3"/>
  <c r="BS380" i="3"/>
  <c r="BR380" i="3"/>
  <c r="BQ380" i="3"/>
  <c r="BP380" i="3"/>
  <c r="BO380" i="3"/>
  <c r="BN380" i="3"/>
  <c r="BM380" i="3"/>
  <c r="BK380" i="3"/>
  <c r="BJ380" i="3"/>
  <c r="BI380" i="3"/>
  <c r="BH380" i="3"/>
  <c r="BG380" i="3"/>
  <c r="BF380" i="3"/>
  <c r="BE380" i="3"/>
  <c r="BD380" i="3"/>
  <c r="BC380" i="3"/>
  <c r="BB380" i="3"/>
  <c r="AX380" i="3"/>
  <c r="AW380" i="3"/>
  <c r="AV380" i="3"/>
  <c r="AC380" i="3"/>
  <c r="H380" i="3"/>
  <c r="G380" i="3"/>
  <c r="BT379" i="3"/>
  <c r="BS379" i="3"/>
  <c r="BR379" i="3"/>
  <c r="BQ379" i="3"/>
  <c r="BP379" i="3"/>
  <c r="BO379" i="3"/>
  <c r="BN379" i="3"/>
  <c r="BM379" i="3"/>
  <c r="BK379" i="3"/>
  <c r="BJ379" i="3"/>
  <c r="BI379" i="3"/>
  <c r="BH379" i="3"/>
  <c r="BG379" i="3"/>
  <c r="BF379" i="3"/>
  <c r="BE379" i="3"/>
  <c r="BD379" i="3"/>
  <c r="BC379" i="3"/>
  <c r="BB379" i="3"/>
  <c r="AX379" i="3"/>
  <c r="AW379" i="3"/>
  <c r="AV379" i="3"/>
  <c r="AC379" i="3"/>
  <c r="H379" i="3"/>
  <c r="BT378" i="3"/>
  <c r="BS378" i="3"/>
  <c r="BR378" i="3"/>
  <c r="BQ378" i="3"/>
  <c r="BP378" i="3"/>
  <c r="BO378" i="3"/>
  <c r="BN378" i="3"/>
  <c r="BM378" i="3"/>
  <c r="BK378" i="3"/>
  <c r="BJ378" i="3"/>
  <c r="BI378" i="3"/>
  <c r="BH378" i="3"/>
  <c r="BG378" i="3"/>
  <c r="BF378" i="3"/>
  <c r="BE378" i="3"/>
  <c r="BD378" i="3"/>
  <c r="BC378" i="3"/>
  <c r="BB378" i="3"/>
  <c r="AX378" i="3"/>
  <c r="AW378" i="3"/>
  <c r="AV378" i="3"/>
  <c r="AC378" i="3"/>
  <c r="H378" i="3"/>
  <c r="G378" i="3"/>
  <c r="BT377" i="3"/>
  <c r="BS377" i="3"/>
  <c r="BR377" i="3"/>
  <c r="BQ377" i="3"/>
  <c r="BP377" i="3"/>
  <c r="BO377" i="3"/>
  <c r="BN377" i="3"/>
  <c r="BM377" i="3"/>
  <c r="BK377" i="3"/>
  <c r="BJ377" i="3"/>
  <c r="BI377" i="3"/>
  <c r="BH377" i="3"/>
  <c r="BG377" i="3"/>
  <c r="BF377" i="3"/>
  <c r="BE377" i="3"/>
  <c r="BD377" i="3"/>
  <c r="BC377" i="3"/>
  <c r="BB377" i="3"/>
  <c r="AX377" i="3"/>
  <c r="AW377" i="3"/>
  <c r="AV377" i="3"/>
  <c r="AC377" i="3"/>
  <c r="H377" i="3"/>
  <c r="BT376" i="3"/>
  <c r="BS376" i="3"/>
  <c r="BR376" i="3"/>
  <c r="BQ376" i="3"/>
  <c r="BP376" i="3"/>
  <c r="BO376" i="3"/>
  <c r="BN376" i="3"/>
  <c r="BM376" i="3"/>
  <c r="BK376" i="3"/>
  <c r="BJ376" i="3"/>
  <c r="BI376" i="3"/>
  <c r="BH376" i="3"/>
  <c r="BG376" i="3"/>
  <c r="BF376" i="3"/>
  <c r="BE376" i="3"/>
  <c r="BD376" i="3"/>
  <c r="BC376" i="3"/>
  <c r="BB376" i="3"/>
  <c r="AX376" i="3"/>
  <c r="AW376" i="3"/>
  <c r="AV376" i="3"/>
  <c r="AC376" i="3"/>
  <c r="H376" i="3"/>
  <c r="BT375" i="3"/>
  <c r="BS375" i="3"/>
  <c r="BR375" i="3"/>
  <c r="BQ375" i="3"/>
  <c r="BP375" i="3"/>
  <c r="BO375" i="3"/>
  <c r="BN375" i="3"/>
  <c r="BM375" i="3"/>
  <c r="BL375" i="3"/>
  <c r="BK375" i="3"/>
  <c r="BJ375" i="3"/>
  <c r="BI375" i="3"/>
  <c r="BH375" i="3"/>
  <c r="BG375" i="3"/>
  <c r="BF375" i="3"/>
  <c r="BE375" i="3"/>
  <c r="BD375" i="3"/>
  <c r="BC375" i="3"/>
  <c r="BB375" i="3"/>
  <c r="AX375" i="3"/>
  <c r="AW375" i="3"/>
  <c r="AV375" i="3"/>
  <c r="AC375" i="3"/>
  <c r="H375" i="3"/>
  <c r="BT374" i="3"/>
  <c r="BS374" i="3"/>
  <c r="BR374" i="3"/>
  <c r="BQ374" i="3"/>
  <c r="BP374" i="3"/>
  <c r="BO374" i="3"/>
  <c r="BN374" i="3"/>
  <c r="BM374" i="3"/>
  <c r="BK374" i="3"/>
  <c r="BJ374" i="3"/>
  <c r="BI374" i="3"/>
  <c r="BH374" i="3"/>
  <c r="BG374" i="3"/>
  <c r="BF374" i="3"/>
  <c r="BE374" i="3"/>
  <c r="BD374" i="3"/>
  <c r="BC374" i="3"/>
  <c r="BB374" i="3"/>
  <c r="BA374" i="3"/>
  <c r="AX374" i="3"/>
  <c r="AW374" i="3"/>
  <c r="AV374" i="3"/>
  <c r="AC374" i="3"/>
  <c r="H374" i="3"/>
  <c r="G374" i="3"/>
  <c r="BT373" i="3"/>
  <c r="BS373" i="3"/>
  <c r="BR373" i="3"/>
  <c r="BQ373" i="3"/>
  <c r="BP373" i="3"/>
  <c r="BO373" i="3"/>
  <c r="BN373" i="3"/>
  <c r="BM373" i="3"/>
  <c r="BK373" i="3"/>
  <c r="BJ373" i="3"/>
  <c r="BI373" i="3"/>
  <c r="BH373" i="3"/>
  <c r="BG373" i="3"/>
  <c r="BF373" i="3"/>
  <c r="BE373" i="3"/>
  <c r="BD373" i="3"/>
  <c r="BC373" i="3"/>
  <c r="BB373" i="3"/>
  <c r="AX373" i="3"/>
  <c r="AW373" i="3"/>
  <c r="AV373" i="3"/>
  <c r="AC373" i="3"/>
  <c r="H373" i="3"/>
  <c r="BT372" i="3"/>
  <c r="BS372" i="3"/>
  <c r="BR372" i="3"/>
  <c r="BQ372" i="3"/>
  <c r="BP372" i="3"/>
  <c r="BO372" i="3"/>
  <c r="BN372" i="3"/>
  <c r="BM372" i="3"/>
  <c r="BK372" i="3"/>
  <c r="BJ372" i="3"/>
  <c r="BI372" i="3"/>
  <c r="BH372" i="3"/>
  <c r="BG372" i="3"/>
  <c r="BF372" i="3"/>
  <c r="BE372" i="3"/>
  <c r="BD372" i="3"/>
  <c r="BC372" i="3"/>
  <c r="BB372" i="3"/>
  <c r="AX372" i="3"/>
  <c r="AW372" i="3"/>
  <c r="AV372" i="3"/>
  <c r="AC372" i="3"/>
  <c r="H372" i="3"/>
  <c r="BT371" i="3"/>
  <c r="BS371" i="3"/>
  <c r="BR371" i="3"/>
  <c r="BQ371" i="3"/>
  <c r="BP371" i="3"/>
  <c r="BO371" i="3"/>
  <c r="BN371" i="3"/>
  <c r="BM371" i="3"/>
  <c r="BK371" i="3"/>
  <c r="BJ371" i="3"/>
  <c r="BI371" i="3"/>
  <c r="BH371" i="3"/>
  <c r="BG371" i="3"/>
  <c r="BF371" i="3"/>
  <c r="BE371" i="3"/>
  <c r="BD371" i="3"/>
  <c r="BC371" i="3"/>
  <c r="BB371" i="3"/>
  <c r="AX371" i="3"/>
  <c r="AW371" i="3"/>
  <c r="AV371" i="3"/>
  <c r="AC371" i="3"/>
  <c r="H371" i="3"/>
  <c r="BT370" i="3"/>
  <c r="BS370" i="3"/>
  <c r="BR370" i="3"/>
  <c r="BQ370" i="3"/>
  <c r="BP370" i="3"/>
  <c r="BO370" i="3"/>
  <c r="BN370" i="3"/>
  <c r="BM370" i="3"/>
  <c r="BK370" i="3"/>
  <c r="BJ370" i="3"/>
  <c r="BI370" i="3"/>
  <c r="BH370" i="3"/>
  <c r="BG370" i="3"/>
  <c r="BF370" i="3"/>
  <c r="BE370" i="3"/>
  <c r="BD370" i="3"/>
  <c r="BC370" i="3"/>
  <c r="BB370" i="3"/>
  <c r="BA370" i="3"/>
  <c r="AX370" i="3"/>
  <c r="AW370" i="3"/>
  <c r="AV370" i="3"/>
  <c r="AC370" i="3"/>
  <c r="H370" i="3"/>
  <c r="BT369" i="3"/>
  <c r="BS369" i="3"/>
  <c r="BR369" i="3"/>
  <c r="BQ369" i="3"/>
  <c r="BP369" i="3"/>
  <c r="BO369" i="3"/>
  <c r="BN369" i="3"/>
  <c r="BM369" i="3"/>
  <c r="BK369" i="3"/>
  <c r="BJ369" i="3"/>
  <c r="BI369" i="3"/>
  <c r="BH369" i="3"/>
  <c r="BG369" i="3"/>
  <c r="BF369" i="3"/>
  <c r="BE369" i="3"/>
  <c r="BD369" i="3"/>
  <c r="BC369" i="3"/>
  <c r="BB369" i="3"/>
  <c r="AX369" i="3"/>
  <c r="AW369" i="3"/>
  <c r="AV369" i="3"/>
  <c r="AC369" i="3"/>
  <c r="H369" i="3"/>
  <c r="G369" i="3"/>
  <c r="BT368" i="3"/>
  <c r="BS368" i="3"/>
  <c r="BR368" i="3"/>
  <c r="BQ368" i="3"/>
  <c r="BP368" i="3"/>
  <c r="BO368" i="3"/>
  <c r="BN368" i="3"/>
  <c r="BM368" i="3"/>
  <c r="BL368" i="3"/>
  <c r="BK368" i="3"/>
  <c r="BJ368" i="3"/>
  <c r="BI368" i="3"/>
  <c r="BH368" i="3"/>
  <c r="BG368" i="3"/>
  <c r="BF368" i="3"/>
  <c r="BE368" i="3"/>
  <c r="BD368" i="3"/>
  <c r="BC368" i="3"/>
  <c r="BB368" i="3"/>
  <c r="BA368" i="3"/>
  <c r="AX368" i="3"/>
  <c r="AW368" i="3"/>
  <c r="AV368" i="3"/>
  <c r="AC368" i="3"/>
  <c r="H368" i="3"/>
  <c r="BT367" i="3"/>
  <c r="BS367" i="3"/>
  <c r="BR367" i="3"/>
  <c r="BQ367" i="3"/>
  <c r="BP367" i="3"/>
  <c r="BO367" i="3"/>
  <c r="BN367" i="3"/>
  <c r="BM367" i="3"/>
  <c r="BL367" i="3"/>
  <c r="BK367" i="3"/>
  <c r="BJ367" i="3"/>
  <c r="BI367" i="3"/>
  <c r="BH367" i="3"/>
  <c r="BG367" i="3"/>
  <c r="BF367" i="3"/>
  <c r="BE367" i="3"/>
  <c r="BD367" i="3"/>
  <c r="BC367" i="3"/>
  <c r="BB367" i="3"/>
  <c r="BA367" i="3"/>
  <c r="AX367" i="3"/>
  <c r="AW367" i="3"/>
  <c r="AV367" i="3"/>
  <c r="AC367" i="3"/>
  <c r="H367" i="3"/>
  <c r="BT366" i="3"/>
  <c r="BS366" i="3"/>
  <c r="BR366" i="3"/>
  <c r="BQ366" i="3"/>
  <c r="BP366" i="3"/>
  <c r="BO366" i="3"/>
  <c r="BN366" i="3"/>
  <c r="BM366" i="3"/>
  <c r="BK366" i="3"/>
  <c r="BJ366" i="3"/>
  <c r="BI366" i="3"/>
  <c r="BH366" i="3"/>
  <c r="BG366" i="3"/>
  <c r="BF366" i="3"/>
  <c r="BE366" i="3"/>
  <c r="BD366" i="3"/>
  <c r="BC366" i="3"/>
  <c r="BB366" i="3"/>
  <c r="BA366" i="3"/>
  <c r="AX366" i="3"/>
  <c r="AW366" i="3"/>
  <c r="AV366" i="3"/>
  <c r="AC366" i="3"/>
  <c r="H366" i="3"/>
  <c r="G366" i="3"/>
  <c r="BT365" i="3"/>
  <c r="BS365" i="3"/>
  <c r="BR365" i="3"/>
  <c r="BQ365" i="3"/>
  <c r="BP365" i="3"/>
  <c r="BO365" i="3"/>
  <c r="BN365" i="3"/>
  <c r="BM365" i="3"/>
  <c r="BL365" i="3"/>
  <c r="BK365" i="3"/>
  <c r="BJ365" i="3"/>
  <c r="BI365" i="3"/>
  <c r="BH365" i="3"/>
  <c r="BG365" i="3"/>
  <c r="BF365" i="3"/>
  <c r="BE365" i="3"/>
  <c r="BD365" i="3"/>
  <c r="BC365" i="3"/>
  <c r="BB365" i="3"/>
  <c r="AX365" i="3"/>
  <c r="AW365" i="3"/>
  <c r="AV365" i="3"/>
  <c r="AC365" i="3"/>
  <c r="H365" i="3"/>
  <c r="BT364" i="3"/>
  <c r="BS364" i="3"/>
  <c r="BR364" i="3"/>
  <c r="BQ364" i="3"/>
  <c r="BP364" i="3"/>
  <c r="BO364" i="3"/>
  <c r="BN364" i="3"/>
  <c r="BM364" i="3"/>
  <c r="BK364" i="3"/>
  <c r="BJ364" i="3"/>
  <c r="BI364" i="3"/>
  <c r="BH364" i="3"/>
  <c r="BG364" i="3"/>
  <c r="BF364" i="3"/>
  <c r="BE364" i="3"/>
  <c r="BD364" i="3"/>
  <c r="BC364" i="3"/>
  <c r="BB364" i="3"/>
  <c r="AX364" i="3"/>
  <c r="AW364" i="3"/>
  <c r="AV364" i="3"/>
  <c r="AC364" i="3"/>
  <c r="H364" i="3"/>
  <c r="G364" i="3"/>
  <c r="BT363" i="3"/>
  <c r="BS363" i="3"/>
  <c r="BR363" i="3"/>
  <c r="BQ363" i="3"/>
  <c r="BP363" i="3"/>
  <c r="BO363" i="3"/>
  <c r="BN363" i="3"/>
  <c r="BM363" i="3"/>
  <c r="BL363" i="3"/>
  <c r="BK363" i="3"/>
  <c r="BJ363" i="3"/>
  <c r="BI363" i="3"/>
  <c r="BH363" i="3"/>
  <c r="BG363" i="3"/>
  <c r="BF363" i="3"/>
  <c r="BE363" i="3"/>
  <c r="BD363" i="3"/>
  <c r="BC363" i="3"/>
  <c r="BB363" i="3"/>
  <c r="AX363" i="3"/>
  <c r="AW363" i="3"/>
  <c r="AV363" i="3"/>
  <c r="AC363" i="3"/>
  <c r="H363" i="3"/>
  <c r="BT362" i="3"/>
  <c r="BS362" i="3"/>
  <c r="BR362" i="3"/>
  <c r="BQ362" i="3"/>
  <c r="BP362" i="3"/>
  <c r="BO362" i="3"/>
  <c r="BN362" i="3"/>
  <c r="BM362" i="3"/>
  <c r="BK362" i="3"/>
  <c r="BJ362" i="3"/>
  <c r="BI362" i="3"/>
  <c r="BH362" i="3"/>
  <c r="BG362" i="3"/>
  <c r="BF362" i="3"/>
  <c r="BE362" i="3"/>
  <c r="BD362" i="3"/>
  <c r="BC362" i="3"/>
  <c r="BB362" i="3"/>
  <c r="AX362" i="3"/>
  <c r="AW362" i="3"/>
  <c r="AV362" i="3"/>
  <c r="AC362" i="3"/>
  <c r="H362" i="3"/>
  <c r="G362" i="3"/>
  <c r="BT361" i="3"/>
  <c r="BS361" i="3"/>
  <c r="BR361" i="3"/>
  <c r="BQ361" i="3"/>
  <c r="BP361" i="3"/>
  <c r="BO361" i="3"/>
  <c r="BN361" i="3"/>
  <c r="BM361" i="3"/>
  <c r="BK361" i="3"/>
  <c r="BJ361" i="3"/>
  <c r="BI361" i="3"/>
  <c r="BH361" i="3"/>
  <c r="BG361" i="3"/>
  <c r="BF361" i="3"/>
  <c r="BE361" i="3"/>
  <c r="BD361" i="3"/>
  <c r="BC361" i="3"/>
  <c r="BB361" i="3"/>
  <c r="AX361" i="3"/>
  <c r="AW361" i="3"/>
  <c r="AV361" i="3"/>
  <c r="AC361" i="3"/>
  <c r="H361" i="3"/>
  <c r="BT360" i="3"/>
  <c r="BS360" i="3"/>
  <c r="BR360" i="3"/>
  <c r="BQ360" i="3"/>
  <c r="BP360" i="3"/>
  <c r="BO360" i="3"/>
  <c r="BN360" i="3"/>
  <c r="BM360" i="3"/>
  <c r="BK360" i="3"/>
  <c r="BJ360" i="3"/>
  <c r="BI360" i="3"/>
  <c r="BH360" i="3"/>
  <c r="BG360" i="3"/>
  <c r="BF360" i="3"/>
  <c r="BE360" i="3"/>
  <c r="BD360" i="3"/>
  <c r="BC360" i="3"/>
  <c r="BB360" i="3"/>
  <c r="AX360" i="3"/>
  <c r="AW360" i="3"/>
  <c r="AV360" i="3"/>
  <c r="AC360" i="3"/>
  <c r="H360" i="3"/>
  <c r="BT359" i="3"/>
  <c r="BS359" i="3"/>
  <c r="BR359" i="3"/>
  <c r="BQ359" i="3"/>
  <c r="BP359" i="3"/>
  <c r="BO359" i="3"/>
  <c r="BN359" i="3"/>
  <c r="BM359" i="3"/>
  <c r="BL359" i="3"/>
  <c r="BK359" i="3"/>
  <c r="BJ359" i="3"/>
  <c r="BI359" i="3"/>
  <c r="BH359" i="3"/>
  <c r="BG359" i="3"/>
  <c r="BF359" i="3"/>
  <c r="BE359" i="3"/>
  <c r="BD359" i="3"/>
  <c r="BC359" i="3"/>
  <c r="BB359" i="3"/>
  <c r="AX359" i="3"/>
  <c r="AW359" i="3"/>
  <c r="AV359" i="3"/>
  <c r="AC359" i="3"/>
  <c r="H359" i="3"/>
  <c r="BT358" i="3"/>
  <c r="BS358" i="3"/>
  <c r="BR358" i="3"/>
  <c r="BQ358" i="3"/>
  <c r="BP358" i="3"/>
  <c r="BO358" i="3"/>
  <c r="BN358" i="3"/>
  <c r="BM358" i="3"/>
  <c r="BK358" i="3"/>
  <c r="BJ358" i="3"/>
  <c r="BI358" i="3"/>
  <c r="BH358" i="3"/>
  <c r="BG358" i="3"/>
  <c r="BF358" i="3"/>
  <c r="BE358" i="3"/>
  <c r="BD358" i="3"/>
  <c r="BC358" i="3"/>
  <c r="BB358" i="3"/>
  <c r="BA358" i="3"/>
  <c r="AX358" i="3"/>
  <c r="AW358" i="3"/>
  <c r="AV358" i="3"/>
  <c r="AC358" i="3"/>
  <c r="H358" i="3"/>
  <c r="G358" i="3"/>
  <c r="BT357" i="3"/>
  <c r="BS357" i="3"/>
  <c r="BR357" i="3"/>
  <c r="BQ357" i="3"/>
  <c r="BP357" i="3"/>
  <c r="BO357" i="3"/>
  <c r="BN357" i="3"/>
  <c r="BM357" i="3"/>
  <c r="BK357" i="3"/>
  <c r="BJ357" i="3"/>
  <c r="BI357" i="3"/>
  <c r="BH357" i="3"/>
  <c r="BG357" i="3"/>
  <c r="BF357" i="3"/>
  <c r="BE357" i="3"/>
  <c r="BD357" i="3"/>
  <c r="BC357" i="3"/>
  <c r="BB357" i="3"/>
  <c r="AX357" i="3"/>
  <c r="AW357" i="3"/>
  <c r="AV357" i="3"/>
  <c r="AC357" i="3"/>
  <c r="H357" i="3"/>
  <c r="BT356" i="3"/>
  <c r="BS356" i="3"/>
  <c r="BR356" i="3"/>
  <c r="BQ356" i="3"/>
  <c r="BP356" i="3"/>
  <c r="BO356" i="3"/>
  <c r="BN356" i="3"/>
  <c r="BM356" i="3"/>
  <c r="BK356" i="3"/>
  <c r="BJ356" i="3"/>
  <c r="BI356" i="3"/>
  <c r="BH356" i="3"/>
  <c r="BG356" i="3"/>
  <c r="BF356" i="3"/>
  <c r="BE356" i="3"/>
  <c r="BD356" i="3"/>
  <c r="BC356" i="3"/>
  <c r="BB356" i="3"/>
  <c r="AX356" i="3"/>
  <c r="AW356" i="3"/>
  <c r="AV356" i="3"/>
  <c r="AC356" i="3"/>
  <c r="H356" i="3"/>
  <c r="BT355" i="3"/>
  <c r="BS355" i="3"/>
  <c r="BR355" i="3"/>
  <c r="BQ355" i="3"/>
  <c r="BP355" i="3"/>
  <c r="BO355" i="3"/>
  <c r="BN355" i="3"/>
  <c r="BM355" i="3"/>
  <c r="BK355" i="3"/>
  <c r="BJ355" i="3"/>
  <c r="BI355" i="3"/>
  <c r="BH355" i="3"/>
  <c r="BG355" i="3"/>
  <c r="BF355" i="3"/>
  <c r="BE355" i="3"/>
  <c r="BD355" i="3"/>
  <c r="BC355" i="3"/>
  <c r="BB355" i="3"/>
  <c r="AX355" i="3"/>
  <c r="AW355" i="3"/>
  <c r="AV355" i="3"/>
  <c r="AC355" i="3"/>
  <c r="H355" i="3"/>
  <c r="BT354" i="3"/>
  <c r="BS354" i="3"/>
  <c r="BR354" i="3"/>
  <c r="BQ354" i="3"/>
  <c r="BP354" i="3"/>
  <c r="BO354" i="3"/>
  <c r="BN354" i="3"/>
  <c r="BM354" i="3"/>
  <c r="BL354" i="3"/>
  <c r="BK354" i="3"/>
  <c r="BJ354" i="3"/>
  <c r="BI354" i="3"/>
  <c r="BH354" i="3"/>
  <c r="BG354" i="3"/>
  <c r="BF354" i="3"/>
  <c r="BE354" i="3"/>
  <c r="BD354" i="3"/>
  <c r="BC354" i="3"/>
  <c r="BB354" i="3"/>
  <c r="BA354" i="3"/>
  <c r="AX354" i="3"/>
  <c r="AW354" i="3"/>
  <c r="AV354" i="3"/>
  <c r="AC354" i="3"/>
  <c r="H354" i="3"/>
  <c r="BT353" i="3"/>
  <c r="BS353" i="3"/>
  <c r="BR353" i="3"/>
  <c r="BQ353" i="3"/>
  <c r="BP353" i="3"/>
  <c r="BO353" i="3"/>
  <c r="BN353" i="3"/>
  <c r="BM353" i="3"/>
  <c r="BL353" i="3"/>
  <c r="BK353" i="3"/>
  <c r="BJ353" i="3"/>
  <c r="BI353" i="3"/>
  <c r="BH353" i="3"/>
  <c r="BG353" i="3"/>
  <c r="BF353" i="3"/>
  <c r="BE353" i="3"/>
  <c r="BD353" i="3"/>
  <c r="BC353" i="3"/>
  <c r="BB353" i="3"/>
  <c r="BA353" i="3"/>
  <c r="AX353" i="3"/>
  <c r="AW353" i="3"/>
  <c r="AV353" i="3"/>
  <c r="AC353" i="3"/>
  <c r="H353" i="3"/>
  <c r="BT352" i="3"/>
  <c r="BS352" i="3"/>
  <c r="BR352" i="3"/>
  <c r="BQ352" i="3"/>
  <c r="BP352" i="3"/>
  <c r="BO352" i="3"/>
  <c r="BN352" i="3"/>
  <c r="BM352" i="3"/>
  <c r="BK352" i="3"/>
  <c r="BJ352" i="3"/>
  <c r="BI352" i="3"/>
  <c r="BH352" i="3"/>
  <c r="BG352" i="3"/>
  <c r="BF352" i="3"/>
  <c r="BE352" i="3"/>
  <c r="BD352" i="3"/>
  <c r="BC352" i="3"/>
  <c r="BB352" i="3"/>
  <c r="BA352" i="3"/>
  <c r="AX352" i="3"/>
  <c r="AW352" i="3"/>
  <c r="AV352" i="3"/>
  <c r="AC352" i="3"/>
  <c r="H352" i="3"/>
  <c r="BT351" i="3"/>
  <c r="BS351" i="3"/>
  <c r="BR351" i="3"/>
  <c r="BQ351" i="3"/>
  <c r="BP351" i="3"/>
  <c r="BO351" i="3"/>
  <c r="BN351" i="3"/>
  <c r="BM351" i="3"/>
  <c r="BK351" i="3"/>
  <c r="BJ351" i="3"/>
  <c r="BI351" i="3"/>
  <c r="BH351" i="3"/>
  <c r="BG351" i="3"/>
  <c r="BF351" i="3"/>
  <c r="BE351" i="3"/>
  <c r="BD351" i="3"/>
  <c r="BC351" i="3"/>
  <c r="BB351" i="3"/>
  <c r="AX351" i="3"/>
  <c r="AW351" i="3"/>
  <c r="AV351" i="3"/>
  <c r="AC351" i="3"/>
  <c r="H351" i="3"/>
  <c r="G351" i="3"/>
  <c r="BT350" i="3"/>
  <c r="BS350" i="3"/>
  <c r="BR350" i="3"/>
  <c r="BQ350" i="3"/>
  <c r="BP350" i="3"/>
  <c r="BO350" i="3"/>
  <c r="BN350" i="3"/>
  <c r="BM350" i="3"/>
  <c r="BL350" i="3"/>
  <c r="BK350" i="3"/>
  <c r="BJ350" i="3"/>
  <c r="BI350" i="3"/>
  <c r="BH350" i="3"/>
  <c r="BG350" i="3"/>
  <c r="BF350" i="3"/>
  <c r="BE350" i="3"/>
  <c r="BD350" i="3"/>
  <c r="BC350" i="3"/>
  <c r="BB350" i="3"/>
  <c r="BA350" i="3"/>
  <c r="AX350" i="3"/>
  <c r="AW350" i="3"/>
  <c r="AV350" i="3"/>
  <c r="AC350" i="3"/>
  <c r="H350" i="3"/>
  <c r="BT349" i="3"/>
  <c r="BS349" i="3"/>
  <c r="BR349" i="3"/>
  <c r="BQ349" i="3"/>
  <c r="BP349" i="3"/>
  <c r="BO349" i="3"/>
  <c r="BN349" i="3"/>
  <c r="BM349" i="3"/>
  <c r="BK349" i="3"/>
  <c r="BJ349" i="3"/>
  <c r="BI349" i="3"/>
  <c r="BH349" i="3"/>
  <c r="BG349" i="3"/>
  <c r="BF349" i="3"/>
  <c r="BE349" i="3"/>
  <c r="BD349" i="3"/>
  <c r="BC349" i="3"/>
  <c r="BB349" i="3"/>
  <c r="BA349" i="3"/>
  <c r="AX349" i="3"/>
  <c r="AW349" i="3"/>
  <c r="AV349" i="3"/>
  <c r="AC349" i="3"/>
  <c r="H349" i="3"/>
  <c r="G349" i="3"/>
  <c r="BT348" i="3"/>
  <c r="BS348" i="3"/>
  <c r="BR348" i="3"/>
  <c r="BQ348" i="3"/>
  <c r="BP348" i="3"/>
  <c r="BO348" i="3"/>
  <c r="BN348" i="3"/>
  <c r="BM348" i="3"/>
  <c r="BL348" i="3"/>
  <c r="BK348" i="3"/>
  <c r="BJ348" i="3"/>
  <c r="BI348" i="3"/>
  <c r="BH348" i="3"/>
  <c r="BG348" i="3"/>
  <c r="BF348" i="3"/>
  <c r="BE348" i="3"/>
  <c r="BD348" i="3"/>
  <c r="BC348" i="3"/>
  <c r="BB348" i="3"/>
  <c r="BA348" i="3"/>
  <c r="AX348" i="3"/>
  <c r="AW348" i="3"/>
  <c r="AV348" i="3"/>
  <c r="AC348" i="3"/>
  <c r="H348" i="3"/>
  <c r="BT347" i="3"/>
  <c r="BS347" i="3"/>
  <c r="BR347" i="3"/>
  <c r="BQ347" i="3"/>
  <c r="BP347" i="3"/>
  <c r="BO347" i="3"/>
  <c r="BN347" i="3"/>
  <c r="BM347" i="3"/>
  <c r="BK347" i="3"/>
  <c r="BJ347" i="3"/>
  <c r="BI347" i="3"/>
  <c r="BH347" i="3"/>
  <c r="BG347" i="3"/>
  <c r="BF347" i="3"/>
  <c r="BE347" i="3"/>
  <c r="BD347" i="3"/>
  <c r="BC347" i="3"/>
  <c r="BB347" i="3"/>
  <c r="AX347" i="3"/>
  <c r="AW347" i="3"/>
  <c r="AV347" i="3"/>
  <c r="AC347" i="3"/>
  <c r="H347" i="3"/>
  <c r="G347" i="3"/>
  <c r="BT346" i="3"/>
  <c r="BS346" i="3"/>
  <c r="BR346" i="3"/>
  <c r="BQ346" i="3"/>
  <c r="BP346" i="3"/>
  <c r="BO346" i="3"/>
  <c r="BN346" i="3"/>
  <c r="BM346" i="3"/>
  <c r="BL346" i="3"/>
  <c r="BK346" i="3"/>
  <c r="BJ346" i="3"/>
  <c r="BI346" i="3"/>
  <c r="BH346" i="3"/>
  <c r="BG346" i="3"/>
  <c r="BF346" i="3"/>
  <c r="BE346" i="3"/>
  <c r="BD346" i="3"/>
  <c r="BC346" i="3"/>
  <c r="BB346" i="3"/>
  <c r="AX346" i="3"/>
  <c r="AW346" i="3"/>
  <c r="AV346" i="3"/>
  <c r="AC346" i="3"/>
  <c r="H346" i="3"/>
  <c r="BT345" i="3"/>
  <c r="BS345" i="3"/>
  <c r="BR345" i="3"/>
  <c r="BQ345" i="3"/>
  <c r="BP345" i="3"/>
  <c r="BO345" i="3"/>
  <c r="BN345" i="3"/>
  <c r="BM345" i="3"/>
  <c r="BK345" i="3"/>
  <c r="BJ345" i="3"/>
  <c r="BI345" i="3"/>
  <c r="BH345" i="3"/>
  <c r="BG345" i="3"/>
  <c r="BF345" i="3"/>
  <c r="BE345" i="3"/>
  <c r="BD345" i="3"/>
  <c r="BC345" i="3"/>
  <c r="BB345" i="3"/>
  <c r="AX345" i="3"/>
  <c r="AW345" i="3"/>
  <c r="AV345" i="3"/>
  <c r="AC345" i="3"/>
  <c r="H345" i="3"/>
  <c r="G345" i="3"/>
  <c r="BT344" i="3"/>
  <c r="BS344" i="3"/>
  <c r="BR344" i="3"/>
  <c r="BQ344" i="3"/>
  <c r="BP344" i="3"/>
  <c r="BO344" i="3"/>
  <c r="BN344" i="3"/>
  <c r="BM344" i="3"/>
  <c r="BK344" i="3"/>
  <c r="BJ344" i="3"/>
  <c r="BI344" i="3"/>
  <c r="BH344" i="3"/>
  <c r="BG344" i="3"/>
  <c r="BF344" i="3"/>
  <c r="BE344" i="3"/>
  <c r="BD344" i="3"/>
  <c r="BC344" i="3"/>
  <c r="BB344" i="3"/>
  <c r="AX344" i="3"/>
  <c r="AW344" i="3"/>
  <c r="AV344" i="3"/>
  <c r="AC344" i="3"/>
  <c r="H344" i="3"/>
  <c r="BT343" i="3"/>
  <c r="BS343" i="3"/>
  <c r="BR343" i="3"/>
  <c r="BQ343" i="3"/>
  <c r="BP343" i="3"/>
  <c r="BO343" i="3"/>
  <c r="BN343" i="3"/>
  <c r="BM343" i="3"/>
  <c r="BK343" i="3"/>
  <c r="BJ343" i="3"/>
  <c r="BI343" i="3"/>
  <c r="BH343" i="3"/>
  <c r="BG343" i="3"/>
  <c r="BF343" i="3"/>
  <c r="BE343" i="3"/>
  <c r="BD343" i="3"/>
  <c r="BC343" i="3"/>
  <c r="BB343" i="3"/>
  <c r="AX343" i="3"/>
  <c r="AW343" i="3"/>
  <c r="AV343" i="3"/>
  <c r="AC343" i="3"/>
  <c r="H343" i="3"/>
  <c r="G343" i="3"/>
  <c r="BT342" i="3"/>
  <c r="BS342" i="3"/>
  <c r="BR342" i="3"/>
  <c r="BQ342" i="3"/>
  <c r="BP342" i="3"/>
  <c r="BO342" i="3"/>
  <c r="BN342" i="3"/>
  <c r="BM342" i="3"/>
  <c r="BK342" i="3"/>
  <c r="BJ342" i="3"/>
  <c r="BI342" i="3"/>
  <c r="BH342" i="3"/>
  <c r="BG342" i="3"/>
  <c r="BF342" i="3"/>
  <c r="BE342" i="3"/>
  <c r="BD342" i="3"/>
  <c r="BC342" i="3"/>
  <c r="BB342" i="3"/>
  <c r="AX342" i="3"/>
  <c r="AW342" i="3"/>
  <c r="AV342" i="3"/>
  <c r="AC342" i="3"/>
  <c r="H342" i="3"/>
  <c r="BT341" i="3"/>
  <c r="BS341" i="3"/>
  <c r="BR341" i="3"/>
  <c r="BQ341" i="3"/>
  <c r="BP341" i="3"/>
  <c r="BO341" i="3"/>
  <c r="BN341" i="3"/>
  <c r="BM341" i="3"/>
  <c r="BK341" i="3"/>
  <c r="BJ341" i="3"/>
  <c r="BI341" i="3"/>
  <c r="BH341" i="3"/>
  <c r="BG341" i="3"/>
  <c r="BF341" i="3"/>
  <c r="BE341" i="3"/>
  <c r="BD341" i="3"/>
  <c r="BC341" i="3"/>
  <c r="BB341" i="3"/>
  <c r="AX341" i="3"/>
  <c r="AW341" i="3"/>
  <c r="AV341" i="3"/>
  <c r="AC341" i="3"/>
  <c r="H341" i="3"/>
  <c r="BT340" i="3"/>
  <c r="BS340" i="3"/>
  <c r="BR340" i="3"/>
  <c r="BQ340" i="3"/>
  <c r="BP340" i="3"/>
  <c r="BO340" i="3"/>
  <c r="BN340" i="3"/>
  <c r="BM340" i="3"/>
  <c r="BL340" i="3"/>
  <c r="BK340" i="3"/>
  <c r="BJ340" i="3"/>
  <c r="BI340" i="3"/>
  <c r="BH340" i="3"/>
  <c r="BG340" i="3"/>
  <c r="BF340" i="3"/>
  <c r="BE340" i="3"/>
  <c r="BD340" i="3"/>
  <c r="BC340" i="3"/>
  <c r="BB340" i="3"/>
  <c r="AX340" i="3"/>
  <c r="AW340" i="3"/>
  <c r="AV340" i="3"/>
  <c r="AC340" i="3"/>
  <c r="H340" i="3"/>
  <c r="BT339" i="3"/>
  <c r="BS339" i="3"/>
  <c r="BR339" i="3"/>
  <c r="BQ339" i="3"/>
  <c r="BP339" i="3"/>
  <c r="BO339" i="3"/>
  <c r="BN339" i="3"/>
  <c r="BM339" i="3"/>
  <c r="BK339" i="3"/>
  <c r="BJ339" i="3"/>
  <c r="BI339" i="3"/>
  <c r="BH339" i="3"/>
  <c r="BG339" i="3"/>
  <c r="BF339" i="3"/>
  <c r="BE339" i="3"/>
  <c r="BD339" i="3"/>
  <c r="BC339" i="3"/>
  <c r="BB339" i="3"/>
  <c r="BA339" i="3"/>
  <c r="AX339" i="3"/>
  <c r="AW339" i="3"/>
  <c r="AV339" i="3"/>
  <c r="AC339" i="3"/>
  <c r="H339" i="3"/>
  <c r="G339" i="3"/>
  <c r="BT338" i="3"/>
  <c r="BS338" i="3"/>
  <c r="BR338" i="3"/>
  <c r="BQ338" i="3"/>
  <c r="BP338" i="3"/>
  <c r="BO338" i="3"/>
  <c r="BN338" i="3"/>
  <c r="BM338" i="3"/>
  <c r="BK338" i="3"/>
  <c r="BJ338" i="3"/>
  <c r="BI338" i="3"/>
  <c r="BH338" i="3"/>
  <c r="BG338" i="3"/>
  <c r="BF338" i="3"/>
  <c r="BE338" i="3"/>
  <c r="BD338" i="3"/>
  <c r="BC338" i="3"/>
  <c r="BB338" i="3"/>
  <c r="AX338" i="3"/>
  <c r="AW338" i="3"/>
  <c r="AV338" i="3"/>
  <c r="AC338" i="3"/>
  <c r="H338" i="3"/>
  <c r="BT337" i="3"/>
  <c r="BS337" i="3"/>
  <c r="BR337" i="3"/>
  <c r="BQ337" i="3"/>
  <c r="BP337" i="3"/>
  <c r="BO337" i="3"/>
  <c r="BN337" i="3"/>
  <c r="BM337" i="3"/>
  <c r="BK337" i="3"/>
  <c r="BJ337" i="3"/>
  <c r="BI337" i="3"/>
  <c r="BH337" i="3"/>
  <c r="BG337" i="3"/>
  <c r="BF337" i="3"/>
  <c r="BE337" i="3"/>
  <c r="BD337" i="3"/>
  <c r="BC337" i="3"/>
  <c r="BB337" i="3"/>
  <c r="AX337" i="3"/>
  <c r="AW337" i="3"/>
  <c r="AV337" i="3"/>
  <c r="AC337" i="3"/>
  <c r="H337" i="3"/>
  <c r="BT336" i="3"/>
  <c r="BS336" i="3"/>
  <c r="BR336" i="3"/>
  <c r="BQ336" i="3"/>
  <c r="BP336" i="3"/>
  <c r="BO336" i="3"/>
  <c r="BN336" i="3"/>
  <c r="BM336" i="3"/>
  <c r="BK336" i="3"/>
  <c r="BJ336" i="3"/>
  <c r="BI336" i="3"/>
  <c r="BH336" i="3"/>
  <c r="BG336" i="3"/>
  <c r="BF336" i="3"/>
  <c r="BE336" i="3"/>
  <c r="BD336" i="3"/>
  <c r="BC336" i="3"/>
  <c r="BB336" i="3"/>
  <c r="AX336" i="3"/>
  <c r="AW336" i="3"/>
  <c r="AV336" i="3"/>
  <c r="AC336" i="3"/>
  <c r="H336" i="3"/>
  <c r="BT335" i="3"/>
  <c r="BS335" i="3"/>
  <c r="BR335" i="3"/>
  <c r="BQ335" i="3"/>
  <c r="BP335" i="3"/>
  <c r="BO335" i="3"/>
  <c r="BN335" i="3"/>
  <c r="BM335" i="3"/>
  <c r="BK335" i="3"/>
  <c r="BJ335" i="3"/>
  <c r="BI335" i="3"/>
  <c r="BH335" i="3"/>
  <c r="BG335" i="3"/>
  <c r="BF335" i="3"/>
  <c r="BE335" i="3"/>
  <c r="BD335" i="3"/>
  <c r="BC335" i="3"/>
  <c r="BB335" i="3"/>
  <c r="BA335" i="3"/>
  <c r="AX335" i="3"/>
  <c r="AW335" i="3"/>
  <c r="AV335" i="3"/>
  <c r="AC335" i="3"/>
  <c r="H335" i="3"/>
  <c r="BT334" i="3"/>
  <c r="BS334" i="3"/>
  <c r="BR334" i="3"/>
  <c r="BQ334" i="3"/>
  <c r="BP334" i="3"/>
  <c r="BO334" i="3"/>
  <c r="BN334" i="3"/>
  <c r="BM334" i="3"/>
  <c r="BK334" i="3"/>
  <c r="BJ334" i="3"/>
  <c r="BI334" i="3"/>
  <c r="BH334" i="3"/>
  <c r="BG334" i="3"/>
  <c r="BF334" i="3"/>
  <c r="BE334" i="3"/>
  <c r="BD334" i="3"/>
  <c r="BC334" i="3"/>
  <c r="BB334" i="3"/>
  <c r="AX334" i="3"/>
  <c r="AW334" i="3"/>
  <c r="AV334" i="3"/>
  <c r="AC334" i="3"/>
  <c r="H334" i="3"/>
  <c r="G334" i="3"/>
  <c r="BT333" i="3"/>
  <c r="BS333" i="3"/>
  <c r="BR333" i="3"/>
  <c r="BQ333" i="3"/>
  <c r="BP333" i="3"/>
  <c r="BO333" i="3"/>
  <c r="BN333" i="3"/>
  <c r="BM333" i="3"/>
  <c r="BL333" i="3"/>
  <c r="BK333" i="3"/>
  <c r="BJ333" i="3"/>
  <c r="BI333" i="3"/>
  <c r="BH333" i="3"/>
  <c r="BG333" i="3"/>
  <c r="BF333" i="3"/>
  <c r="BE333" i="3"/>
  <c r="BD333" i="3"/>
  <c r="BC333" i="3"/>
  <c r="BB333" i="3"/>
  <c r="BA333" i="3"/>
  <c r="AX333" i="3"/>
  <c r="AW333" i="3"/>
  <c r="AV333" i="3"/>
  <c r="AC333" i="3"/>
  <c r="H333" i="3"/>
  <c r="BT332" i="3"/>
  <c r="BS332" i="3"/>
  <c r="BR332" i="3"/>
  <c r="BQ332" i="3"/>
  <c r="BP332" i="3"/>
  <c r="BO332" i="3"/>
  <c r="BN332" i="3"/>
  <c r="BM332" i="3"/>
  <c r="BL332" i="3"/>
  <c r="BK332" i="3"/>
  <c r="BJ332" i="3"/>
  <c r="BI332" i="3"/>
  <c r="BH332" i="3"/>
  <c r="BG332" i="3"/>
  <c r="BF332" i="3"/>
  <c r="BE332" i="3"/>
  <c r="BD332" i="3"/>
  <c r="BC332" i="3"/>
  <c r="BB332" i="3"/>
  <c r="BA332" i="3"/>
  <c r="AZ332" i="3"/>
  <c r="AX332" i="3"/>
  <c r="AW332" i="3"/>
  <c r="AV332" i="3"/>
  <c r="AC332" i="3"/>
  <c r="H332" i="3"/>
  <c r="BT331" i="3"/>
  <c r="BS331" i="3"/>
  <c r="BR331" i="3"/>
  <c r="BQ331" i="3"/>
  <c r="BP331" i="3"/>
  <c r="BO331" i="3"/>
  <c r="BN331" i="3"/>
  <c r="BM331" i="3"/>
  <c r="BK331" i="3"/>
  <c r="BJ331" i="3"/>
  <c r="BI331" i="3"/>
  <c r="BH331" i="3"/>
  <c r="BG331" i="3"/>
  <c r="BF331" i="3"/>
  <c r="BE331" i="3"/>
  <c r="BD331" i="3"/>
  <c r="BC331" i="3"/>
  <c r="BB331" i="3"/>
  <c r="BA331" i="3"/>
  <c r="AX331" i="3"/>
  <c r="AW331" i="3"/>
  <c r="AV331" i="3"/>
  <c r="AC331" i="3"/>
  <c r="H331" i="3"/>
  <c r="G331" i="3"/>
  <c r="BT330" i="3"/>
  <c r="BS330" i="3"/>
  <c r="BR330" i="3"/>
  <c r="BQ330" i="3"/>
  <c r="BP330" i="3"/>
  <c r="BO330" i="3"/>
  <c r="BN330" i="3"/>
  <c r="BM330" i="3"/>
  <c r="BL330" i="3"/>
  <c r="BK330" i="3"/>
  <c r="BJ330" i="3"/>
  <c r="BI330" i="3"/>
  <c r="BH330" i="3"/>
  <c r="BG330" i="3"/>
  <c r="BF330" i="3"/>
  <c r="BE330" i="3"/>
  <c r="BD330" i="3"/>
  <c r="BC330" i="3"/>
  <c r="BB330" i="3"/>
  <c r="AX330" i="3"/>
  <c r="AW330" i="3"/>
  <c r="AV330" i="3"/>
  <c r="AC330" i="3"/>
  <c r="H330" i="3"/>
  <c r="BT329" i="3"/>
  <c r="BS329" i="3"/>
  <c r="BR329" i="3"/>
  <c r="BQ329" i="3"/>
  <c r="BP329" i="3"/>
  <c r="BO329" i="3"/>
  <c r="BN329" i="3"/>
  <c r="BM329" i="3"/>
  <c r="BK329" i="3"/>
  <c r="BJ329" i="3"/>
  <c r="BI329" i="3"/>
  <c r="BH329" i="3"/>
  <c r="BG329" i="3"/>
  <c r="BF329" i="3"/>
  <c r="BE329" i="3"/>
  <c r="BD329" i="3"/>
  <c r="BC329" i="3"/>
  <c r="BB329" i="3"/>
  <c r="AX329" i="3"/>
  <c r="AW329" i="3"/>
  <c r="AV329" i="3"/>
  <c r="AC329" i="3"/>
  <c r="H329" i="3"/>
  <c r="G329" i="3"/>
  <c r="BT328" i="3"/>
  <c r="BS328" i="3"/>
  <c r="BR328" i="3"/>
  <c r="BQ328" i="3"/>
  <c r="BP328" i="3"/>
  <c r="BO328" i="3"/>
  <c r="BN328" i="3"/>
  <c r="BM328" i="3"/>
  <c r="BL328" i="3"/>
  <c r="BK328" i="3"/>
  <c r="BJ328" i="3"/>
  <c r="BI328" i="3"/>
  <c r="BH328" i="3"/>
  <c r="BG328" i="3"/>
  <c r="BF328" i="3"/>
  <c r="BE328" i="3"/>
  <c r="BD328" i="3"/>
  <c r="BC328" i="3"/>
  <c r="BB328" i="3"/>
  <c r="AX328" i="3"/>
  <c r="AW328" i="3"/>
  <c r="AV328" i="3"/>
  <c r="AC328" i="3"/>
  <c r="H328" i="3"/>
  <c r="BT327" i="3"/>
  <c r="BS327" i="3"/>
  <c r="BR327" i="3"/>
  <c r="BQ327" i="3"/>
  <c r="BP327" i="3"/>
  <c r="BO327" i="3"/>
  <c r="BN327" i="3"/>
  <c r="BM327" i="3"/>
  <c r="BK327" i="3"/>
  <c r="BJ327" i="3"/>
  <c r="BI327" i="3"/>
  <c r="BH327" i="3"/>
  <c r="BG327" i="3"/>
  <c r="BF327" i="3"/>
  <c r="BE327" i="3"/>
  <c r="BD327" i="3"/>
  <c r="BC327" i="3"/>
  <c r="BB327" i="3"/>
  <c r="AX327" i="3"/>
  <c r="AW327" i="3"/>
  <c r="AV327" i="3"/>
  <c r="AC327" i="3"/>
  <c r="H327" i="3"/>
  <c r="G327" i="3"/>
  <c r="BT326" i="3"/>
  <c r="BS326" i="3"/>
  <c r="BR326" i="3"/>
  <c r="BQ326" i="3"/>
  <c r="BP326" i="3"/>
  <c r="BO326" i="3"/>
  <c r="BN326" i="3"/>
  <c r="BM326" i="3"/>
  <c r="BK326" i="3"/>
  <c r="BJ326" i="3"/>
  <c r="BI326" i="3"/>
  <c r="BH326" i="3"/>
  <c r="BG326" i="3"/>
  <c r="BF326" i="3"/>
  <c r="BE326" i="3"/>
  <c r="BD326" i="3"/>
  <c r="BC326" i="3"/>
  <c r="BB326" i="3"/>
  <c r="AX326" i="3"/>
  <c r="AW326" i="3"/>
  <c r="AV326" i="3"/>
  <c r="AC326" i="3"/>
  <c r="H326" i="3"/>
  <c r="BT325" i="3"/>
  <c r="BS325" i="3"/>
  <c r="BR325" i="3"/>
  <c r="BQ325" i="3"/>
  <c r="BP325" i="3"/>
  <c r="BO325" i="3"/>
  <c r="BN325" i="3"/>
  <c r="BM325" i="3"/>
  <c r="BK325" i="3"/>
  <c r="BJ325" i="3"/>
  <c r="BI325" i="3"/>
  <c r="BH325" i="3"/>
  <c r="BG325" i="3"/>
  <c r="BF325" i="3"/>
  <c r="BE325" i="3"/>
  <c r="BD325" i="3"/>
  <c r="BC325" i="3"/>
  <c r="BB325" i="3"/>
  <c r="AX325" i="3"/>
  <c r="AW325" i="3"/>
  <c r="AV325" i="3"/>
  <c r="AC325" i="3"/>
  <c r="H325" i="3"/>
  <c r="BT324" i="3"/>
  <c r="BS324" i="3"/>
  <c r="BR324" i="3"/>
  <c r="BQ324" i="3"/>
  <c r="BP324" i="3"/>
  <c r="BO324" i="3"/>
  <c r="BN324" i="3"/>
  <c r="BM324" i="3"/>
  <c r="BL324" i="3"/>
  <c r="BK324" i="3"/>
  <c r="BJ324" i="3"/>
  <c r="BI324" i="3"/>
  <c r="BH324" i="3"/>
  <c r="BG324" i="3"/>
  <c r="BF324" i="3"/>
  <c r="BE324" i="3"/>
  <c r="BD324" i="3"/>
  <c r="BC324" i="3"/>
  <c r="BB324" i="3"/>
  <c r="AX324" i="3"/>
  <c r="AW324" i="3"/>
  <c r="AV324" i="3"/>
  <c r="AC324" i="3"/>
  <c r="H324" i="3"/>
  <c r="BT323" i="3"/>
  <c r="BS323" i="3"/>
  <c r="BR323" i="3"/>
  <c r="BQ323" i="3"/>
  <c r="BP323" i="3"/>
  <c r="BO323" i="3"/>
  <c r="BN323" i="3"/>
  <c r="BM323" i="3"/>
  <c r="BK323" i="3"/>
  <c r="BJ323" i="3"/>
  <c r="BI323" i="3"/>
  <c r="BH323" i="3"/>
  <c r="BG323" i="3"/>
  <c r="BF323" i="3"/>
  <c r="BE323" i="3"/>
  <c r="BD323" i="3"/>
  <c r="BC323" i="3"/>
  <c r="BB323" i="3"/>
  <c r="BA323" i="3"/>
  <c r="AX323" i="3"/>
  <c r="AW323" i="3"/>
  <c r="AV323" i="3"/>
  <c r="AC323" i="3"/>
  <c r="H323" i="3"/>
  <c r="G323" i="3"/>
  <c r="BT322" i="3"/>
  <c r="BS322" i="3"/>
  <c r="BR322" i="3"/>
  <c r="BQ322" i="3"/>
  <c r="BP322" i="3"/>
  <c r="BO322" i="3"/>
  <c r="BN322" i="3"/>
  <c r="BM322" i="3"/>
  <c r="BK322" i="3"/>
  <c r="BJ322" i="3"/>
  <c r="BI322" i="3"/>
  <c r="BH322" i="3"/>
  <c r="BG322" i="3"/>
  <c r="BF322" i="3"/>
  <c r="BE322" i="3"/>
  <c r="BD322" i="3"/>
  <c r="BC322" i="3"/>
  <c r="BB322" i="3"/>
  <c r="AX322" i="3"/>
  <c r="AW322" i="3"/>
  <c r="AV322" i="3"/>
  <c r="AC322" i="3"/>
  <c r="H322" i="3"/>
  <c r="BT321" i="3"/>
  <c r="BS321" i="3"/>
  <c r="BR321" i="3"/>
  <c r="BQ321" i="3"/>
  <c r="BP321" i="3"/>
  <c r="BO321" i="3"/>
  <c r="BN321" i="3"/>
  <c r="BM321" i="3"/>
  <c r="BK321" i="3"/>
  <c r="BJ321" i="3"/>
  <c r="BI321" i="3"/>
  <c r="BH321" i="3"/>
  <c r="BG321" i="3"/>
  <c r="BF321" i="3"/>
  <c r="BE321" i="3"/>
  <c r="BD321" i="3"/>
  <c r="BC321" i="3"/>
  <c r="BB321" i="3"/>
  <c r="AX321" i="3"/>
  <c r="AW321" i="3"/>
  <c r="AV321" i="3"/>
  <c r="AC321" i="3"/>
  <c r="H321" i="3"/>
  <c r="BT320" i="3"/>
  <c r="BS320" i="3"/>
  <c r="BR320" i="3"/>
  <c r="BQ320" i="3"/>
  <c r="BP320" i="3"/>
  <c r="BO320" i="3"/>
  <c r="BN320" i="3"/>
  <c r="BM320" i="3"/>
  <c r="BK320" i="3"/>
  <c r="BJ320" i="3"/>
  <c r="BI320" i="3"/>
  <c r="BH320" i="3"/>
  <c r="BG320" i="3"/>
  <c r="BF320" i="3"/>
  <c r="BE320" i="3"/>
  <c r="BD320" i="3"/>
  <c r="BC320" i="3"/>
  <c r="BB320" i="3"/>
  <c r="AX320" i="3"/>
  <c r="AW320" i="3"/>
  <c r="AV320" i="3"/>
  <c r="AC320" i="3"/>
  <c r="H320" i="3"/>
  <c r="BT319" i="3"/>
  <c r="BS319" i="3"/>
  <c r="BR319" i="3"/>
  <c r="BQ319" i="3"/>
  <c r="BP319" i="3"/>
  <c r="BO319" i="3"/>
  <c r="BN319" i="3"/>
  <c r="BM319" i="3"/>
  <c r="BK319" i="3"/>
  <c r="BJ319" i="3"/>
  <c r="BI319" i="3"/>
  <c r="BH319" i="3"/>
  <c r="BG319" i="3"/>
  <c r="BF319" i="3"/>
  <c r="BE319" i="3"/>
  <c r="BD319" i="3"/>
  <c r="BC319" i="3"/>
  <c r="BB319" i="3"/>
  <c r="BA319" i="3"/>
  <c r="AX319" i="3"/>
  <c r="AW319" i="3"/>
  <c r="AV319" i="3"/>
  <c r="AC319" i="3"/>
  <c r="H319" i="3"/>
  <c r="BT318" i="3"/>
  <c r="BS318" i="3"/>
  <c r="BR318" i="3"/>
  <c r="BQ318" i="3"/>
  <c r="BP318" i="3"/>
  <c r="BO318" i="3"/>
  <c r="BN318" i="3"/>
  <c r="BM318" i="3"/>
  <c r="BK318" i="3"/>
  <c r="BJ318" i="3"/>
  <c r="BI318" i="3"/>
  <c r="BH318" i="3"/>
  <c r="BG318" i="3"/>
  <c r="BF318" i="3"/>
  <c r="BE318" i="3"/>
  <c r="BD318" i="3"/>
  <c r="BC318" i="3"/>
  <c r="BB318" i="3"/>
  <c r="AX318" i="3"/>
  <c r="AW318" i="3"/>
  <c r="AV318" i="3"/>
  <c r="AC318" i="3"/>
  <c r="H318" i="3"/>
  <c r="G318" i="3"/>
  <c r="BT317" i="3"/>
  <c r="BS317" i="3"/>
  <c r="BR317" i="3"/>
  <c r="BQ317" i="3"/>
  <c r="BP317" i="3"/>
  <c r="BO317" i="3"/>
  <c r="BN317" i="3"/>
  <c r="BM317" i="3"/>
  <c r="BL317" i="3"/>
  <c r="BK317" i="3"/>
  <c r="BJ317" i="3"/>
  <c r="BI317" i="3"/>
  <c r="BH317" i="3"/>
  <c r="BG317" i="3"/>
  <c r="BF317" i="3"/>
  <c r="BE317" i="3"/>
  <c r="BD317" i="3"/>
  <c r="BC317" i="3"/>
  <c r="BB317" i="3"/>
  <c r="BA317" i="3"/>
  <c r="AX317" i="3"/>
  <c r="AW317" i="3"/>
  <c r="AV317" i="3"/>
  <c r="AC317" i="3"/>
  <c r="H317" i="3"/>
  <c r="BT316" i="3"/>
  <c r="BS316" i="3"/>
  <c r="BR316" i="3"/>
  <c r="BQ316" i="3"/>
  <c r="BP316" i="3"/>
  <c r="BO316" i="3"/>
  <c r="BN316" i="3"/>
  <c r="BM316" i="3"/>
  <c r="BL316" i="3"/>
  <c r="BK316" i="3"/>
  <c r="BJ316" i="3"/>
  <c r="BI316" i="3"/>
  <c r="BH316" i="3"/>
  <c r="BG316" i="3"/>
  <c r="BF316" i="3"/>
  <c r="BE316" i="3"/>
  <c r="BD316" i="3"/>
  <c r="BC316" i="3"/>
  <c r="BB316" i="3"/>
  <c r="BA316" i="3"/>
  <c r="AZ316" i="3"/>
  <c r="AX316" i="3"/>
  <c r="AW316" i="3"/>
  <c r="AV316" i="3"/>
  <c r="AC316" i="3"/>
  <c r="H316" i="3"/>
  <c r="BT315" i="3"/>
  <c r="BS315" i="3"/>
  <c r="BR315" i="3"/>
  <c r="BQ315" i="3"/>
  <c r="BP315" i="3"/>
  <c r="BO315" i="3"/>
  <c r="BN315" i="3"/>
  <c r="BM315" i="3"/>
  <c r="BK315" i="3"/>
  <c r="BJ315" i="3"/>
  <c r="BI315" i="3"/>
  <c r="BH315" i="3"/>
  <c r="BG315" i="3"/>
  <c r="BF315" i="3"/>
  <c r="BE315" i="3"/>
  <c r="BD315" i="3"/>
  <c r="BC315" i="3"/>
  <c r="BB315" i="3"/>
  <c r="BA315" i="3"/>
  <c r="AX315" i="3"/>
  <c r="AW315" i="3"/>
  <c r="AV315" i="3"/>
  <c r="AC315" i="3"/>
  <c r="H315" i="3"/>
  <c r="G315" i="3"/>
  <c r="BT314" i="3"/>
  <c r="BS314" i="3"/>
  <c r="BR314" i="3"/>
  <c r="BQ314" i="3"/>
  <c r="BP314" i="3"/>
  <c r="BO314" i="3"/>
  <c r="BN314" i="3"/>
  <c r="BM314" i="3"/>
  <c r="BL314" i="3"/>
  <c r="BK314" i="3"/>
  <c r="BJ314" i="3"/>
  <c r="BI314" i="3"/>
  <c r="BH314" i="3"/>
  <c r="BG314" i="3"/>
  <c r="BF314" i="3"/>
  <c r="BE314" i="3"/>
  <c r="BD314" i="3"/>
  <c r="BC314" i="3"/>
  <c r="BB314" i="3"/>
  <c r="AX314" i="3"/>
  <c r="AW314" i="3"/>
  <c r="AV314" i="3"/>
  <c r="AC314" i="3"/>
  <c r="H314" i="3"/>
  <c r="BT313" i="3"/>
  <c r="BS313" i="3"/>
  <c r="BR313" i="3"/>
  <c r="BQ313" i="3"/>
  <c r="BP313" i="3"/>
  <c r="BO313" i="3"/>
  <c r="BN313" i="3"/>
  <c r="BM313" i="3"/>
  <c r="BK313" i="3"/>
  <c r="BJ313" i="3"/>
  <c r="BI313" i="3"/>
  <c r="BH313" i="3"/>
  <c r="BG313" i="3"/>
  <c r="BF313" i="3"/>
  <c r="BE313" i="3"/>
  <c r="BD313" i="3"/>
  <c r="BC313" i="3"/>
  <c r="BB313" i="3"/>
  <c r="AX313" i="3"/>
  <c r="AW313" i="3"/>
  <c r="AV313" i="3"/>
  <c r="AC313" i="3"/>
  <c r="H313" i="3"/>
  <c r="G313" i="3"/>
  <c r="BT312" i="3"/>
  <c r="BS312" i="3"/>
  <c r="BR312" i="3"/>
  <c r="BQ312" i="3"/>
  <c r="BP312" i="3"/>
  <c r="BO312" i="3"/>
  <c r="BN312" i="3"/>
  <c r="BM312" i="3"/>
  <c r="BL312" i="3"/>
  <c r="BK312" i="3"/>
  <c r="BJ312" i="3"/>
  <c r="BI312" i="3"/>
  <c r="BH312" i="3"/>
  <c r="BG312" i="3"/>
  <c r="BF312" i="3"/>
  <c r="BE312" i="3"/>
  <c r="BD312" i="3"/>
  <c r="BC312" i="3"/>
  <c r="BB312" i="3"/>
  <c r="AX312" i="3"/>
  <c r="AW312" i="3"/>
  <c r="AV312" i="3"/>
  <c r="AC312" i="3"/>
  <c r="H312" i="3"/>
  <c r="BT311" i="3"/>
  <c r="BS311" i="3"/>
  <c r="BR311" i="3"/>
  <c r="BQ311" i="3"/>
  <c r="BP311" i="3"/>
  <c r="BO311" i="3"/>
  <c r="BN311" i="3"/>
  <c r="BM311" i="3"/>
  <c r="BK311" i="3"/>
  <c r="BJ311" i="3"/>
  <c r="BI311" i="3"/>
  <c r="BH311" i="3"/>
  <c r="BG311" i="3"/>
  <c r="BF311" i="3"/>
  <c r="BE311" i="3"/>
  <c r="BD311" i="3"/>
  <c r="BC311" i="3"/>
  <c r="BB311" i="3"/>
  <c r="AX311" i="3"/>
  <c r="AW311" i="3"/>
  <c r="AV311" i="3"/>
  <c r="AC311" i="3"/>
  <c r="H311" i="3"/>
  <c r="G311" i="3"/>
  <c r="BT310" i="3"/>
  <c r="BS310" i="3"/>
  <c r="BR310" i="3"/>
  <c r="BQ310" i="3"/>
  <c r="BP310" i="3"/>
  <c r="BO310" i="3"/>
  <c r="BN310" i="3"/>
  <c r="BM310" i="3"/>
  <c r="BK310" i="3"/>
  <c r="BJ310" i="3"/>
  <c r="BI310" i="3"/>
  <c r="BH310" i="3"/>
  <c r="BG310" i="3"/>
  <c r="BF310" i="3"/>
  <c r="BE310" i="3"/>
  <c r="BD310" i="3"/>
  <c r="BC310" i="3"/>
  <c r="BB310" i="3"/>
  <c r="AX310" i="3"/>
  <c r="AW310" i="3"/>
  <c r="AV310" i="3"/>
  <c r="AC310" i="3"/>
  <c r="H310" i="3"/>
  <c r="BT309" i="3"/>
  <c r="BS309" i="3"/>
  <c r="BR309" i="3"/>
  <c r="BQ309" i="3"/>
  <c r="BP309" i="3"/>
  <c r="BO309" i="3"/>
  <c r="BN309" i="3"/>
  <c r="BM309" i="3"/>
  <c r="BK309" i="3"/>
  <c r="BJ309" i="3"/>
  <c r="BI309" i="3"/>
  <c r="BH309" i="3"/>
  <c r="BG309" i="3"/>
  <c r="BF309" i="3"/>
  <c r="BE309" i="3"/>
  <c r="BD309" i="3"/>
  <c r="BC309" i="3"/>
  <c r="BB309" i="3"/>
  <c r="AX309" i="3"/>
  <c r="AW309" i="3"/>
  <c r="AV309" i="3"/>
  <c r="AC309" i="3"/>
  <c r="H309" i="3"/>
  <c r="BT308" i="3"/>
  <c r="BS308" i="3"/>
  <c r="BR308" i="3"/>
  <c r="BQ308" i="3"/>
  <c r="BP308" i="3"/>
  <c r="BO308" i="3"/>
  <c r="BN308" i="3"/>
  <c r="BM308" i="3"/>
  <c r="BL308" i="3"/>
  <c r="BK308" i="3"/>
  <c r="BJ308" i="3"/>
  <c r="BI308" i="3"/>
  <c r="BH308" i="3"/>
  <c r="BG308" i="3"/>
  <c r="BF308" i="3"/>
  <c r="BE308" i="3"/>
  <c r="BD308" i="3"/>
  <c r="BC308" i="3"/>
  <c r="BB308" i="3"/>
  <c r="AX308" i="3"/>
  <c r="AW308" i="3"/>
  <c r="AV308" i="3"/>
  <c r="AC308" i="3"/>
  <c r="H308" i="3"/>
  <c r="BT307" i="3"/>
  <c r="BS307" i="3"/>
  <c r="BR307" i="3"/>
  <c r="BQ307" i="3"/>
  <c r="BP307" i="3"/>
  <c r="BO307" i="3"/>
  <c r="BN307" i="3"/>
  <c r="BM307" i="3"/>
  <c r="BK307" i="3"/>
  <c r="BJ307" i="3"/>
  <c r="BI307" i="3"/>
  <c r="BH307" i="3"/>
  <c r="BG307" i="3"/>
  <c r="BF307" i="3"/>
  <c r="BE307" i="3"/>
  <c r="BD307" i="3"/>
  <c r="BC307" i="3"/>
  <c r="BB307" i="3"/>
  <c r="BA307" i="3"/>
  <c r="AX307" i="3"/>
  <c r="AW307" i="3"/>
  <c r="AV307" i="3"/>
  <c r="AC307" i="3"/>
  <c r="H307" i="3"/>
  <c r="G307" i="3"/>
  <c r="BT306" i="3"/>
  <c r="BS306" i="3"/>
  <c r="BR306" i="3"/>
  <c r="BQ306" i="3"/>
  <c r="BP306" i="3"/>
  <c r="BO306" i="3"/>
  <c r="BN306" i="3"/>
  <c r="BM306" i="3"/>
  <c r="BK306" i="3"/>
  <c r="BJ306" i="3"/>
  <c r="BI306" i="3"/>
  <c r="BH306" i="3"/>
  <c r="BG306" i="3"/>
  <c r="BF306" i="3"/>
  <c r="BE306" i="3"/>
  <c r="BD306" i="3"/>
  <c r="BC306" i="3"/>
  <c r="BB306" i="3"/>
  <c r="AX306" i="3"/>
  <c r="AW306" i="3"/>
  <c r="AV306" i="3"/>
  <c r="AC306" i="3"/>
  <c r="H306" i="3"/>
  <c r="BT305" i="3"/>
  <c r="BS305" i="3"/>
  <c r="BR305" i="3"/>
  <c r="BQ305" i="3"/>
  <c r="BP305" i="3"/>
  <c r="BO305" i="3"/>
  <c r="BN305" i="3"/>
  <c r="BM305" i="3"/>
  <c r="BK305" i="3"/>
  <c r="BJ305" i="3"/>
  <c r="BI305" i="3"/>
  <c r="BH305" i="3"/>
  <c r="BG305" i="3"/>
  <c r="BF305" i="3"/>
  <c r="BE305" i="3"/>
  <c r="BD305" i="3"/>
  <c r="BC305" i="3"/>
  <c r="BB305" i="3"/>
  <c r="AX305" i="3"/>
  <c r="AW305" i="3"/>
  <c r="AV305" i="3"/>
  <c r="AC305" i="3"/>
  <c r="H305" i="3"/>
  <c r="BT304" i="3"/>
  <c r="BS304" i="3"/>
  <c r="BR304" i="3"/>
  <c r="BQ304" i="3"/>
  <c r="BP304" i="3"/>
  <c r="BO304" i="3"/>
  <c r="BN304" i="3"/>
  <c r="BM304" i="3"/>
  <c r="BK304" i="3"/>
  <c r="BJ304" i="3"/>
  <c r="BI304" i="3"/>
  <c r="BH304" i="3"/>
  <c r="BG304" i="3"/>
  <c r="BF304" i="3"/>
  <c r="BE304" i="3"/>
  <c r="BD304" i="3"/>
  <c r="BC304" i="3"/>
  <c r="BB304" i="3"/>
  <c r="AX304" i="3"/>
  <c r="AW304" i="3"/>
  <c r="AV304" i="3"/>
  <c r="AC304" i="3"/>
  <c r="H304" i="3"/>
  <c r="BT303" i="3"/>
  <c r="BS303" i="3"/>
  <c r="BR303" i="3"/>
  <c r="BQ303" i="3"/>
  <c r="BP303" i="3"/>
  <c r="BO303" i="3"/>
  <c r="BN303" i="3"/>
  <c r="BM303" i="3"/>
  <c r="BK303" i="3"/>
  <c r="BJ303" i="3"/>
  <c r="BI303" i="3"/>
  <c r="BH303" i="3"/>
  <c r="BG303" i="3"/>
  <c r="BF303" i="3"/>
  <c r="BE303" i="3"/>
  <c r="BD303" i="3"/>
  <c r="BC303" i="3"/>
  <c r="BB303" i="3"/>
  <c r="BA303" i="3"/>
  <c r="AX303" i="3"/>
  <c r="AW303" i="3"/>
  <c r="AV303" i="3"/>
  <c r="AC303" i="3"/>
  <c r="H303" i="3"/>
  <c r="BT492" i="3"/>
  <c r="BS492" i="3"/>
  <c r="BR492" i="3"/>
  <c r="BQ492" i="3"/>
  <c r="BP492" i="3"/>
  <c r="BO492" i="3"/>
  <c r="BN492" i="3"/>
  <c r="BM492" i="3"/>
  <c r="BL492" i="3"/>
  <c r="BK492" i="3"/>
  <c r="BJ492" i="3"/>
  <c r="BI492" i="3"/>
  <c r="BH492" i="3"/>
  <c r="BG492" i="3"/>
  <c r="BF492" i="3"/>
  <c r="BE492" i="3"/>
  <c r="BD492" i="3"/>
  <c r="BC492" i="3"/>
  <c r="BB492" i="3"/>
  <c r="BA492" i="3"/>
  <c r="AZ492" i="3"/>
  <c r="AX492" i="3"/>
  <c r="AW492" i="3"/>
  <c r="AV492" i="3"/>
  <c r="AC492" i="3"/>
  <c r="H492" i="3"/>
  <c r="G492" i="3"/>
  <c r="BT491" i="3"/>
  <c r="BS491" i="3"/>
  <c r="BR491" i="3"/>
  <c r="BQ491" i="3"/>
  <c r="BP491" i="3"/>
  <c r="BO491" i="3"/>
  <c r="BN491" i="3"/>
  <c r="BM491" i="3"/>
  <c r="BL491" i="3"/>
  <c r="BK491" i="3"/>
  <c r="BJ491" i="3"/>
  <c r="BI491" i="3"/>
  <c r="BH491" i="3"/>
  <c r="BG491" i="3"/>
  <c r="BF491" i="3"/>
  <c r="BE491" i="3"/>
  <c r="BD491" i="3"/>
  <c r="BC491" i="3"/>
  <c r="BB491" i="3"/>
  <c r="BA491" i="3"/>
  <c r="AX491" i="3"/>
  <c r="AW491" i="3"/>
  <c r="AV491" i="3"/>
  <c r="AC491" i="3"/>
  <c r="H491" i="3"/>
  <c r="G491" i="3"/>
  <c r="BT490" i="3"/>
  <c r="BS490" i="3"/>
  <c r="BR490" i="3"/>
  <c r="BQ490" i="3"/>
  <c r="BP490" i="3"/>
  <c r="BO490" i="3"/>
  <c r="BN490" i="3"/>
  <c r="BM490" i="3"/>
  <c r="BL490" i="3"/>
  <c r="BK490" i="3"/>
  <c r="BJ490" i="3"/>
  <c r="BI490" i="3"/>
  <c r="BH490" i="3"/>
  <c r="BG490" i="3"/>
  <c r="BF490" i="3"/>
  <c r="BE490" i="3"/>
  <c r="BD490" i="3"/>
  <c r="BC490" i="3"/>
  <c r="BB490" i="3"/>
  <c r="BA490" i="3"/>
  <c r="AX490" i="3"/>
  <c r="AW490" i="3"/>
  <c r="AV490" i="3"/>
  <c r="AC490" i="3"/>
  <c r="H490" i="3"/>
  <c r="G490" i="3"/>
  <c r="BT489" i="3"/>
  <c r="BS489" i="3"/>
  <c r="BR489" i="3"/>
  <c r="BQ489" i="3"/>
  <c r="BP489" i="3"/>
  <c r="BO489" i="3"/>
  <c r="BN489" i="3"/>
  <c r="BM489" i="3"/>
  <c r="BL489" i="3"/>
  <c r="BK489" i="3"/>
  <c r="BJ489" i="3"/>
  <c r="BI489" i="3"/>
  <c r="BH489" i="3"/>
  <c r="BG489" i="3"/>
  <c r="BF489" i="3"/>
  <c r="BE489" i="3"/>
  <c r="BD489" i="3"/>
  <c r="BC489" i="3"/>
  <c r="BB489" i="3"/>
  <c r="BA489" i="3"/>
  <c r="AZ489" i="3"/>
  <c r="AX489" i="3"/>
  <c r="AW489" i="3"/>
  <c r="AV489" i="3"/>
  <c r="AC489" i="3"/>
  <c r="H489" i="3"/>
  <c r="G489" i="3"/>
  <c r="BT488" i="3"/>
  <c r="BS488" i="3"/>
  <c r="BR488" i="3"/>
  <c r="BQ488" i="3"/>
  <c r="BP488" i="3"/>
  <c r="BO488" i="3"/>
  <c r="BN488" i="3"/>
  <c r="BM488" i="3"/>
  <c r="BL488" i="3"/>
  <c r="BK488" i="3"/>
  <c r="BJ488" i="3"/>
  <c r="BI488" i="3"/>
  <c r="BH488" i="3"/>
  <c r="BG488" i="3"/>
  <c r="BF488" i="3"/>
  <c r="BE488" i="3"/>
  <c r="BD488" i="3"/>
  <c r="BC488" i="3"/>
  <c r="BB488" i="3"/>
  <c r="BA488" i="3"/>
  <c r="AZ488" i="3"/>
  <c r="AX488" i="3"/>
  <c r="AW488" i="3"/>
  <c r="AV488" i="3"/>
  <c r="AC488" i="3"/>
  <c r="H488" i="3"/>
  <c r="G488" i="3"/>
  <c r="BT487" i="3"/>
  <c r="BS487" i="3"/>
  <c r="BR487" i="3"/>
  <c r="BQ487" i="3"/>
  <c r="BP487" i="3"/>
  <c r="BO487" i="3"/>
  <c r="BN487" i="3"/>
  <c r="BM487" i="3"/>
  <c r="BL487" i="3"/>
  <c r="AZ487" i="3"/>
  <c r="BK487" i="3"/>
  <c r="BJ487" i="3"/>
  <c r="BI487" i="3"/>
  <c r="BH487" i="3"/>
  <c r="BG487" i="3"/>
  <c r="BF487" i="3"/>
  <c r="BE487" i="3"/>
  <c r="BD487" i="3"/>
  <c r="BC487" i="3"/>
  <c r="BB487" i="3"/>
  <c r="BA487" i="3"/>
  <c r="AX487" i="3"/>
  <c r="AW487" i="3"/>
  <c r="AV487" i="3"/>
  <c r="AC487" i="3"/>
  <c r="H487" i="3"/>
  <c r="G487" i="3"/>
  <c r="BT486" i="3"/>
  <c r="BS486" i="3"/>
  <c r="BR486" i="3"/>
  <c r="BQ486" i="3"/>
  <c r="BP486" i="3"/>
  <c r="BO486" i="3"/>
  <c r="BN486" i="3"/>
  <c r="BM486" i="3"/>
  <c r="BL486" i="3"/>
  <c r="BK486" i="3"/>
  <c r="BJ486" i="3"/>
  <c r="BI486" i="3"/>
  <c r="BH486" i="3"/>
  <c r="BG486" i="3"/>
  <c r="BF486" i="3"/>
  <c r="BE486" i="3"/>
  <c r="BD486" i="3"/>
  <c r="BC486" i="3"/>
  <c r="BB486" i="3"/>
  <c r="BA486" i="3"/>
  <c r="AZ486" i="3"/>
  <c r="AX486" i="3"/>
  <c r="AW486" i="3"/>
  <c r="AV486" i="3"/>
  <c r="AC486" i="3"/>
  <c r="H486" i="3"/>
  <c r="G486" i="3"/>
  <c r="BT485" i="3"/>
  <c r="BS485" i="3"/>
  <c r="BR485" i="3"/>
  <c r="BQ485" i="3"/>
  <c r="BP485" i="3"/>
  <c r="BO485" i="3"/>
  <c r="BN485" i="3"/>
  <c r="BM485" i="3"/>
  <c r="BL485" i="3"/>
  <c r="BK485" i="3"/>
  <c r="BJ485" i="3"/>
  <c r="BI485" i="3"/>
  <c r="BH485" i="3"/>
  <c r="BG485" i="3"/>
  <c r="BF485" i="3"/>
  <c r="BE485" i="3"/>
  <c r="BD485" i="3"/>
  <c r="BC485" i="3"/>
  <c r="BB485" i="3"/>
  <c r="BA485" i="3"/>
  <c r="AZ485" i="3"/>
  <c r="AX485" i="3"/>
  <c r="AW485" i="3"/>
  <c r="AV485" i="3"/>
  <c r="AC485" i="3"/>
  <c r="H485" i="3"/>
  <c r="G485" i="3"/>
  <c r="BT484" i="3"/>
  <c r="BS484" i="3"/>
  <c r="BR484" i="3"/>
  <c r="BQ484" i="3"/>
  <c r="BP484" i="3"/>
  <c r="BO484" i="3"/>
  <c r="BN484" i="3"/>
  <c r="BM484" i="3"/>
  <c r="BL484" i="3"/>
  <c r="BK484" i="3"/>
  <c r="BJ484" i="3"/>
  <c r="BI484" i="3"/>
  <c r="BH484" i="3"/>
  <c r="BG484" i="3"/>
  <c r="BF484" i="3"/>
  <c r="BE484" i="3"/>
  <c r="BD484" i="3"/>
  <c r="BC484" i="3"/>
  <c r="BB484" i="3"/>
  <c r="BA484" i="3"/>
  <c r="AZ484" i="3"/>
  <c r="AX484" i="3"/>
  <c r="AW484" i="3"/>
  <c r="AV484" i="3"/>
  <c r="AC484" i="3"/>
  <c r="H484" i="3"/>
  <c r="G484" i="3"/>
  <c r="BT483" i="3"/>
  <c r="BS483" i="3"/>
  <c r="BR483" i="3"/>
  <c r="BQ483" i="3"/>
  <c r="BP483" i="3"/>
  <c r="BO483" i="3"/>
  <c r="BN483" i="3"/>
  <c r="BM483" i="3"/>
  <c r="BL483" i="3"/>
  <c r="BK483" i="3"/>
  <c r="BJ483" i="3"/>
  <c r="BI483" i="3"/>
  <c r="BH483" i="3"/>
  <c r="BG483" i="3"/>
  <c r="BF483" i="3"/>
  <c r="BE483" i="3"/>
  <c r="BD483" i="3"/>
  <c r="BC483" i="3"/>
  <c r="BB483" i="3"/>
  <c r="BA483" i="3"/>
  <c r="AZ483" i="3"/>
  <c r="AX483" i="3"/>
  <c r="AW483" i="3"/>
  <c r="AV483" i="3"/>
  <c r="AC483" i="3"/>
  <c r="H483" i="3"/>
  <c r="G483" i="3"/>
  <c r="BT482" i="3"/>
  <c r="BS482" i="3"/>
  <c r="BR482" i="3"/>
  <c r="BQ482" i="3"/>
  <c r="BP482" i="3"/>
  <c r="BO482" i="3"/>
  <c r="BN482" i="3"/>
  <c r="BM482" i="3"/>
  <c r="BL482" i="3"/>
  <c r="BK482" i="3"/>
  <c r="BJ482" i="3"/>
  <c r="BI482" i="3"/>
  <c r="BH482" i="3"/>
  <c r="BG482" i="3"/>
  <c r="BF482" i="3"/>
  <c r="BE482" i="3"/>
  <c r="BD482" i="3"/>
  <c r="BC482" i="3"/>
  <c r="BB482" i="3"/>
  <c r="BA482" i="3"/>
  <c r="AZ482" i="3"/>
  <c r="AX482" i="3"/>
  <c r="AW482" i="3"/>
  <c r="AV482" i="3"/>
  <c r="AC482" i="3"/>
  <c r="H482" i="3"/>
  <c r="G482" i="3"/>
  <c r="BT481" i="3"/>
  <c r="BS481" i="3"/>
  <c r="BR481" i="3"/>
  <c r="BQ481" i="3"/>
  <c r="BP481" i="3"/>
  <c r="BO481" i="3"/>
  <c r="BN481" i="3"/>
  <c r="BM481" i="3"/>
  <c r="BL481" i="3"/>
  <c r="AZ481" i="3"/>
  <c r="BK481" i="3"/>
  <c r="BJ481" i="3"/>
  <c r="BI481" i="3"/>
  <c r="BH481" i="3"/>
  <c r="BG481" i="3"/>
  <c r="BF481" i="3"/>
  <c r="BE481" i="3"/>
  <c r="BD481" i="3"/>
  <c r="BC481" i="3"/>
  <c r="BB481" i="3"/>
  <c r="BA481" i="3"/>
  <c r="AX481" i="3"/>
  <c r="AW481" i="3"/>
  <c r="AV481" i="3"/>
  <c r="AC481" i="3"/>
  <c r="H481" i="3"/>
  <c r="G481" i="3"/>
  <c r="BT480" i="3"/>
  <c r="BS480" i="3"/>
  <c r="BR480" i="3"/>
  <c r="BQ480" i="3"/>
  <c r="BP480" i="3"/>
  <c r="BO480" i="3"/>
  <c r="BN480" i="3"/>
  <c r="BM480" i="3"/>
  <c r="BL480" i="3"/>
  <c r="BK480" i="3"/>
  <c r="BJ480" i="3"/>
  <c r="BI480" i="3"/>
  <c r="BH480" i="3"/>
  <c r="BG480" i="3"/>
  <c r="BF480" i="3"/>
  <c r="BE480" i="3"/>
  <c r="BD480" i="3"/>
  <c r="BC480" i="3"/>
  <c r="BB480" i="3"/>
  <c r="BA480" i="3"/>
  <c r="AZ480" i="3"/>
  <c r="AX480" i="3"/>
  <c r="AW480" i="3"/>
  <c r="AV480" i="3"/>
  <c r="AC480" i="3"/>
  <c r="H480" i="3"/>
  <c r="G480" i="3"/>
  <c r="BT479" i="3"/>
  <c r="BS479" i="3"/>
  <c r="BR479" i="3"/>
  <c r="BQ479" i="3"/>
  <c r="BP479" i="3"/>
  <c r="BO479" i="3"/>
  <c r="BN479" i="3"/>
  <c r="BM479" i="3"/>
  <c r="BL479" i="3"/>
  <c r="BK479" i="3"/>
  <c r="BJ479" i="3"/>
  <c r="BI479" i="3"/>
  <c r="BH479" i="3"/>
  <c r="BG479" i="3"/>
  <c r="BF479" i="3"/>
  <c r="BE479" i="3"/>
  <c r="BD479" i="3"/>
  <c r="BC479" i="3"/>
  <c r="BB479" i="3"/>
  <c r="BA479" i="3"/>
  <c r="AZ479" i="3"/>
  <c r="AX479" i="3"/>
  <c r="AW479" i="3"/>
  <c r="AV479" i="3"/>
  <c r="AC479" i="3"/>
  <c r="H479" i="3"/>
  <c r="G479" i="3"/>
  <c r="BT478" i="3"/>
  <c r="BS478" i="3"/>
  <c r="BR478" i="3"/>
  <c r="BQ478" i="3"/>
  <c r="BP478" i="3"/>
  <c r="BO478" i="3"/>
  <c r="BN478" i="3"/>
  <c r="BM478" i="3"/>
  <c r="BL478" i="3"/>
  <c r="BK478" i="3"/>
  <c r="BJ478" i="3"/>
  <c r="BI478" i="3"/>
  <c r="BH478" i="3"/>
  <c r="BG478" i="3"/>
  <c r="BF478" i="3"/>
  <c r="BE478" i="3"/>
  <c r="BD478" i="3"/>
  <c r="BC478" i="3"/>
  <c r="BB478" i="3"/>
  <c r="BA478" i="3"/>
  <c r="AZ478" i="3"/>
  <c r="AX478" i="3"/>
  <c r="AW478" i="3"/>
  <c r="AV478" i="3"/>
  <c r="AC478" i="3"/>
  <c r="H478" i="3"/>
  <c r="G478" i="3"/>
  <c r="BT477" i="3"/>
  <c r="BS477" i="3"/>
  <c r="BR477" i="3"/>
  <c r="BQ477" i="3"/>
  <c r="BP477" i="3"/>
  <c r="BO477" i="3"/>
  <c r="BN477" i="3"/>
  <c r="BM477" i="3"/>
  <c r="BL477" i="3"/>
  <c r="AZ477" i="3"/>
  <c r="BK477" i="3"/>
  <c r="BJ477" i="3"/>
  <c r="BI477" i="3"/>
  <c r="BH477" i="3"/>
  <c r="BG477" i="3"/>
  <c r="BF477" i="3"/>
  <c r="BE477" i="3"/>
  <c r="BD477" i="3"/>
  <c r="BC477" i="3"/>
  <c r="BB477" i="3"/>
  <c r="BA477" i="3"/>
  <c r="AX477" i="3"/>
  <c r="AW477" i="3"/>
  <c r="AV477" i="3"/>
  <c r="AC477" i="3"/>
  <c r="H477" i="3"/>
  <c r="G477" i="3"/>
  <c r="BT476" i="3"/>
  <c r="BS476" i="3"/>
  <c r="BR476" i="3"/>
  <c r="BQ476" i="3"/>
  <c r="BP476" i="3"/>
  <c r="BO476" i="3"/>
  <c r="BN476" i="3"/>
  <c r="BM476" i="3"/>
  <c r="BL476" i="3"/>
  <c r="BK476" i="3"/>
  <c r="BJ476" i="3"/>
  <c r="BI476" i="3"/>
  <c r="BH476" i="3"/>
  <c r="BG476" i="3"/>
  <c r="BF476" i="3"/>
  <c r="BE476" i="3"/>
  <c r="BD476" i="3"/>
  <c r="BC476" i="3"/>
  <c r="BB476" i="3"/>
  <c r="BA476" i="3"/>
  <c r="AZ476" i="3"/>
  <c r="AX476" i="3"/>
  <c r="AW476" i="3"/>
  <c r="AV476" i="3"/>
  <c r="AC476" i="3"/>
  <c r="H476" i="3"/>
  <c r="G476" i="3"/>
  <c r="BT475" i="3"/>
  <c r="BS475" i="3"/>
  <c r="BR475" i="3"/>
  <c r="BQ475" i="3"/>
  <c r="BP475" i="3"/>
  <c r="BO475" i="3"/>
  <c r="BN475" i="3"/>
  <c r="BM475" i="3"/>
  <c r="BL475" i="3"/>
  <c r="BK475" i="3"/>
  <c r="BJ475" i="3"/>
  <c r="BI475" i="3"/>
  <c r="BH475" i="3"/>
  <c r="BG475" i="3"/>
  <c r="BF475" i="3"/>
  <c r="BE475" i="3"/>
  <c r="BD475" i="3"/>
  <c r="BC475" i="3"/>
  <c r="BB475" i="3"/>
  <c r="BA475" i="3"/>
  <c r="AZ475" i="3"/>
  <c r="AX475" i="3"/>
  <c r="AW475" i="3"/>
  <c r="AV475" i="3"/>
  <c r="AC475" i="3"/>
  <c r="H475" i="3"/>
  <c r="G475" i="3"/>
  <c r="BT474" i="3"/>
  <c r="BS474" i="3"/>
  <c r="BR474" i="3"/>
  <c r="BQ474" i="3"/>
  <c r="BP474" i="3"/>
  <c r="BO474" i="3"/>
  <c r="BN474" i="3"/>
  <c r="BM474" i="3"/>
  <c r="BL474" i="3"/>
  <c r="BK474" i="3"/>
  <c r="BJ474" i="3"/>
  <c r="BI474" i="3"/>
  <c r="BH474" i="3"/>
  <c r="BG474" i="3"/>
  <c r="BF474" i="3"/>
  <c r="BE474" i="3"/>
  <c r="BD474" i="3"/>
  <c r="BC474" i="3"/>
  <c r="BB474" i="3"/>
  <c r="BA474" i="3"/>
  <c r="AZ474" i="3"/>
  <c r="AX474" i="3"/>
  <c r="AW474" i="3"/>
  <c r="AV474" i="3"/>
  <c r="AC474" i="3"/>
  <c r="H474" i="3"/>
  <c r="G474" i="3"/>
  <c r="BT473" i="3"/>
  <c r="BS473" i="3"/>
  <c r="BR473" i="3"/>
  <c r="BQ473" i="3"/>
  <c r="BP473" i="3"/>
  <c r="BO473" i="3"/>
  <c r="BN473" i="3"/>
  <c r="BM473" i="3"/>
  <c r="BL473" i="3"/>
  <c r="BK473" i="3"/>
  <c r="BJ473" i="3"/>
  <c r="BI473" i="3"/>
  <c r="BH473" i="3"/>
  <c r="BG473" i="3"/>
  <c r="BF473" i="3"/>
  <c r="BE473" i="3"/>
  <c r="BD473" i="3"/>
  <c r="BC473" i="3"/>
  <c r="BB473" i="3"/>
  <c r="BA473" i="3"/>
  <c r="AX473" i="3"/>
  <c r="AW473" i="3"/>
  <c r="AV473" i="3"/>
  <c r="AC473" i="3"/>
  <c r="H473" i="3"/>
  <c r="G473" i="3"/>
  <c r="BT472" i="3"/>
  <c r="BS472" i="3"/>
  <c r="BR472" i="3"/>
  <c r="BQ472" i="3"/>
  <c r="BP472" i="3"/>
  <c r="BO472" i="3"/>
  <c r="BN472" i="3"/>
  <c r="BM472" i="3"/>
  <c r="BL472" i="3"/>
  <c r="BK472" i="3"/>
  <c r="BJ472" i="3"/>
  <c r="BI472" i="3"/>
  <c r="BH472" i="3"/>
  <c r="BG472" i="3"/>
  <c r="BF472" i="3"/>
  <c r="BE472" i="3"/>
  <c r="BD472" i="3"/>
  <c r="BC472" i="3"/>
  <c r="BB472" i="3"/>
  <c r="BA472" i="3"/>
  <c r="AZ472" i="3"/>
  <c r="AX472" i="3"/>
  <c r="AW472" i="3"/>
  <c r="AV472" i="3"/>
  <c r="AC472" i="3"/>
  <c r="H472" i="3"/>
  <c r="G472" i="3"/>
  <c r="BT471" i="3"/>
  <c r="BS471" i="3"/>
  <c r="BR471" i="3"/>
  <c r="BQ471" i="3"/>
  <c r="BP471" i="3"/>
  <c r="BO471" i="3"/>
  <c r="BN471" i="3"/>
  <c r="BM471" i="3"/>
  <c r="BL471" i="3"/>
  <c r="BK471" i="3"/>
  <c r="BJ471" i="3"/>
  <c r="BI471" i="3"/>
  <c r="BH471" i="3"/>
  <c r="BG471" i="3"/>
  <c r="BF471" i="3"/>
  <c r="BE471" i="3"/>
  <c r="BD471" i="3"/>
  <c r="BC471" i="3"/>
  <c r="BB471" i="3"/>
  <c r="BA471" i="3"/>
  <c r="AZ471" i="3"/>
  <c r="AX471" i="3"/>
  <c r="AW471" i="3"/>
  <c r="AV471" i="3"/>
  <c r="AC471" i="3"/>
  <c r="H471" i="3"/>
  <c r="G471" i="3"/>
  <c r="BT470" i="3"/>
  <c r="BS470" i="3"/>
  <c r="BR470" i="3"/>
  <c r="BQ470" i="3"/>
  <c r="BP470" i="3"/>
  <c r="BO470" i="3"/>
  <c r="BN470" i="3"/>
  <c r="BM470" i="3"/>
  <c r="BL470" i="3"/>
  <c r="BK470" i="3"/>
  <c r="BJ470" i="3"/>
  <c r="BI470" i="3"/>
  <c r="BH470" i="3"/>
  <c r="BG470" i="3"/>
  <c r="BF470" i="3"/>
  <c r="BE470" i="3"/>
  <c r="BD470" i="3"/>
  <c r="BC470" i="3"/>
  <c r="BB470" i="3"/>
  <c r="BA470" i="3"/>
  <c r="AZ470" i="3"/>
  <c r="AX470" i="3"/>
  <c r="AW470" i="3"/>
  <c r="AV470" i="3"/>
  <c r="AC470" i="3"/>
  <c r="H470" i="3"/>
  <c r="G470" i="3"/>
  <c r="BT469" i="3"/>
  <c r="BS469" i="3"/>
  <c r="BR469" i="3"/>
  <c r="BQ469" i="3"/>
  <c r="BP469" i="3"/>
  <c r="BO469" i="3"/>
  <c r="BN469" i="3"/>
  <c r="BM469" i="3"/>
  <c r="BL469" i="3"/>
  <c r="AZ469" i="3"/>
  <c r="BK469" i="3"/>
  <c r="BJ469" i="3"/>
  <c r="BI469" i="3"/>
  <c r="BH469" i="3"/>
  <c r="BG469" i="3"/>
  <c r="BF469" i="3"/>
  <c r="BE469" i="3"/>
  <c r="BD469" i="3"/>
  <c r="BC469" i="3"/>
  <c r="BB469" i="3"/>
  <c r="BA469" i="3"/>
  <c r="AX469" i="3"/>
  <c r="AW469" i="3"/>
  <c r="AV469" i="3"/>
  <c r="AC469" i="3"/>
  <c r="H469" i="3"/>
  <c r="G469" i="3"/>
  <c r="BT468" i="3"/>
  <c r="BS468" i="3"/>
  <c r="BR468" i="3"/>
  <c r="BQ468" i="3"/>
  <c r="BP468" i="3"/>
  <c r="BO468" i="3"/>
  <c r="BN468" i="3"/>
  <c r="BM468" i="3"/>
  <c r="BL468" i="3"/>
  <c r="BK468" i="3"/>
  <c r="BJ468" i="3"/>
  <c r="BI468" i="3"/>
  <c r="BH468" i="3"/>
  <c r="BG468" i="3"/>
  <c r="BF468" i="3"/>
  <c r="BE468" i="3"/>
  <c r="BD468" i="3"/>
  <c r="BC468" i="3"/>
  <c r="BB468" i="3"/>
  <c r="BA468" i="3"/>
  <c r="AZ468" i="3"/>
  <c r="AX468" i="3"/>
  <c r="AW468" i="3"/>
  <c r="AV468" i="3"/>
  <c r="AC468" i="3"/>
  <c r="H468" i="3"/>
  <c r="G468" i="3"/>
  <c r="BT467" i="3"/>
  <c r="BS467" i="3"/>
  <c r="BR467" i="3"/>
  <c r="BQ467" i="3"/>
  <c r="BP467" i="3"/>
  <c r="BO467" i="3"/>
  <c r="BN467" i="3"/>
  <c r="BM467" i="3"/>
  <c r="BL467" i="3"/>
  <c r="BK467" i="3"/>
  <c r="BJ467" i="3"/>
  <c r="BI467" i="3"/>
  <c r="BH467" i="3"/>
  <c r="BG467" i="3"/>
  <c r="BF467" i="3"/>
  <c r="BE467" i="3"/>
  <c r="BD467" i="3"/>
  <c r="BC467" i="3"/>
  <c r="BB467" i="3"/>
  <c r="BA467" i="3"/>
  <c r="AZ467" i="3"/>
  <c r="AX467" i="3"/>
  <c r="AW467" i="3"/>
  <c r="AV467" i="3"/>
  <c r="AC467" i="3"/>
  <c r="H467" i="3"/>
  <c r="G467" i="3"/>
  <c r="BT466" i="3"/>
  <c r="BS466" i="3"/>
  <c r="BR466" i="3"/>
  <c r="BQ466" i="3"/>
  <c r="BP466" i="3"/>
  <c r="BO466" i="3"/>
  <c r="BN466" i="3"/>
  <c r="BM466" i="3"/>
  <c r="BL466" i="3"/>
  <c r="BK466" i="3"/>
  <c r="BJ466" i="3"/>
  <c r="BI466" i="3"/>
  <c r="BH466" i="3"/>
  <c r="BG466" i="3"/>
  <c r="BF466" i="3"/>
  <c r="BE466" i="3"/>
  <c r="BD466" i="3"/>
  <c r="BC466" i="3"/>
  <c r="BB466" i="3"/>
  <c r="BA466" i="3"/>
  <c r="AZ466" i="3"/>
  <c r="AX466" i="3"/>
  <c r="AW466" i="3"/>
  <c r="AV466" i="3"/>
  <c r="AC466" i="3"/>
  <c r="H466" i="3"/>
  <c r="G466" i="3"/>
  <c r="BT465" i="3"/>
  <c r="BS465" i="3"/>
  <c r="BR465" i="3"/>
  <c r="BQ465" i="3"/>
  <c r="BP465" i="3"/>
  <c r="BO465" i="3"/>
  <c r="BN465" i="3"/>
  <c r="BM465" i="3"/>
  <c r="BL465" i="3"/>
  <c r="BK465" i="3"/>
  <c r="BJ465" i="3"/>
  <c r="BI465" i="3"/>
  <c r="BH465" i="3"/>
  <c r="BG465" i="3"/>
  <c r="BF465" i="3"/>
  <c r="BE465" i="3"/>
  <c r="BD465" i="3"/>
  <c r="BC465" i="3"/>
  <c r="BB465" i="3"/>
  <c r="BA465" i="3"/>
  <c r="AX465" i="3"/>
  <c r="AW465" i="3"/>
  <c r="AV465" i="3"/>
  <c r="AC465" i="3"/>
  <c r="H465" i="3"/>
  <c r="G465" i="3"/>
  <c r="BT464" i="3"/>
  <c r="BS464" i="3"/>
  <c r="BR464" i="3"/>
  <c r="BQ464" i="3"/>
  <c r="BP464" i="3"/>
  <c r="BO464" i="3"/>
  <c r="BN464" i="3"/>
  <c r="BM464" i="3"/>
  <c r="BL464" i="3"/>
  <c r="BK464" i="3"/>
  <c r="BJ464" i="3"/>
  <c r="BI464" i="3"/>
  <c r="BH464" i="3"/>
  <c r="BG464" i="3"/>
  <c r="BF464" i="3"/>
  <c r="BE464" i="3"/>
  <c r="BD464" i="3"/>
  <c r="BC464" i="3"/>
  <c r="BB464" i="3"/>
  <c r="BA464" i="3"/>
  <c r="AZ464" i="3"/>
  <c r="AX464" i="3"/>
  <c r="AW464" i="3"/>
  <c r="AV464" i="3"/>
  <c r="AC464" i="3"/>
  <c r="H464" i="3"/>
  <c r="G464" i="3"/>
  <c r="BT463" i="3"/>
  <c r="BS463" i="3"/>
  <c r="BR463" i="3"/>
  <c r="BQ463" i="3"/>
  <c r="BP463" i="3"/>
  <c r="BO463" i="3"/>
  <c r="BN463" i="3"/>
  <c r="BM463" i="3"/>
  <c r="BL463" i="3"/>
  <c r="BK463" i="3"/>
  <c r="BJ463" i="3"/>
  <c r="BI463" i="3"/>
  <c r="BH463" i="3"/>
  <c r="BG463" i="3"/>
  <c r="BF463" i="3"/>
  <c r="BE463" i="3"/>
  <c r="BD463" i="3"/>
  <c r="BC463" i="3"/>
  <c r="BB463" i="3"/>
  <c r="BA463" i="3"/>
  <c r="AZ463" i="3"/>
  <c r="AX463" i="3"/>
  <c r="AW463" i="3"/>
  <c r="AV463" i="3"/>
  <c r="AC463" i="3"/>
  <c r="H463" i="3"/>
  <c r="G463" i="3"/>
  <c r="BT462" i="3"/>
  <c r="BS462" i="3"/>
  <c r="BR462" i="3"/>
  <c r="BQ462" i="3"/>
  <c r="BP462" i="3"/>
  <c r="BO462" i="3"/>
  <c r="BN462" i="3"/>
  <c r="BM462" i="3"/>
  <c r="BL462" i="3"/>
  <c r="AZ462" i="3"/>
  <c r="BK462" i="3"/>
  <c r="BJ462" i="3"/>
  <c r="BI462" i="3"/>
  <c r="BH462" i="3"/>
  <c r="BG462" i="3"/>
  <c r="BF462" i="3"/>
  <c r="BE462" i="3"/>
  <c r="BD462" i="3"/>
  <c r="BC462" i="3"/>
  <c r="BB462" i="3"/>
  <c r="BA462" i="3"/>
  <c r="AX462" i="3"/>
  <c r="AW462" i="3"/>
  <c r="AV462" i="3"/>
  <c r="AC462" i="3"/>
  <c r="H462" i="3"/>
  <c r="G462" i="3"/>
  <c r="BT461" i="3"/>
  <c r="BS461" i="3"/>
  <c r="BR461" i="3"/>
  <c r="BQ461" i="3"/>
  <c r="BP461" i="3"/>
  <c r="BO461" i="3"/>
  <c r="BN461" i="3"/>
  <c r="BM461" i="3"/>
  <c r="BL461" i="3"/>
  <c r="BK461" i="3"/>
  <c r="BJ461" i="3"/>
  <c r="BI461" i="3"/>
  <c r="BH461" i="3"/>
  <c r="BG461" i="3"/>
  <c r="BF461" i="3"/>
  <c r="BE461" i="3"/>
  <c r="BD461" i="3"/>
  <c r="BC461" i="3"/>
  <c r="BB461" i="3"/>
  <c r="BA461" i="3"/>
  <c r="AZ461" i="3"/>
  <c r="AX461" i="3"/>
  <c r="AW461" i="3"/>
  <c r="AV461" i="3"/>
  <c r="AC461" i="3"/>
  <c r="H461" i="3"/>
  <c r="G461" i="3"/>
  <c r="BT460" i="3"/>
  <c r="BS460" i="3"/>
  <c r="BR460" i="3"/>
  <c r="BQ460" i="3"/>
  <c r="BP460" i="3"/>
  <c r="BO460" i="3"/>
  <c r="BN460" i="3"/>
  <c r="BM460" i="3"/>
  <c r="BL460" i="3"/>
  <c r="BK460" i="3"/>
  <c r="BJ460" i="3"/>
  <c r="BI460" i="3"/>
  <c r="BH460" i="3"/>
  <c r="BG460" i="3"/>
  <c r="BF460" i="3"/>
  <c r="BE460" i="3"/>
  <c r="BD460" i="3"/>
  <c r="BC460" i="3"/>
  <c r="BB460" i="3"/>
  <c r="BA460" i="3"/>
  <c r="AZ460" i="3"/>
  <c r="AX460" i="3"/>
  <c r="AW460" i="3"/>
  <c r="AV460" i="3"/>
  <c r="AC460" i="3"/>
  <c r="H460" i="3"/>
  <c r="G460" i="3"/>
  <c r="BT459" i="3"/>
  <c r="BS459" i="3"/>
  <c r="BR459" i="3"/>
  <c r="BQ459" i="3"/>
  <c r="BP459" i="3"/>
  <c r="BO459" i="3"/>
  <c r="BN459" i="3"/>
  <c r="BM459" i="3"/>
  <c r="BL459" i="3"/>
  <c r="AZ459" i="3"/>
  <c r="BK459" i="3"/>
  <c r="BJ459" i="3"/>
  <c r="BI459" i="3"/>
  <c r="BH459" i="3"/>
  <c r="BG459" i="3"/>
  <c r="BF459" i="3"/>
  <c r="BE459" i="3"/>
  <c r="BD459" i="3"/>
  <c r="BC459" i="3"/>
  <c r="BB459" i="3"/>
  <c r="BA459" i="3"/>
  <c r="AX459" i="3"/>
  <c r="AW459" i="3"/>
  <c r="AV459" i="3"/>
  <c r="AC459" i="3"/>
  <c r="H459" i="3"/>
  <c r="G459" i="3"/>
  <c r="BT458" i="3"/>
  <c r="BS458" i="3"/>
  <c r="BR458" i="3"/>
  <c r="BQ458" i="3"/>
  <c r="BP458" i="3"/>
  <c r="BO458" i="3"/>
  <c r="BN458" i="3"/>
  <c r="BM458" i="3"/>
  <c r="BL458" i="3"/>
  <c r="AZ458" i="3"/>
  <c r="BK458" i="3"/>
  <c r="BJ458" i="3"/>
  <c r="BI458" i="3"/>
  <c r="BH458" i="3"/>
  <c r="BG458" i="3"/>
  <c r="BF458" i="3"/>
  <c r="BE458" i="3"/>
  <c r="BD458" i="3"/>
  <c r="BC458" i="3"/>
  <c r="BB458" i="3"/>
  <c r="BA458" i="3"/>
  <c r="AX458" i="3"/>
  <c r="AW458" i="3"/>
  <c r="AV458" i="3"/>
  <c r="AC458" i="3"/>
  <c r="H458" i="3"/>
  <c r="G458" i="3"/>
  <c r="BT457" i="3"/>
  <c r="BS457" i="3"/>
  <c r="BR457" i="3"/>
  <c r="BQ457" i="3"/>
  <c r="BP457" i="3"/>
  <c r="BO457" i="3"/>
  <c r="BN457" i="3"/>
  <c r="BM457" i="3"/>
  <c r="BL457" i="3"/>
  <c r="BK457" i="3"/>
  <c r="BJ457" i="3"/>
  <c r="BI457" i="3"/>
  <c r="BH457" i="3"/>
  <c r="BG457" i="3"/>
  <c r="BF457" i="3"/>
  <c r="BE457" i="3"/>
  <c r="BD457" i="3"/>
  <c r="BC457" i="3"/>
  <c r="BB457" i="3"/>
  <c r="BA457" i="3"/>
  <c r="AX457" i="3"/>
  <c r="AW457" i="3"/>
  <c r="AV457" i="3"/>
  <c r="AC457" i="3"/>
  <c r="H457" i="3"/>
  <c r="G457" i="3"/>
  <c r="BT456" i="3"/>
  <c r="BS456" i="3"/>
  <c r="BR456" i="3"/>
  <c r="BQ456" i="3"/>
  <c r="BP456" i="3"/>
  <c r="BO456" i="3"/>
  <c r="BN456" i="3"/>
  <c r="BM456" i="3"/>
  <c r="BL456" i="3"/>
  <c r="BK456" i="3"/>
  <c r="BJ456" i="3"/>
  <c r="BI456" i="3"/>
  <c r="BH456" i="3"/>
  <c r="BG456" i="3"/>
  <c r="BF456" i="3"/>
  <c r="BE456" i="3"/>
  <c r="BD456" i="3"/>
  <c r="BC456" i="3"/>
  <c r="BB456" i="3"/>
  <c r="BA456" i="3"/>
  <c r="AZ456" i="3"/>
  <c r="AX456" i="3"/>
  <c r="AW456" i="3"/>
  <c r="AV456" i="3"/>
  <c r="AC456" i="3"/>
  <c r="H456" i="3"/>
  <c r="G456" i="3"/>
  <c r="BT455" i="3"/>
  <c r="BS455" i="3"/>
  <c r="BR455" i="3"/>
  <c r="BQ455" i="3"/>
  <c r="BP455" i="3"/>
  <c r="BO455" i="3"/>
  <c r="BN455" i="3"/>
  <c r="BM455" i="3"/>
  <c r="BL455" i="3"/>
  <c r="BK455" i="3"/>
  <c r="BJ455" i="3"/>
  <c r="BI455" i="3"/>
  <c r="BH455" i="3"/>
  <c r="BG455" i="3"/>
  <c r="BF455" i="3"/>
  <c r="BE455" i="3"/>
  <c r="BD455" i="3"/>
  <c r="BC455" i="3"/>
  <c r="BB455" i="3"/>
  <c r="BA455" i="3"/>
  <c r="AZ455" i="3"/>
  <c r="AX455" i="3"/>
  <c r="AW455" i="3"/>
  <c r="AV455" i="3"/>
  <c r="AC455" i="3"/>
  <c r="H455" i="3"/>
  <c r="G455" i="3"/>
  <c r="BT454" i="3"/>
  <c r="BS454" i="3"/>
  <c r="BR454" i="3"/>
  <c r="BQ454" i="3"/>
  <c r="BP454" i="3"/>
  <c r="BO454" i="3"/>
  <c r="BN454" i="3"/>
  <c r="BM454" i="3"/>
  <c r="BL454" i="3"/>
  <c r="AZ454" i="3"/>
  <c r="BK454" i="3"/>
  <c r="BJ454" i="3"/>
  <c r="BI454" i="3"/>
  <c r="BH454" i="3"/>
  <c r="BG454" i="3"/>
  <c r="BF454" i="3"/>
  <c r="BE454" i="3"/>
  <c r="BD454" i="3"/>
  <c r="BC454" i="3"/>
  <c r="BB454" i="3"/>
  <c r="BA454" i="3"/>
  <c r="AX454" i="3"/>
  <c r="AW454" i="3"/>
  <c r="AV454" i="3"/>
  <c r="AC454" i="3"/>
  <c r="H454" i="3"/>
  <c r="G454" i="3"/>
  <c r="BT453" i="3"/>
  <c r="BS453" i="3"/>
  <c r="BR453" i="3"/>
  <c r="BQ453" i="3"/>
  <c r="BP453" i="3"/>
  <c r="BO453" i="3"/>
  <c r="BN453" i="3"/>
  <c r="BM453" i="3"/>
  <c r="BL453" i="3"/>
  <c r="BK453" i="3"/>
  <c r="BJ453" i="3"/>
  <c r="BI453" i="3"/>
  <c r="BH453" i="3"/>
  <c r="BG453" i="3"/>
  <c r="BF453" i="3"/>
  <c r="BE453" i="3"/>
  <c r="BD453" i="3"/>
  <c r="BC453" i="3"/>
  <c r="BB453" i="3"/>
  <c r="BA453" i="3"/>
  <c r="AZ453" i="3"/>
  <c r="AX453" i="3"/>
  <c r="AW453" i="3"/>
  <c r="AV453" i="3"/>
  <c r="AC453" i="3"/>
  <c r="H453" i="3"/>
  <c r="G453" i="3"/>
  <c r="BT452" i="3"/>
  <c r="BS452" i="3"/>
  <c r="BR452" i="3"/>
  <c r="BQ452" i="3"/>
  <c r="BP452" i="3"/>
  <c r="BO452" i="3"/>
  <c r="BN452" i="3"/>
  <c r="BM452" i="3"/>
  <c r="BL452" i="3"/>
  <c r="BK452" i="3"/>
  <c r="BJ452" i="3"/>
  <c r="BI452" i="3"/>
  <c r="BH452" i="3"/>
  <c r="BG452" i="3"/>
  <c r="BF452" i="3"/>
  <c r="BE452" i="3"/>
  <c r="BD452" i="3"/>
  <c r="BC452" i="3"/>
  <c r="BB452" i="3"/>
  <c r="BA452" i="3"/>
  <c r="AZ452" i="3"/>
  <c r="AX452" i="3"/>
  <c r="AW452" i="3"/>
  <c r="AV452" i="3"/>
  <c r="AC452" i="3"/>
  <c r="H452" i="3"/>
  <c r="G452" i="3"/>
  <c r="BT451" i="3"/>
  <c r="BS451" i="3"/>
  <c r="BR451" i="3"/>
  <c r="BQ451" i="3"/>
  <c r="BP451" i="3"/>
  <c r="BO451" i="3"/>
  <c r="BN451" i="3"/>
  <c r="BM451" i="3"/>
  <c r="BL451" i="3"/>
  <c r="AZ451" i="3"/>
  <c r="BK451" i="3"/>
  <c r="BJ451" i="3"/>
  <c r="BI451" i="3"/>
  <c r="BH451" i="3"/>
  <c r="BG451" i="3"/>
  <c r="BF451" i="3"/>
  <c r="BE451" i="3"/>
  <c r="BD451" i="3"/>
  <c r="BC451" i="3"/>
  <c r="BB451" i="3"/>
  <c r="BA451" i="3"/>
  <c r="AX451" i="3"/>
  <c r="AW451" i="3"/>
  <c r="AV451" i="3"/>
  <c r="AC451" i="3"/>
  <c r="H451" i="3"/>
  <c r="G451" i="3"/>
  <c r="BT450" i="3"/>
  <c r="BS450" i="3"/>
  <c r="BR450" i="3"/>
  <c r="BQ450" i="3"/>
  <c r="BP450" i="3"/>
  <c r="BO450" i="3"/>
  <c r="BN450" i="3"/>
  <c r="BM450" i="3"/>
  <c r="BL450" i="3"/>
  <c r="AZ450" i="3"/>
  <c r="BK450" i="3"/>
  <c r="BJ450" i="3"/>
  <c r="BI450" i="3"/>
  <c r="BH450" i="3"/>
  <c r="BG450" i="3"/>
  <c r="BF450" i="3"/>
  <c r="BE450" i="3"/>
  <c r="BD450" i="3"/>
  <c r="BC450" i="3"/>
  <c r="BB450" i="3"/>
  <c r="BA450" i="3"/>
  <c r="AX450" i="3"/>
  <c r="AW450" i="3"/>
  <c r="AV450" i="3"/>
  <c r="AC450" i="3"/>
  <c r="H450" i="3"/>
  <c r="G450" i="3"/>
  <c r="BT449" i="3"/>
  <c r="BS449" i="3"/>
  <c r="BR449" i="3"/>
  <c r="BQ449" i="3"/>
  <c r="BP449" i="3"/>
  <c r="BO449" i="3"/>
  <c r="BN449" i="3"/>
  <c r="BM449" i="3"/>
  <c r="BL449" i="3"/>
  <c r="BK449" i="3"/>
  <c r="BJ449" i="3"/>
  <c r="BI449" i="3"/>
  <c r="BH449" i="3"/>
  <c r="BG449" i="3"/>
  <c r="BF449" i="3"/>
  <c r="BE449" i="3"/>
  <c r="BD449" i="3"/>
  <c r="BC449" i="3"/>
  <c r="BB449" i="3"/>
  <c r="BA449" i="3"/>
  <c r="AZ449" i="3"/>
  <c r="AX449" i="3"/>
  <c r="AW449" i="3"/>
  <c r="AV449" i="3"/>
  <c r="AC449" i="3"/>
  <c r="H449" i="3"/>
  <c r="G449" i="3"/>
  <c r="BT448" i="3"/>
  <c r="BS448" i="3"/>
  <c r="BR448" i="3"/>
  <c r="BQ448" i="3"/>
  <c r="BP448" i="3"/>
  <c r="BO448" i="3"/>
  <c r="BN448" i="3"/>
  <c r="BM448" i="3"/>
  <c r="BL448" i="3"/>
  <c r="BK448" i="3"/>
  <c r="BJ448" i="3"/>
  <c r="BI448" i="3"/>
  <c r="BH448" i="3"/>
  <c r="BG448" i="3"/>
  <c r="BF448" i="3"/>
  <c r="BE448" i="3"/>
  <c r="BD448" i="3"/>
  <c r="BC448" i="3"/>
  <c r="BB448" i="3"/>
  <c r="BA448" i="3"/>
  <c r="AZ448" i="3"/>
  <c r="AX448" i="3"/>
  <c r="AW448" i="3"/>
  <c r="AV448" i="3"/>
  <c r="AC448" i="3"/>
  <c r="H448" i="3"/>
  <c r="G448" i="3"/>
  <c r="BT447" i="3"/>
  <c r="BS447" i="3"/>
  <c r="BR447" i="3"/>
  <c r="BQ447" i="3"/>
  <c r="BP447" i="3"/>
  <c r="BO447" i="3"/>
  <c r="BN447" i="3"/>
  <c r="BM447" i="3"/>
  <c r="BL447" i="3"/>
  <c r="BK447" i="3"/>
  <c r="BJ447" i="3"/>
  <c r="BI447" i="3"/>
  <c r="BH447" i="3"/>
  <c r="BG447" i="3"/>
  <c r="BF447" i="3"/>
  <c r="BE447" i="3"/>
  <c r="BD447" i="3"/>
  <c r="BC447" i="3"/>
  <c r="BB447" i="3"/>
  <c r="BA447" i="3"/>
  <c r="AZ447" i="3"/>
  <c r="AX447" i="3"/>
  <c r="AW447" i="3"/>
  <c r="AV447" i="3"/>
  <c r="AC447" i="3"/>
  <c r="H447" i="3"/>
  <c r="G447" i="3"/>
  <c r="BT446" i="3"/>
  <c r="BS446" i="3"/>
  <c r="BR446" i="3"/>
  <c r="BQ446" i="3"/>
  <c r="BP446" i="3"/>
  <c r="BO446" i="3"/>
  <c r="BN446" i="3"/>
  <c r="BM446" i="3"/>
  <c r="BL446" i="3"/>
  <c r="AZ446" i="3"/>
  <c r="BK446" i="3"/>
  <c r="BJ446" i="3"/>
  <c r="BI446" i="3"/>
  <c r="BH446" i="3"/>
  <c r="BG446" i="3"/>
  <c r="BF446" i="3"/>
  <c r="BE446" i="3"/>
  <c r="BD446" i="3"/>
  <c r="BC446" i="3"/>
  <c r="BB446" i="3"/>
  <c r="BA446" i="3"/>
  <c r="AX446" i="3"/>
  <c r="AW446" i="3"/>
  <c r="AV446" i="3"/>
  <c r="AC446" i="3"/>
  <c r="H446" i="3"/>
  <c r="G446" i="3"/>
  <c r="BT445" i="3"/>
  <c r="BS445" i="3"/>
  <c r="BR445" i="3"/>
  <c r="BQ445" i="3"/>
  <c r="BP445" i="3"/>
  <c r="BO445" i="3"/>
  <c r="BN445" i="3"/>
  <c r="BM445" i="3"/>
  <c r="BL445" i="3"/>
  <c r="BK445" i="3"/>
  <c r="BJ445" i="3"/>
  <c r="BI445" i="3"/>
  <c r="BH445" i="3"/>
  <c r="BG445" i="3"/>
  <c r="BF445" i="3"/>
  <c r="BE445" i="3"/>
  <c r="BD445" i="3"/>
  <c r="BC445" i="3"/>
  <c r="BB445" i="3"/>
  <c r="BA445" i="3"/>
  <c r="AZ445" i="3"/>
  <c r="AX445" i="3"/>
  <c r="AW445" i="3"/>
  <c r="AV445" i="3"/>
  <c r="AC445" i="3"/>
  <c r="H445" i="3"/>
  <c r="G445" i="3"/>
  <c r="BT444" i="3"/>
  <c r="BS444" i="3"/>
  <c r="BR444" i="3"/>
  <c r="BQ444" i="3"/>
  <c r="BP444" i="3"/>
  <c r="BO444" i="3"/>
  <c r="BN444" i="3"/>
  <c r="BM444" i="3"/>
  <c r="BL444" i="3"/>
  <c r="BK444" i="3"/>
  <c r="BJ444" i="3"/>
  <c r="BI444" i="3"/>
  <c r="BH444" i="3"/>
  <c r="BG444" i="3"/>
  <c r="BF444" i="3"/>
  <c r="BE444" i="3"/>
  <c r="BD444" i="3"/>
  <c r="BC444" i="3"/>
  <c r="BB444" i="3"/>
  <c r="BA444" i="3"/>
  <c r="AZ444" i="3"/>
  <c r="AX444" i="3"/>
  <c r="AW444" i="3"/>
  <c r="AV444" i="3"/>
  <c r="AC444" i="3"/>
  <c r="H444" i="3"/>
  <c r="G444" i="3"/>
  <c r="BT443" i="3"/>
  <c r="BS443" i="3"/>
  <c r="BR443" i="3"/>
  <c r="BQ443" i="3"/>
  <c r="BP443" i="3"/>
  <c r="BO443" i="3"/>
  <c r="BN443" i="3"/>
  <c r="BM443" i="3"/>
  <c r="BL443" i="3"/>
  <c r="AZ443" i="3"/>
  <c r="BK443" i="3"/>
  <c r="BJ443" i="3"/>
  <c r="BI443" i="3"/>
  <c r="BH443" i="3"/>
  <c r="BG443" i="3"/>
  <c r="BF443" i="3"/>
  <c r="BE443" i="3"/>
  <c r="BD443" i="3"/>
  <c r="BC443" i="3"/>
  <c r="BB443" i="3"/>
  <c r="BA443" i="3"/>
  <c r="AX443" i="3"/>
  <c r="AW443" i="3"/>
  <c r="AV443" i="3"/>
  <c r="AC443" i="3"/>
  <c r="H443" i="3"/>
  <c r="G443" i="3"/>
  <c r="BT442" i="3"/>
  <c r="BS442" i="3"/>
  <c r="BR442" i="3"/>
  <c r="BQ442" i="3"/>
  <c r="BP442" i="3"/>
  <c r="BO442" i="3"/>
  <c r="BN442" i="3"/>
  <c r="BM442" i="3"/>
  <c r="BL442" i="3"/>
  <c r="AZ442" i="3"/>
  <c r="BK442" i="3"/>
  <c r="BJ442" i="3"/>
  <c r="BI442" i="3"/>
  <c r="BH442" i="3"/>
  <c r="BG442" i="3"/>
  <c r="BF442" i="3"/>
  <c r="BE442" i="3"/>
  <c r="BD442" i="3"/>
  <c r="BC442" i="3"/>
  <c r="BB442" i="3"/>
  <c r="BA442" i="3"/>
  <c r="AX442" i="3"/>
  <c r="AW442" i="3"/>
  <c r="AV442" i="3"/>
  <c r="AC442" i="3"/>
  <c r="H442" i="3"/>
  <c r="G442" i="3"/>
  <c r="BT441" i="3"/>
  <c r="BS441" i="3"/>
  <c r="BR441" i="3"/>
  <c r="BQ441" i="3"/>
  <c r="BP441" i="3"/>
  <c r="BO441" i="3"/>
  <c r="BN441" i="3"/>
  <c r="BM441" i="3"/>
  <c r="BL441" i="3"/>
  <c r="BK441" i="3"/>
  <c r="BJ441" i="3"/>
  <c r="BI441" i="3"/>
  <c r="BH441" i="3"/>
  <c r="BG441" i="3"/>
  <c r="BF441" i="3"/>
  <c r="BE441" i="3"/>
  <c r="BD441" i="3"/>
  <c r="BC441" i="3"/>
  <c r="BB441" i="3"/>
  <c r="BA441" i="3"/>
  <c r="AX441" i="3"/>
  <c r="AW441" i="3"/>
  <c r="AV441" i="3"/>
  <c r="AC441" i="3"/>
  <c r="H441" i="3"/>
  <c r="G441" i="3"/>
  <c r="BT440" i="3"/>
  <c r="BS440" i="3"/>
  <c r="BR440" i="3"/>
  <c r="BQ440" i="3"/>
  <c r="BP440" i="3"/>
  <c r="BO440" i="3"/>
  <c r="BN440" i="3"/>
  <c r="BM440" i="3"/>
  <c r="BL440" i="3"/>
  <c r="BK440" i="3"/>
  <c r="BJ440" i="3"/>
  <c r="BI440" i="3"/>
  <c r="BH440" i="3"/>
  <c r="BG440" i="3"/>
  <c r="BF440" i="3"/>
  <c r="BE440" i="3"/>
  <c r="BD440" i="3"/>
  <c r="BC440" i="3"/>
  <c r="BB440" i="3"/>
  <c r="BA440" i="3"/>
  <c r="AZ440" i="3"/>
  <c r="AX440" i="3"/>
  <c r="AW440" i="3"/>
  <c r="AV440" i="3"/>
  <c r="AC440" i="3"/>
  <c r="H440" i="3"/>
  <c r="G440" i="3"/>
  <c r="BT439" i="3"/>
  <c r="BS439" i="3"/>
  <c r="BR439" i="3"/>
  <c r="BQ439" i="3"/>
  <c r="BP439" i="3"/>
  <c r="BO439" i="3"/>
  <c r="BN439" i="3"/>
  <c r="BM439" i="3"/>
  <c r="BL439" i="3"/>
  <c r="BK439" i="3"/>
  <c r="BJ439" i="3"/>
  <c r="BI439" i="3"/>
  <c r="BH439" i="3"/>
  <c r="BG439" i="3"/>
  <c r="BF439" i="3"/>
  <c r="BE439" i="3"/>
  <c r="BD439" i="3"/>
  <c r="BC439" i="3"/>
  <c r="BB439" i="3"/>
  <c r="BA439" i="3"/>
  <c r="AZ439" i="3"/>
  <c r="AX439" i="3"/>
  <c r="AW439" i="3"/>
  <c r="AV439" i="3"/>
  <c r="AC439" i="3"/>
  <c r="H439" i="3"/>
  <c r="G439" i="3"/>
  <c r="BT438" i="3"/>
  <c r="BS438" i="3"/>
  <c r="BR438" i="3"/>
  <c r="BQ438" i="3"/>
  <c r="BP438" i="3"/>
  <c r="BO438" i="3"/>
  <c r="BN438" i="3"/>
  <c r="BM438" i="3"/>
  <c r="BL438" i="3"/>
  <c r="AZ438" i="3"/>
  <c r="BK438" i="3"/>
  <c r="BJ438" i="3"/>
  <c r="BI438" i="3"/>
  <c r="BH438" i="3"/>
  <c r="BG438" i="3"/>
  <c r="BF438" i="3"/>
  <c r="BE438" i="3"/>
  <c r="BD438" i="3"/>
  <c r="BC438" i="3"/>
  <c r="BB438" i="3"/>
  <c r="BA438" i="3"/>
  <c r="AX438" i="3"/>
  <c r="AW438" i="3"/>
  <c r="AV438" i="3"/>
  <c r="AC438" i="3"/>
  <c r="H438" i="3"/>
  <c r="G438" i="3"/>
  <c r="BT437" i="3"/>
  <c r="BS437" i="3"/>
  <c r="BR437" i="3"/>
  <c r="BQ437" i="3"/>
  <c r="BP437" i="3"/>
  <c r="BO437" i="3"/>
  <c r="BN437" i="3"/>
  <c r="BM437" i="3"/>
  <c r="BL437" i="3"/>
  <c r="BK437" i="3"/>
  <c r="BJ437" i="3"/>
  <c r="BI437" i="3"/>
  <c r="BH437" i="3"/>
  <c r="BG437" i="3"/>
  <c r="BF437" i="3"/>
  <c r="BE437" i="3"/>
  <c r="BD437" i="3"/>
  <c r="BC437" i="3"/>
  <c r="BB437" i="3"/>
  <c r="BA437" i="3"/>
  <c r="AX437" i="3"/>
  <c r="AW437" i="3"/>
  <c r="AV437" i="3"/>
  <c r="AC437" i="3"/>
  <c r="H437" i="3"/>
  <c r="G437" i="3"/>
  <c r="BT436" i="3"/>
  <c r="BS436" i="3"/>
  <c r="BR436" i="3"/>
  <c r="BQ436" i="3"/>
  <c r="BP436" i="3"/>
  <c r="BO436" i="3"/>
  <c r="BN436" i="3"/>
  <c r="BM436" i="3"/>
  <c r="BL436" i="3"/>
  <c r="BK436" i="3"/>
  <c r="BJ436" i="3"/>
  <c r="BI436" i="3"/>
  <c r="BH436" i="3"/>
  <c r="BG436" i="3"/>
  <c r="BF436" i="3"/>
  <c r="BE436" i="3"/>
  <c r="BD436" i="3"/>
  <c r="BC436" i="3"/>
  <c r="BB436" i="3"/>
  <c r="BA436" i="3"/>
  <c r="AZ436" i="3"/>
  <c r="AX436" i="3"/>
  <c r="AW436" i="3"/>
  <c r="AV436" i="3"/>
  <c r="AC436" i="3"/>
  <c r="H436" i="3"/>
  <c r="G436" i="3"/>
  <c r="BT435" i="3"/>
  <c r="BS435" i="3"/>
  <c r="BR435" i="3"/>
  <c r="BQ435" i="3"/>
  <c r="BP435" i="3"/>
  <c r="BO435" i="3"/>
  <c r="BN435" i="3"/>
  <c r="BM435" i="3"/>
  <c r="BL435" i="3"/>
  <c r="AZ435" i="3"/>
  <c r="BK435" i="3"/>
  <c r="BJ435" i="3"/>
  <c r="BI435" i="3"/>
  <c r="BH435" i="3"/>
  <c r="BG435" i="3"/>
  <c r="BF435" i="3"/>
  <c r="BE435" i="3"/>
  <c r="BD435" i="3"/>
  <c r="BC435" i="3"/>
  <c r="BB435" i="3"/>
  <c r="BA435" i="3"/>
  <c r="AX435" i="3"/>
  <c r="AW435" i="3"/>
  <c r="AV435" i="3"/>
  <c r="AC435" i="3"/>
  <c r="H435" i="3"/>
  <c r="G435" i="3"/>
  <c r="BT434" i="3"/>
  <c r="BS434" i="3"/>
  <c r="BR434" i="3"/>
  <c r="BQ434" i="3"/>
  <c r="BP434" i="3"/>
  <c r="BO434" i="3"/>
  <c r="BN434" i="3"/>
  <c r="BM434" i="3"/>
  <c r="BL434" i="3"/>
  <c r="AZ434" i="3"/>
  <c r="BK434" i="3"/>
  <c r="BJ434" i="3"/>
  <c r="BI434" i="3"/>
  <c r="BH434" i="3"/>
  <c r="BG434" i="3"/>
  <c r="BF434" i="3"/>
  <c r="BE434" i="3"/>
  <c r="BD434" i="3"/>
  <c r="BC434" i="3"/>
  <c r="BB434" i="3"/>
  <c r="BA434" i="3"/>
  <c r="AX434" i="3"/>
  <c r="AW434" i="3"/>
  <c r="AV434" i="3"/>
  <c r="AC434" i="3"/>
  <c r="H434" i="3"/>
  <c r="G434" i="3"/>
  <c r="BT433" i="3"/>
  <c r="BS433" i="3"/>
  <c r="BR433" i="3"/>
  <c r="BQ433" i="3"/>
  <c r="BP433" i="3"/>
  <c r="BO433" i="3"/>
  <c r="BN433" i="3"/>
  <c r="BM433" i="3"/>
  <c r="BL433" i="3"/>
  <c r="BK433" i="3"/>
  <c r="BJ433" i="3"/>
  <c r="BI433" i="3"/>
  <c r="BH433" i="3"/>
  <c r="BG433" i="3"/>
  <c r="BF433" i="3"/>
  <c r="BE433" i="3"/>
  <c r="BD433" i="3"/>
  <c r="BC433" i="3"/>
  <c r="BB433" i="3"/>
  <c r="BA433" i="3"/>
  <c r="AX433" i="3"/>
  <c r="AW433" i="3"/>
  <c r="AV433" i="3"/>
  <c r="AC433" i="3"/>
  <c r="H433" i="3"/>
  <c r="G433" i="3"/>
  <c r="BT432" i="3"/>
  <c r="BS432" i="3"/>
  <c r="BR432" i="3"/>
  <c r="BQ432" i="3"/>
  <c r="BP432" i="3"/>
  <c r="BO432" i="3"/>
  <c r="BN432" i="3"/>
  <c r="BM432" i="3"/>
  <c r="BL432" i="3"/>
  <c r="BK432" i="3"/>
  <c r="BJ432" i="3"/>
  <c r="BI432" i="3"/>
  <c r="BH432" i="3"/>
  <c r="BG432" i="3"/>
  <c r="BF432" i="3"/>
  <c r="BE432" i="3"/>
  <c r="BD432" i="3"/>
  <c r="BC432" i="3"/>
  <c r="BB432" i="3"/>
  <c r="BA432" i="3"/>
  <c r="AZ432" i="3"/>
  <c r="AX432" i="3"/>
  <c r="AW432" i="3"/>
  <c r="AV432" i="3"/>
  <c r="AC432" i="3"/>
  <c r="H432" i="3"/>
  <c r="G432" i="3"/>
  <c r="BT431" i="3"/>
  <c r="BS431" i="3"/>
  <c r="BR431" i="3"/>
  <c r="BQ431" i="3"/>
  <c r="BP431" i="3"/>
  <c r="BO431" i="3"/>
  <c r="BN431" i="3"/>
  <c r="BM431" i="3"/>
  <c r="BL431" i="3"/>
  <c r="BK431" i="3"/>
  <c r="BJ431" i="3"/>
  <c r="BI431" i="3"/>
  <c r="BH431" i="3"/>
  <c r="BG431" i="3"/>
  <c r="BF431" i="3"/>
  <c r="BE431" i="3"/>
  <c r="BD431" i="3"/>
  <c r="BC431" i="3"/>
  <c r="BB431" i="3"/>
  <c r="BA431" i="3"/>
  <c r="AZ431" i="3"/>
  <c r="AX431" i="3"/>
  <c r="AW431" i="3"/>
  <c r="AV431" i="3"/>
  <c r="AC431" i="3"/>
  <c r="H431" i="3"/>
  <c r="G431" i="3"/>
  <c r="BT430" i="3"/>
  <c r="BS430" i="3"/>
  <c r="BR430" i="3"/>
  <c r="BQ430" i="3"/>
  <c r="BP430" i="3"/>
  <c r="BO430" i="3"/>
  <c r="BN430" i="3"/>
  <c r="BM430" i="3"/>
  <c r="BL430" i="3"/>
  <c r="BK430" i="3"/>
  <c r="BJ430" i="3"/>
  <c r="BI430" i="3"/>
  <c r="BH430" i="3"/>
  <c r="BG430" i="3"/>
  <c r="BF430" i="3"/>
  <c r="BE430" i="3"/>
  <c r="BD430" i="3"/>
  <c r="BC430" i="3"/>
  <c r="BB430" i="3"/>
  <c r="BA430" i="3"/>
  <c r="AZ430" i="3"/>
  <c r="AX430" i="3"/>
  <c r="AW430" i="3"/>
  <c r="AV430" i="3"/>
  <c r="AC430" i="3"/>
  <c r="H430" i="3"/>
  <c r="G430" i="3"/>
  <c r="BT429" i="3"/>
  <c r="BS429" i="3"/>
  <c r="BR429" i="3"/>
  <c r="BQ429" i="3"/>
  <c r="BP429" i="3"/>
  <c r="BO429" i="3"/>
  <c r="BN429" i="3"/>
  <c r="BM429" i="3"/>
  <c r="BL429" i="3"/>
  <c r="BK429" i="3"/>
  <c r="BJ429" i="3"/>
  <c r="BI429" i="3"/>
  <c r="BH429" i="3"/>
  <c r="BG429" i="3"/>
  <c r="BF429" i="3"/>
  <c r="BE429" i="3"/>
  <c r="BD429" i="3"/>
  <c r="BC429" i="3"/>
  <c r="BB429" i="3"/>
  <c r="BA429" i="3"/>
  <c r="AZ429" i="3"/>
  <c r="AX429" i="3"/>
  <c r="AW429" i="3"/>
  <c r="AV429" i="3"/>
  <c r="AC429" i="3"/>
  <c r="H429" i="3"/>
  <c r="G429" i="3"/>
  <c r="BT428" i="3"/>
  <c r="BS428" i="3"/>
  <c r="BR428" i="3"/>
  <c r="BQ428" i="3"/>
  <c r="BP428" i="3"/>
  <c r="BO428" i="3"/>
  <c r="BN428" i="3"/>
  <c r="BM428" i="3"/>
  <c r="BL428" i="3"/>
  <c r="BK428" i="3"/>
  <c r="BJ428" i="3"/>
  <c r="BI428" i="3"/>
  <c r="BH428" i="3"/>
  <c r="BG428" i="3"/>
  <c r="BF428" i="3"/>
  <c r="BE428" i="3"/>
  <c r="BD428" i="3"/>
  <c r="BC428" i="3"/>
  <c r="BB428" i="3"/>
  <c r="BA428" i="3"/>
  <c r="AX428" i="3"/>
  <c r="AW428" i="3"/>
  <c r="AV428" i="3"/>
  <c r="AC428" i="3"/>
  <c r="H428" i="3"/>
  <c r="G428" i="3"/>
  <c r="BT427" i="3"/>
  <c r="BS427" i="3"/>
  <c r="BR427" i="3"/>
  <c r="BQ427" i="3"/>
  <c r="BP427" i="3"/>
  <c r="BO427" i="3"/>
  <c r="BN427" i="3"/>
  <c r="BM427" i="3"/>
  <c r="BL427" i="3"/>
  <c r="BK427" i="3"/>
  <c r="BJ427" i="3"/>
  <c r="BI427" i="3"/>
  <c r="BH427" i="3"/>
  <c r="BG427" i="3"/>
  <c r="BF427" i="3"/>
  <c r="BE427" i="3"/>
  <c r="BD427" i="3"/>
  <c r="BC427" i="3"/>
  <c r="BB427" i="3"/>
  <c r="BA427" i="3"/>
  <c r="AZ427" i="3"/>
  <c r="AX427" i="3"/>
  <c r="AW427" i="3"/>
  <c r="AV427" i="3"/>
  <c r="AC427" i="3"/>
  <c r="H427" i="3"/>
  <c r="G427" i="3"/>
  <c r="BT426" i="3"/>
  <c r="BS426" i="3"/>
  <c r="BR426" i="3"/>
  <c r="BQ426" i="3"/>
  <c r="BP426" i="3"/>
  <c r="BO426" i="3"/>
  <c r="BN426" i="3"/>
  <c r="BM426" i="3"/>
  <c r="BL426" i="3"/>
  <c r="BK426" i="3"/>
  <c r="BJ426" i="3"/>
  <c r="BI426" i="3"/>
  <c r="BH426" i="3"/>
  <c r="BG426" i="3"/>
  <c r="BF426" i="3"/>
  <c r="BE426" i="3"/>
  <c r="BD426" i="3"/>
  <c r="BC426" i="3"/>
  <c r="BB426" i="3"/>
  <c r="BA426" i="3"/>
  <c r="AZ426" i="3"/>
  <c r="AX426" i="3"/>
  <c r="AW426" i="3"/>
  <c r="AV426" i="3"/>
  <c r="AC426" i="3"/>
  <c r="H426" i="3"/>
  <c r="G426" i="3"/>
  <c r="BT425" i="3"/>
  <c r="BS425" i="3"/>
  <c r="BR425" i="3"/>
  <c r="BQ425" i="3"/>
  <c r="BP425" i="3"/>
  <c r="BO425" i="3"/>
  <c r="BN425" i="3"/>
  <c r="BM425" i="3"/>
  <c r="BL425" i="3"/>
  <c r="BK425" i="3"/>
  <c r="BJ425" i="3"/>
  <c r="BI425" i="3"/>
  <c r="BH425" i="3"/>
  <c r="BG425" i="3"/>
  <c r="BF425" i="3"/>
  <c r="BE425" i="3"/>
  <c r="BD425" i="3"/>
  <c r="BC425" i="3"/>
  <c r="BB425" i="3"/>
  <c r="BA425" i="3"/>
  <c r="AZ425" i="3"/>
  <c r="AX425" i="3"/>
  <c r="AW425" i="3"/>
  <c r="AV425" i="3"/>
  <c r="AC425" i="3"/>
  <c r="H425" i="3"/>
  <c r="G425" i="3"/>
  <c r="BT424" i="3"/>
  <c r="BS424" i="3"/>
  <c r="BR424" i="3"/>
  <c r="BQ424" i="3"/>
  <c r="BP424" i="3"/>
  <c r="BO424" i="3"/>
  <c r="BN424" i="3"/>
  <c r="BM424" i="3"/>
  <c r="BL424" i="3"/>
  <c r="BK424" i="3"/>
  <c r="BJ424" i="3"/>
  <c r="BI424" i="3"/>
  <c r="BH424" i="3"/>
  <c r="BG424" i="3"/>
  <c r="BF424" i="3"/>
  <c r="BE424" i="3"/>
  <c r="BD424" i="3"/>
  <c r="BC424" i="3"/>
  <c r="BB424" i="3"/>
  <c r="BA424" i="3"/>
  <c r="AZ424" i="3"/>
  <c r="AX424" i="3"/>
  <c r="AW424" i="3"/>
  <c r="AV424" i="3"/>
  <c r="AC424" i="3"/>
  <c r="H424" i="3"/>
  <c r="G424" i="3"/>
  <c r="BT423" i="3"/>
  <c r="BS423" i="3"/>
  <c r="BR423" i="3"/>
  <c r="BQ423" i="3"/>
  <c r="BP423" i="3"/>
  <c r="BO423" i="3"/>
  <c r="BN423" i="3"/>
  <c r="BM423" i="3"/>
  <c r="BL423" i="3"/>
  <c r="BK423" i="3"/>
  <c r="BJ423" i="3"/>
  <c r="BI423" i="3"/>
  <c r="BH423" i="3"/>
  <c r="BG423" i="3"/>
  <c r="BF423" i="3"/>
  <c r="BE423" i="3"/>
  <c r="BD423" i="3"/>
  <c r="BC423" i="3"/>
  <c r="BB423" i="3"/>
  <c r="BA423" i="3"/>
  <c r="AZ423" i="3"/>
  <c r="AX423" i="3"/>
  <c r="AW423" i="3"/>
  <c r="AV423" i="3"/>
  <c r="AC423" i="3"/>
  <c r="H423" i="3"/>
  <c r="G423" i="3"/>
  <c r="BT422" i="3"/>
  <c r="BS422" i="3"/>
  <c r="BR422" i="3"/>
  <c r="BQ422" i="3"/>
  <c r="BP422" i="3"/>
  <c r="BO422" i="3"/>
  <c r="BN422" i="3"/>
  <c r="BM422" i="3"/>
  <c r="BL422" i="3"/>
  <c r="AZ422" i="3"/>
  <c r="BK422" i="3"/>
  <c r="BJ422" i="3"/>
  <c r="BI422" i="3"/>
  <c r="BH422" i="3"/>
  <c r="BG422" i="3"/>
  <c r="BF422" i="3"/>
  <c r="BE422" i="3"/>
  <c r="BD422" i="3"/>
  <c r="BC422" i="3"/>
  <c r="BB422" i="3"/>
  <c r="BA422" i="3"/>
  <c r="AX422" i="3"/>
  <c r="AW422" i="3"/>
  <c r="AV422" i="3"/>
  <c r="AC422" i="3"/>
  <c r="H422" i="3"/>
  <c r="G422" i="3"/>
  <c r="BT421" i="3"/>
  <c r="BS421" i="3"/>
  <c r="BR421" i="3"/>
  <c r="BQ421" i="3"/>
  <c r="BP421" i="3"/>
  <c r="BO421" i="3"/>
  <c r="BN421" i="3"/>
  <c r="BM421" i="3"/>
  <c r="BL421" i="3"/>
  <c r="BK421" i="3"/>
  <c r="BJ421" i="3"/>
  <c r="BI421" i="3"/>
  <c r="BH421" i="3"/>
  <c r="BG421" i="3"/>
  <c r="BF421" i="3"/>
  <c r="BE421" i="3"/>
  <c r="BD421" i="3"/>
  <c r="BC421" i="3"/>
  <c r="BB421" i="3"/>
  <c r="BA421" i="3"/>
  <c r="AZ421" i="3"/>
  <c r="AX421" i="3"/>
  <c r="AW421" i="3"/>
  <c r="AV421" i="3"/>
  <c r="AC421" i="3"/>
  <c r="H421" i="3"/>
  <c r="G421" i="3"/>
  <c r="BT420" i="3"/>
  <c r="BS420" i="3"/>
  <c r="BR420" i="3"/>
  <c r="BQ420" i="3"/>
  <c r="BP420" i="3"/>
  <c r="BO420" i="3"/>
  <c r="BN420" i="3"/>
  <c r="BM420" i="3"/>
  <c r="BL420" i="3"/>
  <c r="BK420" i="3"/>
  <c r="BJ420" i="3"/>
  <c r="BI420" i="3"/>
  <c r="BH420" i="3"/>
  <c r="BG420" i="3"/>
  <c r="BF420" i="3"/>
  <c r="BE420" i="3"/>
  <c r="BD420" i="3"/>
  <c r="BC420" i="3"/>
  <c r="BB420" i="3"/>
  <c r="BA420" i="3"/>
  <c r="AZ420" i="3"/>
  <c r="AX420" i="3"/>
  <c r="AW420" i="3"/>
  <c r="AV420" i="3"/>
  <c r="AC420" i="3"/>
  <c r="H420" i="3"/>
  <c r="G420" i="3"/>
  <c r="BT419" i="3"/>
  <c r="BS419" i="3"/>
  <c r="BR419" i="3"/>
  <c r="BQ419" i="3"/>
  <c r="BP419" i="3"/>
  <c r="BO419" i="3"/>
  <c r="BN419" i="3"/>
  <c r="BM419" i="3"/>
  <c r="BL419" i="3"/>
  <c r="AZ419" i="3"/>
  <c r="BK419" i="3"/>
  <c r="BJ419" i="3"/>
  <c r="BI419" i="3"/>
  <c r="BH419" i="3"/>
  <c r="BG419" i="3"/>
  <c r="BF419" i="3"/>
  <c r="BE419" i="3"/>
  <c r="BD419" i="3"/>
  <c r="BC419" i="3"/>
  <c r="BB419" i="3"/>
  <c r="BA419" i="3"/>
  <c r="AX419" i="3"/>
  <c r="AW419" i="3"/>
  <c r="AV419" i="3"/>
  <c r="AC419" i="3"/>
  <c r="H419" i="3"/>
  <c r="G419" i="3"/>
  <c r="BT418" i="3"/>
  <c r="BS418" i="3"/>
  <c r="BR418" i="3"/>
  <c r="BQ418" i="3"/>
  <c r="BP418" i="3"/>
  <c r="BO418" i="3"/>
  <c r="BN418" i="3"/>
  <c r="BM418" i="3"/>
  <c r="BL418" i="3"/>
  <c r="AZ418" i="3"/>
  <c r="BK418" i="3"/>
  <c r="BJ418" i="3"/>
  <c r="BI418" i="3"/>
  <c r="BH418" i="3"/>
  <c r="BG418" i="3"/>
  <c r="BF418" i="3"/>
  <c r="BE418" i="3"/>
  <c r="BD418" i="3"/>
  <c r="BC418" i="3"/>
  <c r="BB418" i="3"/>
  <c r="BA418" i="3"/>
  <c r="AX418" i="3"/>
  <c r="AW418" i="3"/>
  <c r="AV418" i="3"/>
  <c r="AC418" i="3"/>
  <c r="H418" i="3"/>
  <c r="G418" i="3"/>
  <c r="BT417" i="3"/>
  <c r="BS417" i="3"/>
  <c r="BR417" i="3"/>
  <c r="BQ417" i="3"/>
  <c r="BP417" i="3"/>
  <c r="BO417" i="3"/>
  <c r="BN417" i="3"/>
  <c r="BM417" i="3"/>
  <c r="BL417" i="3"/>
  <c r="BK417" i="3"/>
  <c r="BJ417" i="3"/>
  <c r="BI417" i="3"/>
  <c r="BH417" i="3"/>
  <c r="BG417" i="3"/>
  <c r="BF417" i="3"/>
  <c r="BE417" i="3"/>
  <c r="BD417" i="3"/>
  <c r="BC417" i="3"/>
  <c r="BB417" i="3"/>
  <c r="BA417" i="3"/>
  <c r="AX417" i="3"/>
  <c r="AW417" i="3"/>
  <c r="AV417" i="3"/>
  <c r="AC417" i="3"/>
  <c r="H417" i="3"/>
  <c r="G417" i="3"/>
  <c r="BT416" i="3"/>
  <c r="BS416" i="3"/>
  <c r="BR416" i="3"/>
  <c r="BQ416" i="3"/>
  <c r="BP416" i="3"/>
  <c r="BO416" i="3"/>
  <c r="BN416" i="3"/>
  <c r="BM416" i="3"/>
  <c r="BL416" i="3"/>
  <c r="BK416" i="3"/>
  <c r="BJ416" i="3"/>
  <c r="BI416" i="3"/>
  <c r="BH416" i="3"/>
  <c r="BG416" i="3"/>
  <c r="BF416" i="3"/>
  <c r="BE416" i="3"/>
  <c r="BD416" i="3"/>
  <c r="BC416" i="3"/>
  <c r="BB416" i="3"/>
  <c r="BA416" i="3"/>
  <c r="AZ416" i="3"/>
  <c r="AX416" i="3"/>
  <c r="AW416" i="3"/>
  <c r="AV416" i="3"/>
  <c r="AC416" i="3"/>
  <c r="H416" i="3"/>
  <c r="G416" i="3"/>
  <c r="BT415" i="3"/>
  <c r="BS415" i="3"/>
  <c r="BR415" i="3"/>
  <c r="BQ415" i="3"/>
  <c r="BP415" i="3"/>
  <c r="BO415" i="3"/>
  <c r="BN415" i="3"/>
  <c r="BM415" i="3"/>
  <c r="BL415" i="3"/>
  <c r="BK415" i="3"/>
  <c r="BJ415" i="3"/>
  <c r="BI415" i="3"/>
  <c r="BH415" i="3"/>
  <c r="BG415" i="3"/>
  <c r="BF415" i="3"/>
  <c r="BE415" i="3"/>
  <c r="BD415" i="3"/>
  <c r="BC415" i="3"/>
  <c r="BB415" i="3"/>
  <c r="BA415" i="3"/>
  <c r="AZ415" i="3"/>
  <c r="AX415" i="3"/>
  <c r="AW415" i="3"/>
  <c r="AV415" i="3"/>
  <c r="AC415" i="3"/>
  <c r="H415" i="3"/>
  <c r="G415" i="3"/>
  <c r="BT414" i="3"/>
  <c r="BS414" i="3"/>
  <c r="BR414" i="3"/>
  <c r="BQ414" i="3"/>
  <c r="BP414" i="3"/>
  <c r="BO414" i="3"/>
  <c r="BN414" i="3"/>
  <c r="BM414" i="3"/>
  <c r="BL414" i="3"/>
  <c r="BK414" i="3"/>
  <c r="BJ414" i="3"/>
  <c r="BI414" i="3"/>
  <c r="BH414" i="3"/>
  <c r="BG414" i="3"/>
  <c r="BF414" i="3"/>
  <c r="BE414" i="3"/>
  <c r="BD414" i="3"/>
  <c r="BC414" i="3"/>
  <c r="BB414" i="3"/>
  <c r="BA414" i="3"/>
  <c r="AZ414" i="3"/>
  <c r="AX414" i="3"/>
  <c r="AW414" i="3"/>
  <c r="AV414" i="3"/>
  <c r="AC414" i="3"/>
  <c r="H414" i="3"/>
  <c r="G414" i="3"/>
  <c r="BT413" i="3"/>
  <c r="BS413" i="3"/>
  <c r="BR413" i="3"/>
  <c r="BQ413" i="3"/>
  <c r="BP413" i="3"/>
  <c r="BO413" i="3"/>
  <c r="BN413" i="3"/>
  <c r="BM413" i="3"/>
  <c r="BL413" i="3"/>
  <c r="BK413" i="3"/>
  <c r="BJ413" i="3"/>
  <c r="BI413" i="3"/>
  <c r="BH413" i="3"/>
  <c r="BG413" i="3"/>
  <c r="BF413" i="3"/>
  <c r="BE413" i="3"/>
  <c r="BD413" i="3"/>
  <c r="BC413" i="3"/>
  <c r="BB413" i="3"/>
  <c r="BA413" i="3"/>
  <c r="AZ413" i="3"/>
  <c r="AX413" i="3"/>
  <c r="AW413" i="3"/>
  <c r="AV413" i="3"/>
  <c r="AC413" i="3"/>
  <c r="H413" i="3"/>
  <c r="G413" i="3"/>
  <c r="BT412" i="3"/>
  <c r="BS412" i="3"/>
  <c r="BR412" i="3"/>
  <c r="BQ412" i="3"/>
  <c r="BP412" i="3"/>
  <c r="BO412" i="3"/>
  <c r="BN412" i="3"/>
  <c r="BM412" i="3"/>
  <c r="BL412" i="3"/>
  <c r="BK412" i="3"/>
  <c r="BJ412" i="3"/>
  <c r="BI412" i="3"/>
  <c r="BH412" i="3"/>
  <c r="BG412" i="3"/>
  <c r="BF412" i="3"/>
  <c r="BE412" i="3"/>
  <c r="BD412" i="3"/>
  <c r="BC412" i="3"/>
  <c r="BB412" i="3"/>
  <c r="BA412" i="3"/>
  <c r="AX412" i="3"/>
  <c r="AW412" i="3"/>
  <c r="AV412" i="3"/>
  <c r="AC412" i="3"/>
  <c r="H412" i="3"/>
  <c r="G412" i="3"/>
  <c r="BT411" i="3"/>
  <c r="BS411" i="3"/>
  <c r="BR411" i="3"/>
  <c r="BQ411" i="3"/>
  <c r="BP411" i="3"/>
  <c r="BO411" i="3"/>
  <c r="BN411" i="3"/>
  <c r="BM411" i="3"/>
  <c r="BL411" i="3"/>
  <c r="BK411" i="3"/>
  <c r="BJ411" i="3"/>
  <c r="BI411" i="3"/>
  <c r="BH411" i="3"/>
  <c r="BG411" i="3"/>
  <c r="BF411" i="3"/>
  <c r="BE411" i="3"/>
  <c r="BD411" i="3"/>
  <c r="BC411" i="3"/>
  <c r="BB411" i="3"/>
  <c r="BA411" i="3"/>
  <c r="AZ411" i="3"/>
  <c r="AX411" i="3"/>
  <c r="AW411" i="3"/>
  <c r="AV411" i="3"/>
  <c r="AC411" i="3"/>
  <c r="H411" i="3"/>
  <c r="G411" i="3"/>
  <c r="BT410" i="3"/>
  <c r="BS410" i="3"/>
  <c r="BR410" i="3"/>
  <c r="BQ410" i="3"/>
  <c r="BP410" i="3"/>
  <c r="BO410" i="3"/>
  <c r="BN410" i="3"/>
  <c r="BM410" i="3"/>
  <c r="BL410" i="3"/>
  <c r="BK410" i="3"/>
  <c r="BJ410" i="3"/>
  <c r="BI410" i="3"/>
  <c r="BH410" i="3"/>
  <c r="BG410" i="3"/>
  <c r="BF410" i="3"/>
  <c r="BE410" i="3"/>
  <c r="BD410" i="3"/>
  <c r="BC410" i="3"/>
  <c r="BB410" i="3"/>
  <c r="BA410" i="3"/>
  <c r="AZ410" i="3"/>
  <c r="AX410" i="3"/>
  <c r="AW410" i="3"/>
  <c r="AV410" i="3"/>
  <c r="AC410" i="3"/>
  <c r="H410" i="3"/>
  <c r="G410" i="3"/>
  <c r="BT409" i="3"/>
  <c r="BS409" i="3"/>
  <c r="BR409" i="3"/>
  <c r="BQ409" i="3"/>
  <c r="BP409" i="3"/>
  <c r="BO409" i="3"/>
  <c r="BN409" i="3"/>
  <c r="BM409" i="3"/>
  <c r="BL409" i="3"/>
  <c r="BK409" i="3"/>
  <c r="BJ409" i="3"/>
  <c r="BI409" i="3"/>
  <c r="BH409" i="3"/>
  <c r="BG409" i="3"/>
  <c r="BF409" i="3"/>
  <c r="BE409" i="3"/>
  <c r="BD409" i="3"/>
  <c r="BC409" i="3"/>
  <c r="BB409" i="3"/>
  <c r="BA409" i="3"/>
  <c r="AZ409" i="3"/>
  <c r="AX409" i="3"/>
  <c r="AW409" i="3"/>
  <c r="AV409" i="3"/>
  <c r="AC409" i="3"/>
  <c r="H409" i="3"/>
  <c r="G409" i="3"/>
  <c r="BT408" i="3"/>
  <c r="BS408" i="3"/>
  <c r="BR408" i="3"/>
  <c r="BQ408" i="3"/>
  <c r="BP408" i="3"/>
  <c r="BO408" i="3"/>
  <c r="BN408" i="3"/>
  <c r="BM408" i="3"/>
  <c r="BL408" i="3"/>
  <c r="BK408" i="3"/>
  <c r="BJ408" i="3"/>
  <c r="BI408" i="3"/>
  <c r="BH408" i="3"/>
  <c r="BG408" i="3"/>
  <c r="BF408" i="3"/>
  <c r="BE408" i="3"/>
  <c r="BD408" i="3"/>
  <c r="BC408" i="3"/>
  <c r="BB408" i="3"/>
  <c r="BA408" i="3"/>
  <c r="AX408" i="3"/>
  <c r="AW408" i="3"/>
  <c r="AV408" i="3"/>
  <c r="AC408" i="3"/>
  <c r="H408" i="3"/>
  <c r="G408" i="3"/>
  <c r="BT407" i="3"/>
  <c r="BS407" i="3"/>
  <c r="BR407" i="3"/>
  <c r="BQ407" i="3"/>
  <c r="BP407" i="3"/>
  <c r="BO407" i="3"/>
  <c r="BN407" i="3"/>
  <c r="BM407" i="3"/>
  <c r="BL407" i="3"/>
  <c r="BK407" i="3"/>
  <c r="BJ407" i="3"/>
  <c r="BI407" i="3"/>
  <c r="BH407" i="3"/>
  <c r="BG407" i="3"/>
  <c r="BF407" i="3"/>
  <c r="BE407" i="3"/>
  <c r="BD407" i="3"/>
  <c r="BC407" i="3"/>
  <c r="BB407" i="3"/>
  <c r="BA407" i="3"/>
  <c r="AZ407" i="3"/>
  <c r="AX407" i="3"/>
  <c r="AW407" i="3"/>
  <c r="AV407" i="3"/>
  <c r="AC407" i="3"/>
  <c r="H407" i="3"/>
  <c r="G407" i="3"/>
  <c r="BT406" i="3"/>
  <c r="BS406" i="3"/>
  <c r="BR406" i="3"/>
  <c r="BQ406" i="3"/>
  <c r="BP406" i="3"/>
  <c r="BO406" i="3"/>
  <c r="BN406" i="3"/>
  <c r="BM406" i="3"/>
  <c r="BL406" i="3"/>
  <c r="AZ406" i="3"/>
  <c r="BK406" i="3"/>
  <c r="BJ406" i="3"/>
  <c r="BI406" i="3"/>
  <c r="BH406" i="3"/>
  <c r="BG406" i="3"/>
  <c r="BF406" i="3"/>
  <c r="BE406" i="3"/>
  <c r="BD406" i="3"/>
  <c r="BC406" i="3"/>
  <c r="BB406" i="3"/>
  <c r="BA406" i="3"/>
  <c r="AX406" i="3"/>
  <c r="AW406" i="3"/>
  <c r="AV406" i="3"/>
  <c r="AC406" i="3"/>
  <c r="H406" i="3"/>
  <c r="G406" i="3"/>
  <c r="BT405" i="3"/>
  <c r="BS405" i="3"/>
  <c r="BR405" i="3"/>
  <c r="BQ405" i="3"/>
  <c r="BP405" i="3"/>
  <c r="BO405" i="3"/>
  <c r="BN405" i="3"/>
  <c r="BM405" i="3"/>
  <c r="BL405" i="3"/>
  <c r="BK405" i="3"/>
  <c r="BJ405" i="3"/>
  <c r="BI405" i="3"/>
  <c r="BH405" i="3"/>
  <c r="BG405" i="3"/>
  <c r="BF405" i="3"/>
  <c r="BE405" i="3"/>
  <c r="BD405" i="3"/>
  <c r="BC405" i="3"/>
  <c r="BB405" i="3"/>
  <c r="BA405" i="3"/>
  <c r="AZ405" i="3"/>
  <c r="AX405" i="3"/>
  <c r="AW405" i="3"/>
  <c r="AV405" i="3"/>
  <c r="AC405" i="3"/>
  <c r="H405" i="3"/>
  <c r="G405" i="3"/>
  <c r="BT404" i="3"/>
  <c r="BS404" i="3"/>
  <c r="BR404" i="3"/>
  <c r="BQ404" i="3"/>
  <c r="BP404" i="3"/>
  <c r="BO404" i="3"/>
  <c r="BN404" i="3"/>
  <c r="BM404" i="3"/>
  <c r="BL404" i="3"/>
  <c r="BK404" i="3"/>
  <c r="BJ404" i="3"/>
  <c r="BI404" i="3"/>
  <c r="BH404" i="3"/>
  <c r="BG404" i="3"/>
  <c r="BF404" i="3"/>
  <c r="BE404" i="3"/>
  <c r="BD404" i="3"/>
  <c r="BC404" i="3"/>
  <c r="BB404" i="3"/>
  <c r="BA404" i="3"/>
  <c r="AZ404" i="3"/>
  <c r="AX404" i="3"/>
  <c r="AW404" i="3"/>
  <c r="AV404" i="3"/>
  <c r="AC404" i="3"/>
  <c r="H404" i="3"/>
  <c r="G404" i="3"/>
  <c r="BT403" i="3"/>
  <c r="BS403" i="3"/>
  <c r="BR403" i="3"/>
  <c r="BQ403" i="3"/>
  <c r="BP403" i="3"/>
  <c r="BO403" i="3"/>
  <c r="BN403" i="3"/>
  <c r="BM403" i="3"/>
  <c r="BL403" i="3"/>
  <c r="AZ403" i="3"/>
  <c r="BK403" i="3"/>
  <c r="BJ403" i="3"/>
  <c r="BI403" i="3"/>
  <c r="BH403" i="3"/>
  <c r="BG403" i="3"/>
  <c r="BF403" i="3"/>
  <c r="BE403" i="3"/>
  <c r="BD403" i="3"/>
  <c r="BC403" i="3"/>
  <c r="BB403" i="3"/>
  <c r="BA403" i="3"/>
  <c r="AX403" i="3"/>
  <c r="AW403" i="3"/>
  <c r="AV403" i="3"/>
  <c r="AC403" i="3"/>
  <c r="H403" i="3"/>
  <c r="G403" i="3"/>
  <c r="BT402" i="3"/>
  <c r="BS402" i="3"/>
  <c r="BR402" i="3"/>
  <c r="BQ402" i="3"/>
  <c r="BP402" i="3"/>
  <c r="BO402" i="3"/>
  <c r="BN402" i="3"/>
  <c r="BM402" i="3"/>
  <c r="BL402" i="3"/>
  <c r="AZ402" i="3"/>
  <c r="BK402" i="3"/>
  <c r="BJ402" i="3"/>
  <c r="BI402" i="3"/>
  <c r="BH402" i="3"/>
  <c r="BG402" i="3"/>
  <c r="BF402" i="3"/>
  <c r="BE402" i="3"/>
  <c r="BD402" i="3"/>
  <c r="BC402" i="3"/>
  <c r="BB402" i="3"/>
  <c r="BA402" i="3"/>
  <c r="AX402" i="3"/>
  <c r="AW402" i="3"/>
  <c r="AV402" i="3"/>
  <c r="AC402" i="3"/>
  <c r="H402" i="3"/>
  <c r="G402" i="3"/>
  <c r="BT401" i="3"/>
  <c r="BS401" i="3"/>
  <c r="BR401" i="3"/>
  <c r="BQ401" i="3"/>
  <c r="BP401" i="3"/>
  <c r="BO401" i="3"/>
  <c r="BN401" i="3"/>
  <c r="BM401" i="3"/>
  <c r="BL401" i="3"/>
  <c r="BK401" i="3"/>
  <c r="BJ401" i="3"/>
  <c r="BI401" i="3"/>
  <c r="BH401" i="3"/>
  <c r="BG401" i="3"/>
  <c r="BF401" i="3"/>
  <c r="BE401" i="3"/>
  <c r="BD401" i="3"/>
  <c r="BC401" i="3"/>
  <c r="BB401" i="3"/>
  <c r="BA401" i="3"/>
  <c r="AX401" i="3"/>
  <c r="AW401" i="3"/>
  <c r="AV401" i="3"/>
  <c r="AC401" i="3"/>
  <c r="H401" i="3"/>
  <c r="G401" i="3"/>
  <c r="BT400" i="3"/>
  <c r="BS400" i="3"/>
  <c r="BR400" i="3"/>
  <c r="BQ400" i="3"/>
  <c r="BP400" i="3"/>
  <c r="BO400" i="3"/>
  <c r="BN400" i="3"/>
  <c r="BM400" i="3"/>
  <c r="BL400" i="3"/>
  <c r="BK400" i="3"/>
  <c r="BJ400" i="3"/>
  <c r="BI400" i="3"/>
  <c r="BH400" i="3"/>
  <c r="BG400" i="3"/>
  <c r="BF400" i="3"/>
  <c r="BE400" i="3"/>
  <c r="BD400" i="3"/>
  <c r="BC400" i="3"/>
  <c r="BB400" i="3"/>
  <c r="BA400" i="3"/>
  <c r="AZ400" i="3"/>
  <c r="AX400" i="3"/>
  <c r="AW400" i="3"/>
  <c r="AV400" i="3"/>
  <c r="AC400" i="3"/>
  <c r="H400" i="3"/>
  <c r="G400" i="3"/>
  <c r="BT399" i="3"/>
  <c r="BS399" i="3"/>
  <c r="BR399" i="3"/>
  <c r="BQ399" i="3"/>
  <c r="BP399" i="3"/>
  <c r="BO399" i="3"/>
  <c r="BN399" i="3"/>
  <c r="BM399" i="3"/>
  <c r="BL399" i="3"/>
  <c r="BK399" i="3"/>
  <c r="BJ399" i="3"/>
  <c r="BI399" i="3"/>
  <c r="BH399" i="3"/>
  <c r="BG399" i="3"/>
  <c r="BF399" i="3"/>
  <c r="BE399" i="3"/>
  <c r="BD399" i="3"/>
  <c r="BC399" i="3"/>
  <c r="BB399" i="3"/>
  <c r="BA399" i="3"/>
  <c r="AZ399" i="3"/>
  <c r="AX399" i="3"/>
  <c r="AW399" i="3"/>
  <c r="AV399" i="3"/>
  <c r="AC399" i="3"/>
  <c r="H399" i="3"/>
  <c r="G399" i="3"/>
  <c r="BT398" i="3"/>
  <c r="BS398" i="3"/>
  <c r="BR398" i="3"/>
  <c r="BQ398" i="3"/>
  <c r="BP398" i="3"/>
  <c r="BO398" i="3"/>
  <c r="BN398" i="3"/>
  <c r="BM398" i="3"/>
  <c r="BL398" i="3"/>
  <c r="BK398" i="3"/>
  <c r="BJ398" i="3"/>
  <c r="BI398" i="3"/>
  <c r="BH398" i="3"/>
  <c r="BG398" i="3"/>
  <c r="BF398" i="3"/>
  <c r="BE398" i="3"/>
  <c r="BD398" i="3"/>
  <c r="BC398" i="3"/>
  <c r="BB398" i="3"/>
  <c r="BA398" i="3"/>
  <c r="AZ398" i="3"/>
  <c r="AX398" i="3"/>
  <c r="AW398" i="3"/>
  <c r="AV398" i="3"/>
  <c r="AC398" i="3"/>
  <c r="H398" i="3"/>
  <c r="G398" i="3"/>
  <c r="H60" i="40"/>
  <c r="I60" i="40"/>
  <c r="C60" i="40"/>
  <c r="H59" i="40"/>
  <c r="I59" i="40"/>
  <c r="C59" i="40"/>
  <c r="H58" i="40"/>
  <c r="I58" i="40" s="1"/>
  <c r="C58" i="40" s="1"/>
  <c r="H57" i="40"/>
  <c r="I57" i="40" s="1"/>
  <c r="C57" i="40" s="1"/>
  <c r="H56" i="40"/>
  <c r="I56" i="40"/>
  <c r="C56" i="40"/>
  <c r="H55" i="40"/>
  <c r="I55" i="40"/>
  <c r="C55" i="40"/>
  <c r="H54" i="40"/>
  <c r="I54" i="40"/>
  <c r="C54" i="40"/>
  <c r="H53" i="40"/>
  <c r="I53" i="40"/>
  <c r="C53" i="40"/>
  <c r="H52" i="40"/>
  <c r="I52" i="40"/>
  <c r="C52" i="40"/>
  <c r="H65" i="39"/>
  <c r="I65" i="39"/>
  <c r="C65" i="39" s="1"/>
  <c r="H64" i="39"/>
  <c r="I64" i="39"/>
  <c r="C64" i="39" s="1"/>
  <c r="H60" i="39"/>
  <c r="I60" i="39"/>
  <c r="C60" i="39" s="1"/>
  <c r="H59" i="39"/>
  <c r="I59" i="39"/>
  <c r="C59" i="39" s="1"/>
  <c r="H58" i="39"/>
  <c r="I58" i="39"/>
  <c r="C58" i="39" s="1"/>
  <c r="H57" i="39"/>
  <c r="I57" i="39"/>
  <c r="C57" i="39" s="1"/>
  <c r="H61" i="39"/>
  <c r="I61" i="39"/>
  <c r="C61" i="39" s="1"/>
  <c r="H63" i="39"/>
  <c r="I63" i="39" s="1"/>
  <c r="C63" i="39" s="1"/>
  <c r="H62" i="39"/>
  <c r="I62" i="39" s="1"/>
  <c r="C62" i="39" s="1"/>
  <c r="C145" i="21"/>
  <c r="K139" i="21"/>
  <c r="J142" i="21"/>
  <c r="J140" i="21"/>
  <c r="M87" i="21"/>
  <c r="L87" i="21"/>
  <c r="K87" i="21"/>
  <c r="J87" i="21"/>
  <c r="I87" i="21"/>
  <c r="H87" i="21"/>
  <c r="G87" i="21"/>
  <c r="F87" i="21"/>
  <c r="E87" i="21"/>
  <c r="D87" i="21"/>
  <c r="G2" i="43"/>
  <c r="X7" i="43" s="1"/>
  <c r="R26" i="31"/>
  <c r="R27" i="31"/>
  <c r="R28" i="31"/>
  <c r="R29" i="31"/>
  <c r="R30" i="31"/>
  <c r="R31" i="31"/>
  <c r="R32" i="31"/>
  <c r="R33" i="31"/>
  <c r="R34" i="31"/>
  <c r="R35" i="31"/>
  <c r="R36" i="31"/>
  <c r="R37" i="31"/>
  <c r="R38" i="31"/>
  <c r="R39" i="31"/>
  <c r="R40" i="31"/>
  <c r="R41" i="31"/>
  <c r="R42" i="31"/>
  <c r="R43" i="31"/>
  <c r="R44" i="31"/>
  <c r="R45" i="31"/>
  <c r="R46" i="31"/>
  <c r="R47" i="31"/>
  <c r="R48" i="31"/>
  <c r="R49" i="31"/>
  <c r="R50" i="31"/>
  <c r="R51" i="31"/>
  <c r="R52" i="31"/>
  <c r="R53" i="31"/>
  <c r="R54" i="31"/>
  <c r="R55" i="31"/>
  <c r="R56" i="31"/>
  <c r="R57" i="31"/>
  <c r="R58" i="31"/>
  <c r="R59" i="31"/>
  <c r="R60" i="31"/>
  <c r="R61" i="31"/>
  <c r="R62" i="31"/>
  <c r="R63" i="31"/>
  <c r="R64" i="31"/>
  <c r="R65" i="31"/>
  <c r="R66" i="31"/>
  <c r="R67" i="31"/>
  <c r="R68" i="31"/>
  <c r="R69" i="31"/>
  <c r="R70" i="31"/>
  <c r="R71" i="31"/>
  <c r="R72" i="31"/>
  <c r="R73" i="31"/>
  <c r="R74" i="31"/>
  <c r="R75" i="31"/>
  <c r="R76" i="31"/>
  <c r="R77" i="31"/>
  <c r="R78" i="31"/>
  <c r="R79" i="31"/>
  <c r="R80" i="31"/>
  <c r="R81" i="31"/>
  <c r="R82" i="31"/>
  <c r="R83" i="31"/>
  <c r="R84" i="31"/>
  <c r="R85" i="31"/>
  <c r="R86" i="31"/>
  <c r="R87" i="31"/>
  <c r="R88" i="31"/>
  <c r="R89" i="31"/>
  <c r="R90" i="31"/>
  <c r="R91" i="31"/>
  <c r="R92" i="31"/>
  <c r="R93" i="31"/>
  <c r="R94" i="31"/>
  <c r="R95" i="31"/>
  <c r="R96" i="31"/>
  <c r="R97" i="31"/>
  <c r="R98" i="31"/>
  <c r="R99" i="31"/>
  <c r="R100" i="31"/>
  <c r="R101" i="31"/>
  <c r="R102" i="31"/>
  <c r="R103" i="31"/>
  <c r="R104" i="31"/>
  <c r="R105" i="31"/>
  <c r="R106" i="31"/>
  <c r="R107" i="31"/>
  <c r="R108" i="31"/>
  <c r="R109" i="31"/>
  <c r="R110" i="31"/>
  <c r="R111" i="31"/>
  <c r="R112" i="31"/>
  <c r="R113" i="31"/>
  <c r="R114" i="31"/>
  <c r="R115" i="31"/>
  <c r="R116" i="31"/>
  <c r="R117" i="31"/>
  <c r="R118" i="31"/>
  <c r="R119" i="31"/>
  <c r="R120" i="31"/>
  <c r="R121" i="31"/>
  <c r="R122" i="31"/>
  <c r="R123" i="31"/>
  <c r="R124" i="31"/>
  <c r="R125" i="31"/>
  <c r="R126" i="31"/>
  <c r="R127" i="31"/>
  <c r="R128" i="31"/>
  <c r="R129" i="31"/>
  <c r="R130" i="31"/>
  <c r="R131" i="31"/>
  <c r="R132" i="31"/>
  <c r="R133" i="31"/>
  <c r="R134" i="31"/>
  <c r="R135" i="31"/>
  <c r="R136" i="31"/>
  <c r="R137" i="31"/>
  <c r="R138" i="31"/>
  <c r="R139" i="31"/>
  <c r="R140" i="31"/>
  <c r="R141" i="31"/>
  <c r="R142" i="31"/>
  <c r="R143" i="31"/>
  <c r="R144" i="31"/>
  <c r="R145" i="31"/>
  <c r="R146" i="31"/>
  <c r="R147" i="31"/>
  <c r="R148" i="31"/>
  <c r="R149" i="31"/>
  <c r="R150" i="31"/>
  <c r="R151" i="31"/>
  <c r="R152" i="31"/>
  <c r="R153" i="31"/>
  <c r="R154" i="31"/>
  <c r="R155" i="31"/>
  <c r="R156" i="31"/>
  <c r="R157" i="31"/>
  <c r="R158" i="31"/>
  <c r="R159" i="31"/>
  <c r="R160" i="31"/>
  <c r="R161" i="31"/>
  <c r="R162" i="31"/>
  <c r="R163" i="31"/>
  <c r="R164" i="31"/>
  <c r="R165" i="31"/>
  <c r="R166" i="31"/>
  <c r="R167" i="31"/>
  <c r="R168" i="31"/>
  <c r="R169" i="31"/>
  <c r="R170" i="31"/>
  <c r="R171" i="31"/>
  <c r="R172" i="31"/>
  <c r="R173" i="31"/>
  <c r="R174" i="31"/>
  <c r="R175" i="31"/>
  <c r="R176" i="31"/>
  <c r="R177" i="31"/>
  <c r="R178" i="31"/>
  <c r="R179" i="31"/>
  <c r="R180" i="31"/>
  <c r="R181" i="31"/>
  <c r="R182" i="31"/>
  <c r="R183" i="31"/>
  <c r="R184" i="31"/>
  <c r="R185" i="31"/>
  <c r="R186" i="31"/>
  <c r="R187" i="31"/>
  <c r="R188" i="31"/>
  <c r="R189" i="31"/>
  <c r="R190" i="31"/>
  <c r="R191" i="31"/>
  <c r="R192" i="31"/>
  <c r="R193" i="31"/>
  <c r="R194" i="31"/>
  <c r="R195" i="31"/>
  <c r="R196" i="31"/>
  <c r="R197" i="31"/>
  <c r="R198" i="31"/>
  <c r="R199" i="31"/>
  <c r="R200" i="31"/>
  <c r="R201" i="31"/>
  <c r="R202" i="31"/>
  <c r="R203" i="31"/>
  <c r="R204" i="31"/>
  <c r="R205" i="31"/>
  <c r="R206" i="31"/>
  <c r="R207" i="31"/>
  <c r="R208" i="31"/>
  <c r="R209" i="31"/>
  <c r="R210" i="31"/>
  <c r="R211" i="31"/>
  <c r="R212" i="31"/>
  <c r="R213" i="31"/>
  <c r="R214" i="31"/>
  <c r="R215" i="31"/>
  <c r="R216" i="31"/>
  <c r="R217" i="31"/>
  <c r="R218" i="31"/>
  <c r="R219" i="31"/>
  <c r="R220" i="31"/>
  <c r="R221" i="31"/>
  <c r="R222" i="31"/>
  <c r="R223" i="31"/>
  <c r="R224" i="31"/>
  <c r="R225" i="31"/>
  <c r="R226" i="31"/>
  <c r="R227" i="31"/>
  <c r="R228" i="31"/>
  <c r="R229" i="31"/>
  <c r="R230" i="31"/>
  <c r="R231" i="31"/>
  <c r="R232" i="31"/>
  <c r="R233" i="31"/>
  <c r="R234" i="31"/>
  <c r="R235" i="31"/>
  <c r="R236" i="31"/>
  <c r="R237" i="31"/>
  <c r="R238" i="31"/>
  <c r="R239" i="31"/>
  <c r="R240" i="31"/>
  <c r="R241" i="31"/>
  <c r="R242" i="31"/>
  <c r="R243" i="31"/>
  <c r="R244" i="31"/>
  <c r="R245" i="31"/>
  <c r="R246" i="31"/>
  <c r="R247" i="31"/>
  <c r="R248" i="31"/>
  <c r="R249" i="31"/>
  <c r="R250" i="31"/>
  <c r="R251" i="31"/>
  <c r="R252" i="31"/>
  <c r="R253" i="31"/>
  <c r="R254" i="31"/>
  <c r="R255" i="31"/>
  <c r="S255" i="31"/>
  <c r="R256" i="31"/>
  <c r="R257" i="31"/>
  <c r="S257" i="31"/>
  <c r="R258" i="31"/>
  <c r="R259" i="31"/>
  <c r="S259" i="31"/>
  <c r="R260" i="31"/>
  <c r="R261" i="31"/>
  <c r="S261" i="31"/>
  <c r="R262" i="31"/>
  <c r="R263" i="31"/>
  <c r="S263" i="31"/>
  <c r="R264" i="31"/>
  <c r="R265" i="31"/>
  <c r="S265" i="31"/>
  <c r="R266" i="31"/>
  <c r="R267" i="31"/>
  <c r="S267" i="31"/>
  <c r="R268" i="31"/>
  <c r="R269" i="31"/>
  <c r="S269" i="31"/>
  <c r="R270" i="31"/>
  <c r="R271" i="31"/>
  <c r="S271" i="31"/>
  <c r="R272" i="31"/>
  <c r="R273" i="31"/>
  <c r="S273" i="31"/>
  <c r="R274" i="31"/>
  <c r="R275" i="31"/>
  <c r="S275" i="31"/>
  <c r="R276" i="31"/>
  <c r="R277" i="31"/>
  <c r="S277" i="31"/>
  <c r="R278" i="31"/>
  <c r="R279" i="31"/>
  <c r="S279" i="31"/>
  <c r="R280" i="31"/>
  <c r="R281" i="31"/>
  <c r="S281" i="31"/>
  <c r="R282" i="31"/>
  <c r="R283" i="31"/>
  <c r="S283" i="31"/>
  <c r="R284" i="31"/>
  <c r="R285" i="31"/>
  <c r="S285" i="31"/>
  <c r="R286" i="31"/>
  <c r="R287" i="31"/>
  <c r="S287" i="31"/>
  <c r="R288" i="31"/>
  <c r="R289" i="31"/>
  <c r="S289" i="31"/>
  <c r="R290" i="31"/>
  <c r="R291" i="31"/>
  <c r="S291" i="31"/>
  <c r="R292" i="31"/>
  <c r="R293" i="31"/>
  <c r="S293" i="31"/>
  <c r="R294" i="31"/>
  <c r="R295" i="31"/>
  <c r="S295" i="31"/>
  <c r="R296" i="31"/>
  <c r="R297" i="31"/>
  <c r="S297" i="31"/>
  <c r="R298" i="31"/>
  <c r="R299" i="31"/>
  <c r="S299" i="31"/>
  <c r="R300" i="31"/>
  <c r="R301" i="31"/>
  <c r="S301" i="31"/>
  <c r="R302" i="31"/>
  <c r="R303" i="31"/>
  <c r="S303" i="31"/>
  <c r="R304" i="31"/>
  <c r="R305" i="31"/>
  <c r="S305" i="31"/>
  <c r="R306" i="31"/>
  <c r="R307" i="31"/>
  <c r="S307" i="31"/>
  <c r="R308" i="31"/>
  <c r="R309" i="31"/>
  <c r="S309" i="31"/>
  <c r="R310" i="31"/>
  <c r="R311" i="31"/>
  <c r="S311" i="31"/>
  <c r="R312" i="31"/>
  <c r="R313" i="31"/>
  <c r="S313" i="31"/>
  <c r="R314" i="31"/>
  <c r="R315" i="31"/>
  <c r="S315" i="31"/>
  <c r="R316" i="31"/>
  <c r="R317" i="31"/>
  <c r="S317" i="31"/>
  <c r="R318" i="31"/>
  <c r="R319" i="31"/>
  <c r="S319" i="31"/>
  <c r="R320" i="31"/>
  <c r="R321" i="31"/>
  <c r="S321" i="31"/>
  <c r="R322" i="31"/>
  <c r="R323" i="31"/>
  <c r="S323" i="31"/>
  <c r="R324" i="31"/>
  <c r="R325" i="31"/>
  <c r="S325" i="31"/>
  <c r="R326" i="31"/>
  <c r="R327" i="31"/>
  <c r="S327" i="31"/>
  <c r="R328" i="31"/>
  <c r="R329" i="31"/>
  <c r="S329" i="31"/>
  <c r="R330" i="31"/>
  <c r="R331" i="31"/>
  <c r="S331" i="31"/>
  <c r="R332" i="31"/>
  <c r="R333" i="31"/>
  <c r="S333" i="31"/>
  <c r="R334" i="31"/>
  <c r="R335" i="31"/>
  <c r="S335" i="31"/>
  <c r="R336" i="31"/>
  <c r="R337" i="31"/>
  <c r="S337" i="31"/>
  <c r="R338" i="31"/>
  <c r="R339" i="31"/>
  <c r="S339" i="31"/>
  <c r="R340" i="31"/>
  <c r="R341" i="31"/>
  <c r="S341" i="31"/>
  <c r="R342" i="31"/>
  <c r="R343" i="31"/>
  <c r="S343" i="31"/>
  <c r="R344" i="31"/>
  <c r="R345" i="31"/>
  <c r="S345" i="31"/>
  <c r="R346" i="31"/>
  <c r="R347" i="31"/>
  <c r="S347" i="31"/>
  <c r="R348" i="31"/>
  <c r="R349" i="31"/>
  <c r="S349" i="31"/>
  <c r="R350" i="31"/>
  <c r="R351" i="31"/>
  <c r="S351" i="31"/>
  <c r="R352" i="31"/>
  <c r="R353" i="31"/>
  <c r="S353" i="31"/>
  <c r="R354" i="31"/>
  <c r="R355" i="31"/>
  <c r="S355" i="31"/>
  <c r="R356" i="31"/>
  <c r="R357" i="31"/>
  <c r="S357" i="31"/>
  <c r="R358" i="31"/>
  <c r="R359" i="31"/>
  <c r="S359" i="31"/>
  <c r="R360" i="31"/>
  <c r="R361" i="31"/>
  <c r="S361" i="31"/>
  <c r="R362" i="31"/>
  <c r="R363" i="31"/>
  <c r="S363" i="31"/>
  <c r="R364" i="31"/>
  <c r="R365" i="31"/>
  <c r="S365" i="31"/>
  <c r="R366" i="31"/>
  <c r="R367" i="31"/>
  <c r="S367" i="31"/>
  <c r="R368" i="31"/>
  <c r="R369" i="31"/>
  <c r="S369" i="31"/>
  <c r="R370" i="31"/>
  <c r="R371" i="31"/>
  <c r="S371" i="31"/>
  <c r="R372" i="31"/>
  <c r="R373" i="31"/>
  <c r="S373" i="31"/>
  <c r="R374" i="31"/>
  <c r="R375" i="31"/>
  <c r="S375" i="31"/>
  <c r="R376" i="31"/>
  <c r="R377" i="31"/>
  <c r="S377" i="31"/>
  <c r="R378" i="31"/>
  <c r="R379" i="31"/>
  <c r="S379" i="31"/>
  <c r="R380" i="31"/>
  <c r="R381" i="31"/>
  <c r="S381" i="31"/>
  <c r="R382" i="31"/>
  <c r="R383" i="31"/>
  <c r="S383" i="31"/>
  <c r="R384" i="31"/>
  <c r="R385" i="31"/>
  <c r="S385" i="31"/>
  <c r="R386" i="31"/>
  <c r="R387" i="31"/>
  <c r="S387" i="31"/>
  <c r="R388" i="31"/>
  <c r="R389" i="31"/>
  <c r="S389" i="31"/>
  <c r="R390" i="31"/>
  <c r="R391" i="31"/>
  <c r="S391" i="31"/>
  <c r="R392" i="31"/>
  <c r="R393" i="31"/>
  <c r="S393" i="31"/>
  <c r="R394" i="31"/>
  <c r="R395" i="31"/>
  <c r="S395" i="31"/>
  <c r="R396" i="31"/>
  <c r="R397" i="31"/>
  <c r="S397" i="31"/>
  <c r="R398" i="31"/>
  <c r="R399" i="31"/>
  <c r="S399" i="31"/>
  <c r="R400" i="31"/>
  <c r="R401" i="31"/>
  <c r="S401" i="31"/>
  <c r="R402" i="31"/>
  <c r="R403" i="31"/>
  <c r="S403" i="31"/>
  <c r="R404" i="31"/>
  <c r="R405" i="31"/>
  <c r="S405" i="31"/>
  <c r="R406" i="31"/>
  <c r="R407" i="31"/>
  <c r="S407" i="31"/>
  <c r="R408" i="31"/>
  <c r="R409" i="31"/>
  <c r="S409" i="31"/>
  <c r="R410" i="31"/>
  <c r="R411" i="31"/>
  <c r="S411" i="31"/>
  <c r="R412" i="31"/>
  <c r="R413" i="31"/>
  <c r="S413" i="31"/>
  <c r="R414" i="31"/>
  <c r="R415" i="31"/>
  <c r="S415" i="31"/>
  <c r="R416" i="31"/>
  <c r="R417" i="31"/>
  <c r="S417" i="31"/>
  <c r="R418" i="31"/>
  <c r="R419" i="31"/>
  <c r="S419" i="31"/>
  <c r="R420" i="31"/>
  <c r="R421" i="31"/>
  <c r="S421" i="31"/>
  <c r="R422" i="31"/>
  <c r="R423" i="31"/>
  <c r="S423" i="31"/>
  <c r="R424" i="31"/>
  <c r="R425" i="31"/>
  <c r="R426" i="31"/>
  <c r="R427" i="31"/>
  <c r="R428" i="31"/>
  <c r="R429" i="31"/>
  <c r="R430" i="31"/>
  <c r="R431" i="31"/>
  <c r="R432" i="31"/>
  <c r="R433" i="31"/>
  <c r="R434" i="31"/>
  <c r="R435" i="31"/>
  <c r="R436" i="31"/>
  <c r="R437" i="31"/>
  <c r="R438" i="31"/>
  <c r="R439" i="31"/>
  <c r="R440" i="31"/>
  <c r="R441" i="31"/>
  <c r="R442" i="31"/>
  <c r="R443" i="31"/>
  <c r="R444" i="31"/>
  <c r="R445" i="31"/>
  <c r="R446" i="31"/>
  <c r="R447" i="31"/>
  <c r="R448" i="31"/>
  <c r="R449" i="31"/>
  <c r="R450" i="31"/>
  <c r="R451" i="31"/>
  <c r="R452" i="31"/>
  <c r="R453" i="31"/>
  <c r="R454" i="31"/>
  <c r="R455" i="31"/>
  <c r="R456" i="31"/>
  <c r="R457" i="31"/>
  <c r="R458" i="31"/>
  <c r="R459" i="31"/>
  <c r="R460" i="31"/>
  <c r="R461" i="31"/>
  <c r="R462" i="31"/>
  <c r="R463" i="31"/>
  <c r="R464" i="31"/>
  <c r="R465" i="31"/>
  <c r="R466" i="31"/>
  <c r="R467" i="31"/>
  <c r="R468" i="31"/>
  <c r="R469" i="31"/>
  <c r="R470" i="31"/>
  <c r="R471" i="31"/>
  <c r="R472" i="31"/>
  <c r="R473" i="31"/>
  <c r="R474" i="31"/>
  <c r="R475" i="31"/>
  <c r="R476" i="31"/>
  <c r="R477" i="31"/>
  <c r="R478" i="31"/>
  <c r="R479" i="31"/>
  <c r="R480" i="31"/>
  <c r="R481" i="31"/>
  <c r="R482" i="31"/>
  <c r="R483" i="31"/>
  <c r="R484" i="31"/>
  <c r="R485" i="31"/>
  <c r="R486" i="31"/>
  <c r="R487" i="31"/>
  <c r="R488" i="31"/>
  <c r="R489" i="31"/>
  <c r="R490" i="31"/>
  <c r="R491" i="31"/>
  <c r="R492" i="31"/>
  <c r="R493" i="31"/>
  <c r="R494" i="31"/>
  <c r="R495" i="31"/>
  <c r="R496" i="31"/>
  <c r="R497" i="31"/>
  <c r="R498" i="31"/>
  <c r="R499" i="31"/>
  <c r="R500" i="31"/>
  <c r="R501" i="31"/>
  <c r="R502" i="31"/>
  <c r="R503" i="31"/>
  <c r="R504" i="31"/>
  <c r="R505" i="31"/>
  <c r="R506" i="31"/>
  <c r="R507" i="31"/>
  <c r="R508" i="31"/>
  <c r="R509" i="31"/>
  <c r="R510" i="31"/>
  <c r="R511" i="31"/>
  <c r="R512" i="31"/>
  <c r="R513" i="31"/>
  <c r="R514" i="31"/>
  <c r="R515" i="31"/>
  <c r="R516" i="31"/>
  <c r="R517" i="31"/>
  <c r="R518" i="31"/>
  <c r="R519" i="31"/>
  <c r="R520" i="31"/>
  <c r="R521" i="31"/>
  <c r="R522" i="31"/>
  <c r="R523" i="31"/>
  <c r="R524" i="31"/>
  <c r="R25" i="31"/>
  <c r="C25" i="31"/>
  <c r="C26" i="31"/>
  <c r="C27" i="31"/>
  <c r="C28" i="31"/>
  <c r="C29" i="31"/>
  <c r="C30" i="31"/>
  <c r="C31" i="31"/>
  <c r="C32" i="31"/>
  <c r="C33" i="31"/>
  <c r="C34" i="31"/>
  <c r="C35" i="31"/>
  <c r="C36" i="31"/>
  <c r="C37" i="31"/>
  <c r="C38" i="31"/>
  <c r="C39" i="31"/>
  <c r="C40" i="31"/>
  <c r="C41"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H1" i="9"/>
  <c r="B38" i="35"/>
  <c r="A6" i="52"/>
  <c r="B57" i="72"/>
  <c r="A10" i="52"/>
  <c r="B55" i="72"/>
  <c r="K4" i="9"/>
  <c r="L22" i="4"/>
  <c r="B61" i="72"/>
  <c r="L20" i="4"/>
  <c r="A5" i="62"/>
  <c r="B72" i="72"/>
  <c r="A4" i="62"/>
  <c r="B70" i="72"/>
  <c r="F33" i="9"/>
  <c r="B37" i="48"/>
  <c r="B2" i="72" s="1"/>
  <c r="B13" i="53"/>
  <c r="B29" i="72"/>
  <c r="R35" i="4"/>
  <c r="Q35" i="4"/>
  <c r="P35" i="4"/>
  <c r="O35" i="4"/>
  <c r="N35" i="4"/>
  <c r="M35" i="4"/>
  <c r="L35" i="4"/>
  <c r="K34" i="4"/>
  <c r="T34" i="4"/>
  <c r="G11" i="1"/>
  <c r="I15" i="4"/>
  <c r="H15" i="4"/>
  <c r="G15" i="4"/>
  <c r="F8" i="1" s="1"/>
  <c r="G8" i="1" s="1"/>
  <c r="E15" i="4"/>
  <c r="D15" i="4"/>
  <c r="F6" i="1" s="1"/>
  <c r="F7" i="1"/>
  <c r="G7" i="1" s="1"/>
  <c r="L21" i="4"/>
  <c r="F19" i="4"/>
  <c r="F2" i="52"/>
  <c r="B50" i="72"/>
  <c r="D2" i="52"/>
  <c r="B46" i="72"/>
  <c r="B8" i="53"/>
  <c r="B23" i="72"/>
  <c r="L4" i="9"/>
  <c r="B17" i="72"/>
  <c r="B15" i="72"/>
  <c r="A3" i="51"/>
  <c r="C8" i="11"/>
  <c r="C5" i="11" s="1"/>
  <c r="B40" i="48"/>
  <c r="B3" i="72"/>
  <c r="I2" i="43"/>
  <c r="N1" i="43" s="1"/>
  <c r="F35" i="4"/>
  <c r="J55" i="39" s="1"/>
  <c r="H34" i="43"/>
  <c r="H35" i="43"/>
  <c r="H36" i="43"/>
  <c r="H37" i="43"/>
  <c r="H38" i="43"/>
  <c r="H39" i="43"/>
  <c r="H33" i="43"/>
  <c r="J20" i="43"/>
  <c r="C18" i="43"/>
  <c r="F15" i="43"/>
  <c r="E15" i="43"/>
  <c r="D15" i="43"/>
  <c r="C15" i="43"/>
  <c r="C10" i="43"/>
  <c r="C11" i="43"/>
  <c r="C9" i="43"/>
  <c r="A7" i="43"/>
  <c r="F33" i="15"/>
  <c r="F61" i="15" s="1"/>
  <c r="M19" i="15"/>
  <c r="O10" i="1"/>
  <c r="B22" i="1"/>
  <c r="G41" i="69" s="1"/>
  <c r="B23" i="1"/>
  <c r="B24" i="1"/>
  <c r="D78" i="9"/>
  <c r="BQ15" i="3"/>
  <c r="BQ16" i="3"/>
  <c r="BQ17" i="3"/>
  <c r="BS15" i="3"/>
  <c r="BS16" i="3"/>
  <c r="BS17" i="3"/>
  <c r="BR15" i="3"/>
  <c r="BR16" i="3"/>
  <c r="BR17" i="3"/>
  <c r="BT15" i="3"/>
  <c r="BT16" i="3"/>
  <c r="BT17" i="3"/>
  <c r="BM15" i="3"/>
  <c r="BM16" i="3"/>
  <c r="BL16" i="3" s="1"/>
  <c r="BM17" i="3"/>
  <c r="BO15" i="3"/>
  <c r="BO16" i="3"/>
  <c r="BO17" i="3"/>
  <c r="BN15" i="3"/>
  <c r="BN16" i="3"/>
  <c r="BN17" i="3"/>
  <c r="BP15" i="3"/>
  <c r="BP16" i="3"/>
  <c r="BP17" i="3"/>
  <c r="E19" i="6"/>
  <c r="E20" i="6"/>
  <c r="E21" i="6"/>
  <c r="K8" i="1"/>
  <c r="M8" i="1" s="1"/>
  <c r="F23" i="15"/>
  <c r="D24" i="15" s="1"/>
  <c r="O8" i="1"/>
  <c r="P8" i="1"/>
  <c r="M13" i="1"/>
  <c r="O13" i="1"/>
  <c r="P13" i="1"/>
  <c r="E22" i="6"/>
  <c r="E23" i="6"/>
  <c r="E24" i="6"/>
  <c r="E25" i="6"/>
  <c r="E26" i="6"/>
  <c r="BB15" i="3"/>
  <c r="BC15" i="3"/>
  <c r="BD15" i="3"/>
  <c r="BE15" i="3"/>
  <c r="BF15" i="3"/>
  <c r="BG15" i="3"/>
  <c r="BH15" i="3"/>
  <c r="BI15" i="3"/>
  <c r="BJ15" i="3"/>
  <c r="BK15" i="3"/>
  <c r="BB16" i="3"/>
  <c r="BC16" i="3"/>
  <c r="BD16" i="3"/>
  <c r="BE16" i="3"/>
  <c r="BF16" i="3"/>
  <c r="BG16" i="3"/>
  <c r="BH16" i="3"/>
  <c r="BI16" i="3"/>
  <c r="BJ16" i="3"/>
  <c r="BK16" i="3"/>
  <c r="BB17" i="3"/>
  <c r="BC17" i="3"/>
  <c r="BD17" i="3"/>
  <c r="BE17" i="3"/>
  <c r="BF17" i="3"/>
  <c r="BG17" i="3"/>
  <c r="BH17" i="3"/>
  <c r="BI17" i="3"/>
  <c r="BJ17" i="3"/>
  <c r="BK17" i="3"/>
  <c r="BC10" i="3"/>
  <c r="BD10" i="3"/>
  <c r="BB10" i="3"/>
  <c r="AC13" i="3"/>
  <c r="H15" i="3"/>
  <c r="AC15" i="3"/>
  <c r="H16" i="3"/>
  <c r="AC16" i="3"/>
  <c r="H17" i="3"/>
  <c r="AC17" i="3"/>
  <c r="AT5" i="3"/>
  <c r="I5" i="3"/>
  <c r="AD5" i="3"/>
  <c r="AH5" i="3"/>
  <c r="AL5" i="3"/>
  <c r="AP5" i="3"/>
  <c r="F35" i="11"/>
  <c r="F36" i="11"/>
  <c r="F38" i="11"/>
  <c r="E37" i="11"/>
  <c r="F20" i="11"/>
  <c r="F21" i="11"/>
  <c r="C21" i="11" s="1"/>
  <c r="F7" i="11"/>
  <c r="C7" i="11"/>
  <c r="F12" i="12"/>
  <c r="F13" i="12"/>
  <c r="F15" i="12"/>
  <c r="E14" i="12"/>
  <c r="BC11" i="3"/>
  <c r="BD11" i="3"/>
  <c r="BB11" i="3"/>
  <c r="E19" i="12"/>
  <c r="E20" i="12"/>
  <c r="E17" i="12"/>
  <c r="F22" i="12"/>
  <c r="F23" i="12"/>
  <c r="C17" i="9"/>
  <c r="D17" i="9"/>
  <c r="I55" i="9"/>
  <c r="F55" i="9"/>
  <c r="O53" i="9"/>
  <c r="D89" i="9"/>
  <c r="C89" i="9"/>
  <c r="C87" i="9"/>
  <c r="G12" i="1"/>
  <c r="J55" i="9"/>
  <c r="B31" i="1"/>
  <c r="B52" i="1"/>
  <c r="M20" i="15" s="1"/>
  <c r="T4" i="1"/>
  <c r="F15" i="15"/>
  <c r="F17" i="15"/>
  <c r="F18" i="15"/>
  <c r="F20" i="15"/>
  <c r="F21" i="15"/>
  <c r="D3" i="35"/>
  <c r="N55" i="9"/>
  <c r="K55" i="9"/>
  <c r="O55" i="9"/>
  <c r="N54" i="9"/>
  <c r="N53" i="9"/>
  <c r="E48" i="9"/>
  <c r="N52" i="9"/>
  <c r="F56" i="9"/>
  <c r="O54" i="9"/>
  <c r="D101" i="9"/>
  <c r="C101" i="9"/>
  <c r="D10" i="53"/>
  <c r="B26" i="72"/>
  <c r="C30" i="40"/>
  <c r="C28" i="40"/>
  <c r="C23" i="39"/>
  <c r="C19" i="40"/>
  <c r="D27" i="9"/>
  <c r="C25" i="9"/>
  <c r="D77" i="9"/>
  <c r="E90" i="9"/>
  <c r="H77" i="9"/>
  <c r="H105" i="9"/>
  <c r="D11" i="53"/>
  <c r="B27" i="72"/>
  <c r="H106" i="9"/>
  <c r="D12" i="53"/>
  <c r="B28" i="72"/>
  <c r="C24" i="9"/>
  <c r="AV14" i="3"/>
  <c r="AW14" i="3"/>
  <c r="AX14" i="3"/>
  <c r="AV15" i="3"/>
  <c r="AW15" i="3"/>
  <c r="AX15" i="3"/>
  <c r="AV16" i="3"/>
  <c r="AW16" i="3"/>
  <c r="AX16" i="3"/>
  <c r="AV17" i="3"/>
  <c r="AW17" i="3"/>
  <c r="AX17" i="3"/>
  <c r="AV493" i="3"/>
  <c r="AW493" i="3"/>
  <c r="AX493" i="3"/>
  <c r="AV494" i="3"/>
  <c r="AW494" i="3"/>
  <c r="AX494" i="3"/>
  <c r="AV495" i="3"/>
  <c r="AW495" i="3"/>
  <c r="AX495" i="3"/>
  <c r="AV496" i="3"/>
  <c r="AW496" i="3"/>
  <c r="AX496" i="3"/>
  <c r="AV497" i="3"/>
  <c r="AW497" i="3"/>
  <c r="AX497" i="3"/>
  <c r="AV498" i="3"/>
  <c r="AW498" i="3"/>
  <c r="AX498" i="3"/>
  <c r="AV499" i="3"/>
  <c r="AW499" i="3"/>
  <c r="AX499" i="3"/>
  <c r="AV500" i="3"/>
  <c r="AW500" i="3"/>
  <c r="AX500" i="3"/>
  <c r="AV501" i="3"/>
  <c r="AW501" i="3"/>
  <c r="AX501" i="3"/>
  <c r="AV502" i="3"/>
  <c r="AW502" i="3"/>
  <c r="AX502" i="3"/>
  <c r="AV503" i="3"/>
  <c r="AW503" i="3"/>
  <c r="AX503" i="3"/>
  <c r="AV504" i="3"/>
  <c r="AW504" i="3"/>
  <c r="AX504" i="3"/>
  <c r="AV505" i="3"/>
  <c r="AW505" i="3"/>
  <c r="AX505" i="3"/>
  <c r="AV506" i="3"/>
  <c r="AW506" i="3"/>
  <c r="AX506" i="3"/>
  <c r="AV507" i="3"/>
  <c r="AW507" i="3"/>
  <c r="AX507" i="3"/>
  <c r="AV508" i="3"/>
  <c r="AW508" i="3"/>
  <c r="AX508" i="3"/>
  <c r="AV509" i="3"/>
  <c r="AW509" i="3"/>
  <c r="AX509" i="3"/>
  <c r="AV510" i="3"/>
  <c r="AW510" i="3"/>
  <c r="AX510" i="3"/>
  <c r="AV511" i="3"/>
  <c r="AW511" i="3"/>
  <c r="AX511" i="3"/>
  <c r="AV512" i="3"/>
  <c r="AW512" i="3"/>
  <c r="AX512" i="3"/>
  <c r="AV513" i="3"/>
  <c r="AW513" i="3"/>
  <c r="AX513" i="3"/>
  <c r="AV514" i="3"/>
  <c r="AW514" i="3"/>
  <c r="AX514" i="3"/>
  <c r="AV515" i="3"/>
  <c r="AW515" i="3"/>
  <c r="AX515" i="3"/>
  <c r="AV516" i="3"/>
  <c r="AW516" i="3"/>
  <c r="AX516" i="3"/>
  <c r="AV517" i="3"/>
  <c r="AW517" i="3"/>
  <c r="AX517" i="3"/>
  <c r="AV518" i="3"/>
  <c r="AW518" i="3"/>
  <c r="AX518" i="3"/>
  <c r="AV519" i="3"/>
  <c r="AW519" i="3"/>
  <c r="AX519" i="3"/>
  <c r="AV520" i="3"/>
  <c r="AW520" i="3"/>
  <c r="AX520" i="3"/>
  <c r="AV521" i="3"/>
  <c r="AW521" i="3"/>
  <c r="AX521" i="3"/>
  <c r="AV522" i="3"/>
  <c r="AW522" i="3"/>
  <c r="AX522" i="3"/>
  <c r="AV523" i="3"/>
  <c r="AW523" i="3"/>
  <c r="AX523" i="3"/>
  <c r="AV524" i="3"/>
  <c r="AW524" i="3"/>
  <c r="AX524" i="3"/>
  <c r="AV525" i="3"/>
  <c r="AW525" i="3"/>
  <c r="AX525" i="3"/>
  <c r="AV526" i="3"/>
  <c r="AW526" i="3"/>
  <c r="AX526" i="3"/>
  <c r="AV527" i="3"/>
  <c r="AW527" i="3"/>
  <c r="AX527" i="3"/>
  <c r="AV528" i="3"/>
  <c r="AW528" i="3"/>
  <c r="AX528" i="3"/>
  <c r="AV529" i="3"/>
  <c r="AW529" i="3"/>
  <c r="AX529" i="3"/>
  <c r="AV530" i="3"/>
  <c r="AW530" i="3"/>
  <c r="AX530" i="3"/>
  <c r="AV531" i="3"/>
  <c r="AW531" i="3"/>
  <c r="AX531" i="3"/>
  <c r="AV532" i="3"/>
  <c r="AW532" i="3"/>
  <c r="AX532" i="3"/>
  <c r="AV533" i="3"/>
  <c r="AW533" i="3"/>
  <c r="AX533" i="3"/>
  <c r="AV534" i="3"/>
  <c r="AW534" i="3"/>
  <c r="AX534" i="3"/>
  <c r="AV535" i="3"/>
  <c r="AW535" i="3"/>
  <c r="AX535" i="3"/>
  <c r="AV536" i="3"/>
  <c r="AW536" i="3"/>
  <c r="AX536" i="3"/>
  <c r="AV537" i="3"/>
  <c r="AW537" i="3"/>
  <c r="AX537" i="3"/>
  <c r="AV538" i="3"/>
  <c r="AW538" i="3"/>
  <c r="AX538" i="3"/>
  <c r="AV539" i="3"/>
  <c r="AW539" i="3"/>
  <c r="AX539" i="3"/>
  <c r="AV540" i="3"/>
  <c r="AW540" i="3"/>
  <c r="AX540" i="3"/>
  <c r="AV541" i="3"/>
  <c r="AW541" i="3"/>
  <c r="AX541" i="3"/>
  <c r="AV542" i="3"/>
  <c r="AW542" i="3"/>
  <c r="AX542" i="3"/>
  <c r="AV543" i="3"/>
  <c r="AW543" i="3"/>
  <c r="AX543" i="3"/>
  <c r="AV544" i="3"/>
  <c r="AW544" i="3"/>
  <c r="AX544" i="3"/>
  <c r="AV545" i="3"/>
  <c r="AW545" i="3"/>
  <c r="AX545" i="3"/>
  <c r="AV546" i="3"/>
  <c r="AW546" i="3"/>
  <c r="AX546" i="3"/>
  <c r="AV547" i="3"/>
  <c r="AW547" i="3"/>
  <c r="AX547" i="3"/>
  <c r="AV548" i="3"/>
  <c r="AW548" i="3"/>
  <c r="AX548" i="3"/>
  <c r="AV549" i="3"/>
  <c r="AW549" i="3"/>
  <c r="AX549" i="3"/>
  <c r="AV550" i="3"/>
  <c r="AW550" i="3"/>
  <c r="AX550" i="3"/>
  <c r="AV551" i="3"/>
  <c r="AW551" i="3"/>
  <c r="AX551" i="3"/>
  <c r="AV552" i="3"/>
  <c r="AW552" i="3"/>
  <c r="AX552" i="3"/>
  <c r="AV553" i="3"/>
  <c r="AW553" i="3"/>
  <c r="AX553" i="3"/>
  <c r="AV554" i="3"/>
  <c r="AW554" i="3"/>
  <c r="AX554" i="3"/>
  <c r="AV555" i="3"/>
  <c r="AW555" i="3"/>
  <c r="AX555" i="3"/>
  <c r="AV556" i="3"/>
  <c r="AW556" i="3"/>
  <c r="AX556" i="3"/>
  <c r="AV557" i="3"/>
  <c r="AW557" i="3"/>
  <c r="AX557" i="3"/>
  <c r="AV558" i="3"/>
  <c r="AW558" i="3"/>
  <c r="AX558" i="3"/>
  <c r="AV559" i="3"/>
  <c r="AW559" i="3"/>
  <c r="AX559" i="3"/>
  <c r="AV560" i="3"/>
  <c r="AW560" i="3"/>
  <c r="AX560" i="3"/>
  <c r="AV561" i="3"/>
  <c r="AW561" i="3"/>
  <c r="AX561" i="3"/>
  <c r="AV562" i="3"/>
  <c r="AW562" i="3"/>
  <c r="AX562" i="3"/>
  <c r="AV563" i="3"/>
  <c r="AW563" i="3"/>
  <c r="AX563" i="3"/>
  <c r="AV564" i="3"/>
  <c r="AW564" i="3"/>
  <c r="AX564" i="3"/>
  <c r="AV565" i="3"/>
  <c r="AW565" i="3"/>
  <c r="AX565" i="3"/>
  <c r="AV566" i="3"/>
  <c r="AW566" i="3"/>
  <c r="AX566" i="3"/>
  <c r="AV567" i="3"/>
  <c r="AW567" i="3"/>
  <c r="AX567" i="3"/>
  <c r="AV568" i="3"/>
  <c r="AW568" i="3"/>
  <c r="AX568" i="3"/>
  <c r="AV569" i="3"/>
  <c r="AW569" i="3"/>
  <c r="AX569" i="3"/>
  <c r="AV570" i="3"/>
  <c r="AW570" i="3"/>
  <c r="AX570" i="3"/>
  <c r="AV571" i="3"/>
  <c r="AW571" i="3"/>
  <c r="AX571" i="3"/>
  <c r="AV572" i="3"/>
  <c r="AW572" i="3"/>
  <c r="AX572" i="3"/>
  <c r="AV573" i="3"/>
  <c r="AW573" i="3"/>
  <c r="AX573" i="3"/>
  <c r="AV574" i="3"/>
  <c r="AW574" i="3"/>
  <c r="AX574" i="3"/>
  <c r="AV575" i="3"/>
  <c r="AW575" i="3"/>
  <c r="AX575" i="3"/>
  <c r="AV576" i="3"/>
  <c r="AW576" i="3"/>
  <c r="AX576" i="3"/>
  <c r="AV577" i="3"/>
  <c r="AW577" i="3"/>
  <c r="AX577" i="3"/>
  <c r="AV578" i="3"/>
  <c r="AW578" i="3"/>
  <c r="AX578" i="3"/>
  <c r="AV579" i="3"/>
  <c r="AW579" i="3"/>
  <c r="AX579" i="3"/>
  <c r="AV580" i="3"/>
  <c r="AW580" i="3"/>
  <c r="AX580" i="3"/>
  <c r="AV581" i="3"/>
  <c r="AW581" i="3"/>
  <c r="AX581" i="3"/>
  <c r="AV582" i="3"/>
  <c r="AW582" i="3"/>
  <c r="AX582" i="3"/>
  <c r="AV583" i="3"/>
  <c r="AW583" i="3"/>
  <c r="AX583" i="3"/>
  <c r="AV584" i="3"/>
  <c r="AW584" i="3"/>
  <c r="AX584" i="3"/>
  <c r="AV585" i="3"/>
  <c r="AW585" i="3"/>
  <c r="AX585" i="3"/>
  <c r="AV586" i="3"/>
  <c r="AW586" i="3"/>
  <c r="AX586" i="3"/>
  <c r="AV587" i="3"/>
  <c r="AW587" i="3"/>
  <c r="AX587" i="3"/>
  <c r="AW13" i="3"/>
  <c r="AX13" i="3"/>
  <c r="AV13" i="3"/>
  <c r="C31" i="4"/>
  <c r="D3" i="36"/>
  <c r="C33" i="4"/>
  <c r="C32" i="4"/>
  <c r="Q29" i="31"/>
  <c r="Q30" i="31"/>
  <c r="Q31" i="31"/>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O29" i="31"/>
  <c r="O30" i="31"/>
  <c r="O31"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M29" i="31"/>
  <c r="M30" i="31"/>
  <c r="M31"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K29" i="31"/>
  <c r="K30" i="31"/>
  <c r="K31"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I29" i="31"/>
  <c r="I30" i="31"/>
  <c r="I31"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G29" i="31"/>
  <c r="G30" i="31"/>
  <c r="G31"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26" i="31"/>
  <c r="G27" i="31"/>
  <c r="G28" i="31"/>
  <c r="E29" i="31"/>
  <c r="E30" i="31"/>
  <c r="E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26" i="31"/>
  <c r="E27" i="31"/>
  <c r="E28" i="31"/>
  <c r="P23" i="31"/>
  <c r="N23" i="31"/>
  <c r="L23" i="31"/>
  <c r="J23" i="31"/>
  <c r="H23" i="31"/>
  <c r="F23" i="31"/>
  <c r="Q25" i="31"/>
  <c r="O25" i="31"/>
  <c r="M25" i="31"/>
  <c r="K25" i="31"/>
  <c r="G25" i="31"/>
  <c r="E25" i="31"/>
  <c r="S422" i="31"/>
  <c r="S420" i="31"/>
  <c r="S418" i="31"/>
  <c r="S416" i="31"/>
  <c r="S414" i="31"/>
  <c r="S412" i="31"/>
  <c r="S410" i="31"/>
  <c r="S408" i="31"/>
  <c r="S406" i="31"/>
  <c r="S404" i="31"/>
  <c r="S402" i="31"/>
  <c r="S400" i="31"/>
  <c r="S398" i="31"/>
  <c r="S396" i="31"/>
  <c r="S394" i="31"/>
  <c r="S392" i="31"/>
  <c r="S390" i="31"/>
  <c r="S388" i="31"/>
  <c r="S386" i="31"/>
  <c r="S384" i="31"/>
  <c r="S382" i="31"/>
  <c r="S380" i="31"/>
  <c r="S378" i="31"/>
  <c r="S376" i="31"/>
  <c r="S374" i="31"/>
  <c r="S372" i="31"/>
  <c r="S370" i="31"/>
  <c r="S368" i="31"/>
  <c r="S366" i="31"/>
  <c r="S364" i="31"/>
  <c r="S362" i="31"/>
  <c r="S360" i="31"/>
  <c r="S358" i="31"/>
  <c r="S356" i="31"/>
  <c r="S354" i="31"/>
  <c r="S352" i="31"/>
  <c r="S350" i="31"/>
  <c r="S348" i="31"/>
  <c r="S346" i="31"/>
  <c r="S344" i="31"/>
  <c r="S342" i="31"/>
  <c r="S340" i="31"/>
  <c r="S338" i="31"/>
  <c r="S336" i="31"/>
  <c r="S334" i="31"/>
  <c r="S332" i="31"/>
  <c r="S330" i="31"/>
  <c r="S328" i="31"/>
  <c r="S326" i="31"/>
  <c r="S324" i="31"/>
  <c r="S322" i="31"/>
  <c r="S424" i="31"/>
  <c r="S320" i="31"/>
  <c r="S318" i="31"/>
  <c r="S316" i="31"/>
  <c r="S314" i="31"/>
  <c r="S312" i="31"/>
  <c r="S310" i="31"/>
  <c r="S308" i="31"/>
  <c r="S306" i="31"/>
  <c r="S304" i="31"/>
  <c r="S302" i="31"/>
  <c r="S300" i="31"/>
  <c r="S298" i="31"/>
  <c r="S296" i="31"/>
  <c r="S294" i="31"/>
  <c r="S292" i="31"/>
  <c r="S290" i="31"/>
  <c r="S288" i="31"/>
  <c r="S286" i="31"/>
  <c r="S284" i="31"/>
  <c r="S282" i="31"/>
  <c r="S280" i="31"/>
  <c r="S278" i="31"/>
  <c r="S276" i="31"/>
  <c r="S274" i="31"/>
  <c r="S272" i="31"/>
  <c r="S270" i="31"/>
  <c r="S268" i="31"/>
  <c r="S266" i="31"/>
  <c r="S264" i="31"/>
  <c r="S262" i="31"/>
  <c r="S260" i="31"/>
  <c r="S258" i="31"/>
  <c r="S256"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225" i="31"/>
  <c r="S224" i="31"/>
  <c r="S223" i="31"/>
  <c r="S429" i="31"/>
  <c r="S428" i="31"/>
  <c r="S427" i="31"/>
  <c r="S426" i="31"/>
  <c r="S425" i="31"/>
  <c r="S222" i="31"/>
  <c r="S221" i="31"/>
  <c r="S220" i="31"/>
  <c r="S219" i="31"/>
  <c r="S218" i="31"/>
  <c r="S217" i="31"/>
  <c r="S216" i="31"/>
  <c r="S215" i="31"/>
  <c r="S214" i="31"/>
  <c r="S213" i="31"/>
  <c r="S212" i="31"/>
  <c r="S211" i="31"/>
  <c r="S210" i="31"/>
  <c r="S209" i="31"/>
  <c r="S208" i="31"/>
  <c r="S207" i="31"/>
  <c r="S206" i="31"/>
  <c r="S205" i="31"/>
  <c r="S204" i="31"/>
  <c r="S203" i="31"/>
  <c r="S202" i="31"/>
  <c r="S201" i="31"/>
  <c r="S200" i="31"/>
  <c r="S199" i="31"/>
  <c r="S198" i="31"/>
  <c r="S197" i="31"/>
  <c r="S196" i="31"/>
  <c r="S195" i="31"/>
  <c r="S194" i="31"/>
  <c r="S193" i="31"/>
  <c r="S192" i="31"/>
  <c r="S191" i="31"/>
  <c r="S190" i="31"/>
  <c r="S189" i="31"/>
  <c r="S188" i="31"/>
  <c r="S187" i="31"/>
  <c r="S186" i="31"/>
  <c r="S185" i="31"/>
  <c r="S184" i="31"/>
  <c r="S183" i="31"/>
  <c r="S182" i="31"/>
  <c r="S181" i="31"/>
  <c r="S180" i="31"/>
  <c r="S179" i="31"/>
  <c r="S178" i="31"/>
  <c r="S177" i="31"/>
  <c r="S176" i="31"/>
  <c r="S175" i="31"/>
  <c r="S174" i="31"/>
  <c r="S173" i="31"/>
  <c r="S172" i="31"/>
  <c r="S171" i="31"/>
  <c r="S170" i="31"/>
  <c r="S169" i="31"/>
  <c r="S168" i="31"/>
  <c r="S167" i="31"/>
  <c r="S166" i="31"/>
  <c r="S165" i="31"/>
  <c r="S164" i="31"/>
  <c r="S163" i="31"/>
  <c r="S162" i="31"/>
  <c r="S161" i="31"/>
  <c r="S160" i="31"/>
  <c r="S159" i="31"/>
  <c r="S158" i="31"/>
  <c r="S157" i="31"/>
  <c r="S156" i="31"/>
  <c r="S155" i="31"/>
  <c r="S154" i="31"/>
  <c r="S153" i="31"/>
  <c r="S152" i="31"/>
  <c r="S151" i="31"/>
  <c r="S150" i="31"/>
  <c r="S149" i="31"/>
  <c r="S148" i="31"/>
  <c r="S147" i="31"/>
  <c r="S146" i="31"/>
  <c r="S145" i="31"/>
  <c r="S144" i="31"/>
  <c r="S143" i="31"/>
  <c r="S142" i="31"/>
  <c r="S141" i="31"/>
  <c r="S140" i="31"/>
  <c r="S139" i="31"/>
  <c r="S138" i="31"/>
  <c r="S137" i="31"/>
  <c r="S136" i="31"/>
  <c r="S135" i="31"/>
  <c r="S134" i="31"/>
  <c r="S133" i="31"/>
  <c r="S132" i="31"/>
  <c r="S131" i="31"/>
  <c r="S130" i="31"/>
  <c r="S129" i="31"/>
  <c r="S128" i="31"/>
  <c r="S127" i="31"/>
  <c r="S126" i="31"/>
  <c r="S125" i="31"/>
  <c r="S124" i="31"/>
  <c r="S123" i="31"/>
  <c r="S497" i="31"/>
  <c r="S496" i="31"/>
  <c r="S495" i="31"/>
  <c r="S494" i="31"/>
  <c r="S493" i="31"/>
  <c r="S492" i="31"/>
  <c r="S491" i="31"/>
  <c r="S490" i="31"/>
  <c r="S489" i="31"/>
  <c r="S488" i="31"/>
  <c r="S487" i="31"/>
  <c r="S486" i="31"/>
  <c r="S485" i="31"/>
  <c r="S484" i="31"/>
  <c r="S483" i="31"/>
  <c r="S482" i="31"/>
  <c r="S481" i="31"/>
  <c r="S480" i="31"/>
  <c r="S479" i="31"/>
  <c r="S478" i="31"/>
  <c r="S477" i="31"/>
  <c r="S476" i="31"/>
  <c r="S475" i="31"/>
  <c r="S474" i="31"/>
  <c r="S473" i="31"/>
  <c r="S472" i="31"/>
  <c r="S471" i="31"/>
  <c r="S470" i="31"/>
  <c r="S469" i="31"/>
  <c r="S468" i="31"/>
  <c r="S444" i="31"/>
  <c r="S443" i="31"/>
  <c r="S442" i="31"/>
  <c r="S441" i="31"/>
  <c r="S440" i="31"/>
  <c r="S439" i="31"/>
  <c r="S438" i="31"/>
  <c r="S437" i="31"/>
  <c r="S436" i="31"/>
  <c r="S435" i="31"/>
  <c r="S434" i="31"/>
  <c r="S433" i="31"/>
  <c r="S432" i="31"/>
  <c r="S431" i="31"/>
  <c r="S430" i="31"/>
  <c r="S122" i="31"/>
  <c r="S121" i="31"/>
  <c r="S120" i="31"/>
  <c r="S119" i="31"/>
  <c r="S118" i="31"/>
  <c r="S117" i="31"/>
  <c r="S116" i="31"/>
  <c r="S115" i="31"/>
  <c r="S114" i="31"/>
  <c r="S113" i="31"/>
  <c r="S112" i="31"/>
  <c r="S506" i="31"/>
  <c r="S504" i="31"/>
  <c r="S502" i="31"/>
  <c r="S500" i="31"/>
  <c r="S498" i="31"/>
  <c r="S467" i="31"/>
  <c r="S466" i="31"/>
  <c r="S465" i="31"/>
  <c r="S464" i="31"/>
  <c r="S463" i="31"/>
  <c r="S462" i="31"/>
  <c r="S461" i="31"/>
  <c r="S460" i="31"/>
  <c r="S459" i="31"/>
  <c r="S458" i="31"/>
  <c r="S457" i="31"/>
  <c r="S456" i="31"/>
  <c r="S455" i="31"/>
  <c r="S454" i="31"/>
  <c r="S453" i="31"/>
  <c r="S452" i="31"/>
  <c r="S451" i="31"/>
  <c r="S450" i="31"/>
  <c r="S54" i="31"/>
  <c r="S53" i="31"/>
  <c r="S52" i="31"/>
  <c r="S51" i="31"/>
  <c r="S50" i="31"/>
  <c r="S49" i="31"/>
  <c r="S48" i="31"/>
  <c r="S47" i="31"/>
  <c r="S46" i="31"/>
  <c r="S45" i="31"/>
  <c r="S44" i="31"/>
  <c r="S43" i="31"/>
  <c r="S42" i="31"/>
  <c r="S41" i="31"/>
  <c r="S40" i="31"/>
  <c r="S39" i="31"/>
  <c r="S38" i="31"/>
  <c r="S37" i="31"/>
  <c r="S36" i="31"/>
  <c r="S35" i="31"/>
  <c r="S34" i="31"/>
  <c r="S33" i="31"/>
  <c r="S32" i="31"/>
  <c r="S77" i="31"/>
  <c r="S76" i="31"/>
  <c r="S75" i="31"/>
  <c r="S74" i="31"/>
  <c r="S73" i="31"/>
  <c r="S72" i="31"/>
  <c r="S71" i="31"/>
  <c r="S70" i="31"/>
  <c r="S69" i="31"/>
  <c r="S68" i="31"/>
  <c r="S67" i="31"/>
  <c r="S66" i="31"/>
  <c r="S65" i="31"/>
  <c r="S64" i="31"/>
  <c r="S63" i="31"/>
  <c r="S62" i="31"/>
  <c r="S61" i="31"/>
  <c r="S60" i="31"/>
  <c r="S59" i="31"/>
  <c r="S58" i="31"/>
  <c r="S57" i="31"/>
  <c r="S56" i="31"/>
  <c r="S55" i="31"/>
  <c r="S24" i="31"/>
  <c r="S97" i="31"/>
  <c r="S96" i="31"/>
  <c r="S95" i="31"/>
  <c r="S94" i="31"/>
  <c r="S93" i="31"/>
  <c r="S92" i="31"/>
  <c r="S91" i="31"/>
  <c r="S90" i="31"/>
  <c r="S89" i="31"/>
  <c r="S88" i="31"/>
  <c r="S87" i="31"/>
  <c r="S86" i="31"/>
  <c r="S85" i="31"/>
  <c r="S84" i="31"/>
  <c r="S83" i="31"/>
  <c r="S82" i="31"/>
  <c r="S81" i="31"/>
  <c r="S80" i="31"/>
  <c r="S79" i="31"/>
  <c r="S78" i="31"/>
  <c r="S31" i="31"/>
  <c r="S30" i="31"/>
  <c r="S29" i="31"/>
  <c r="S98" i="31"/>
  <c r="S99" i="31"/>
  <c r="S100" i="31"/>
  <c r="S101" i="31"/>
  <c r="S102" i="31"/>
  <c r="S103" i="31"/>
  <c r="S104" i="31"/>
  <c r="S105" i="31"/>
  <c r="S106" i="31"/>
  <c r="S107" i="31"/>
  <c r="S108" i="31"/>
  <c r="S109" i="31"/>
  <c r="S110" i="31"/>
  <c r="S111" i="31"/>
  <c r="S445" i="31"/>
  <c r="S446" i="31"/>
  <c r="S447" i="31"/>
  <c r="S448" i="31"/>
  <c r="S449" i="31"/>
  <c r="S507" i="31"/>
  <c r="S508" i="31"/>
  <c r="S509" i="31"/>
  <c r="S510" i="31"/>
  <c r="S511" i="31"/>
  <c r="S512" i="31"/>
  <c r="S513" i="31"/>
  <c r="S514" i="31"/>
  <c r="I48" i="37"/>
  <c r="J48" i="37"/>
  <c r="G48" i="37"/>
  <c r="H48" i="37"/>
  <c r="E48" i="37"/>
  <c r="F48" i="37"/>
  <c r="I55" i="34"/>
  <c r="J55" i="34"/>
  <c r="G55" i="34"/>
  <c r="H55" i="34"/>
  <c r="E55" i="34"/>
  <c r="F55" i="34"/>
  <c r="I48" i="40"/>
  <c r="J48" i="40"/>
  <c r="G48" i="40"/>
  <c r="H48" i="40"/>
  <c r="E48" i="40"/>
  <c r="F48" i="40"/>
  <c r="I53" i="39"/>
  <c r="J53" i="39" s="1"/>
  <c r="G53" i="39"/>
  <c r="H53" i="39" s="1"/>
  <c r="E53" i="39"/>
  <c r="F53" i="39" s="1"/>
  <c r="I42" i="36"/>
  <c r="J42" i="36"/>
  <c r="G42" i="36"/>
  <c r="H42" i="36"/>
  <c r="E42" i="36"/>
  <c r="F42" i="36"/>
  <c r="I44" i="35"/>
  <c r="J44" i="35"/>
  <c r="G44" i="35"/>
  <c r="H44" i="35"/>
  <c r="E44" i="35"/>
  <c r="F44" i="35"/>
  <c r="I54" i="33"/>
  <c r="J54" i="33"/>
  <c r="G54" i="33"/>
  <c r="E54" i="33"/>
  <c r="H493" i="3"/>
  <c r="AC493" i="3"/>
  <c r="BB493" i="3"/>
  <c r="BC493" i="3"/>
  <c r="BD493" i="3"/>
  <c r="BE493" i="3"/>
  <c r="BF493" i="3"/>
  <c r="BG493" i="3"/>
  <c r="BH493" i="3"/>
  <c r="BI493" i="3"/>
  <c r="BJ493" i="3"/>
  <c r="BK493" i="3"/>
  <c r="BM493" i="3"/>
  <c r="BN493" i="3"/>
  <c r="BO493" i="3"/>
  <c r="BP493" i="3"/>
  <c r="BR493" i="3"/>
  <c r="BS493" i="3"/>
  <c r="BT493" i="3"/>
  <c r="H494" i="3"/>
  <c r="AC494" i="3"/>
  <c r="BB494" i="3"/>
  <c r="BC494" i="3"/>
  <c r="BD494" i="3"/>
  <c r="BE494" i="3"/>
  <c r="BF494" i="3"/>
  <c r="BG494" i="3"/>
  <c r="BH494" i="3"/>
  <c r="BI494" i="3"/>
  <c r="BJ494" i="3"/>
  <c r="BK494" i="3"/>
  <c r="BM494" i="3"/>
  <c r="BN494" i="3"/>
  <c r="BO494" i="3"/>
  <c r="BP494" i="3"/>
  <c r="BQ494" i="3"/>
  <c r="BR494" i="3"/>
  <c r="BS494" i="3"/>
  <c r="BT494" i="3"/>
  <c r="H495" i="3"/>
  <c r="AC495" i="3"/>
  <c r="BB495" i="3"/>
  <c r="BC495" i="3"/>
  <c r="BD495" i="3"/>
  <c r="BE495" i="3"/>
  <c r="BF495" i="3"/>
  <c r="BG495" i="3"/>
  <c r="BH495" i="3"/>
  <c r="BI495" i="3"/>
  <c r="BJ495" i="3"/>
  <c r="BK495" i="3"/>
  <c r="BM495" i="3"/>
  <c r="BN495" i="3"/>
  <c r="BO495" i="3"/>
  <c r="BP495" i="3"/>
  <c r="BR495" i="3"/>
  <c r="BS495" i="3"/>
  <c r="BT495" i="3"/>
  <c r="H496" i="3"/>
  <c r="AC496" i="3"/>
  <c r="BB496" i="3"/>
  <c r="BC496" i="3"/>
  <c r="BD496" i="3"/>
  <c r="BE496" i="3"/>
  <c r="BF496" i="3"/>
  <c r="BG496" i="3"/>
  <c r="BH496" i="3"/>
  <c r="BI496" i="3"/>
  <c r="BJ496" i="3"/>
  <c r="BK496" i="3"/>
  <c r="BM496" i="3"/>
  <c r="BN496" i="3"/>
  <c r="BO496" i="3"/>
  <c r="BP496" i="3"/>
  <c r="BQ496" i="3"/>
  <c r="BR496" i="3"/>
  <c r="BS496" i="3"/>
  <c r="BT496" i="3"/>
  <c r="H497" i="3"/>
  <c r="AC497" i="3"/>
  <c r="BB497" i="3"/>
  <c r="BC497" i="3"/>
  <c r="BD497" i="3"/>
  <c r="BE497" i="3"/>
  <c r="BF497" i="3"/>
  <c r="BG497" i="3"/>
  <c r="BH497" i="3"/>
  <c r="BI497" i="3"/>
  <c r="BJ497" i="3"/>
  <c r="BK497" i="3"/>
  <c r="BM497" i="3"/>
  <c r="BN497" i="3"/>
  <c r="BO497" i="3"/>
  <c r="BP497" i="3"/>
  <c r="BR497" i="3"/>
  <c r="BS497" i="3"/>
  <c r="BT497" i="3"/>
  <c r="H498" i="3"/>
  <c r="AC498" i="3"/>
  <c r="BB498" i="3"/>
  <c r="BC498" i="3"/>
  <c r="BD498" i="3"/>
  <c r="BE498" i="3"/>
  <c r="BF498" i="3"/>
  <c r="BG498" i="3"/>
  <c r="BH498" i="3"/>
  <c r="BI498" i="3"/>
  <c r="BJ498" i="3"/>
  <c r="BK498" i="3"/>
  <c r="BM498" i="3"/>
  <c r="BN498" i="3"/>
  <c r="BO498" i="3"/>
  <c r="BP498" i="3"/>
  <c r="BQ498" i="3"/>
  <c r="BR498" i="3"/>
  <c r="BS498" i="3"/>
  <c r="BT498" i="3"/>
  <c r="H499" i="3"/>
  <c r="AC499" i="3"/>
  <c r="BB499" i="3"/>
  <c r="BC499" i="3"/>
  <c r="BD499" i="3"/>
  <c r="BE499" i="3"/>
  <c r="BF499" i="3"/>
  <c r="BG499" i="3"/>
  <c r="BH499" i="3"/>
  <c r="BI499" i="3"/>
  <c r="BJ499" i="3"/>
  <c r="BK499" i="3"/>
  <c r="BM499" i="3"/>
  <c r="BN499" i="3"/>
  <c r="BO499" i="3"/>
  <c r="BP499" i="3"/>
  <c r="BR499" i="3"/>
  <c r="BS499" i="3"/>
  <c r="BT499" i="3"/>
  <c r="H500" i="3"/>
  <c r="AC500" i="3"/>
  <c r="BB500" i="3"/>
  <c r="BC500" i="3"/>
  <c r="BD500" i="3"/>
  <c r="BE500" i="3"/>
  <c r="BF500" i="3"/>
  <c r="BG500" i="3"/>
  <c r="BH500" i="3"/>
  <c r="BI500" i="3"/>
  <c r="BJ500" i="3"/>
  <c r="BK500" i="3"/>
  <c r="BM500" i="3"/>
  <c r="BN500" i="3"/>
  <c r="BO500" i="3"/>
  <c r="BP500" i="3"/>
  <c r="BQ500" i="3"/>
  <c r="BR500" i="3"/>
  <c r="BS500" i="3"/>
  <c r="BT500" i="3"/>
  <c r="H501" i="3"/>
  <c r="AC501" i="3"/>
  <c r="BB501" i="3"/>
  <c r="BC501" i="3"/>
  <c r="BD501" i="3"/>
  <c r="BE501" i="3"/>
  <c r="BF501" i="3"/>
  <c r="BG501" i="3"/>
  <c r="BH501" i="3"/>
  <c r="BI501" i="3"/>
  <c r="BJ501" i="3"/>
  <c r="BK501" i="3"/>
  <c r="BM501" i="3"/>
  <c r="BN501" i="3"/>
  <c r="BO501" i="3"/>
  <c r="BP501" i="3"/>
  <c r="BR501" i="3"/>
  <c r="BS501" i="3"/>
  <c r="BT501" i="3"/>
  <c r="H502" i="3"/>
  <c r="AC502" i="3"/>
  <c r="BB502" i="3"/>
  <c r="BC502" i="3"/>
  <c r="BD502" i="3"/>
  <c r="BE502" i="3"/>
  <c r="BF502" i="3"/>
  <c r="BG502" i="3"/>
  <c r="BH502" i="3"/>
  <c r="BI502" i="3"/>
  <c r="BJ502" i="3"/>
  <c r="BK502" i="3"/>
  <c r="BM502" i="3"/>
  <c r="BN502" i="3"/>
  <c r="BO502" i="3"/>
  <c r="BP502" i="3"/>
  <c r="BQ502" i="3"/>
  <c r="BR502" i="3"/>
  <c r="BS502" i="3"/>
  <c r="BT502" i="3"/>
  <c r="H503" i="3"/>
  <c r="AC503" i="3"/>
  <c r="BB503" i="3"/>
  <c r="BC503" i="3"/>
  <c r="BD503" i="3"/>
  <c r="BE503" i="3"/>
  <c r="BF503" i="3"/>
  <c r="BG503" i="3"/>
  <c r="BH503" i="3"/>
  <c r="BI503" i="3"/>
  <c r="BJ503" i="3"/>
  <c r="BK503" i="3"/>
  <c r="BM503" i="3"/>
  <c r="BN503" i="3"/>
  <c r="BO503" i="3"/>
  <c r="BP503" i="3"/>
  <c r="BR503" i="3"/>
  <c r="BS503" i="3"/>
  <c r="BT503" i="3"/>
  <c r="H504" i="3"/>
  <c r="AC504" i="3"/>
  <c r="BB504" i="3"/>
  <c r="BC504" i="3"/>
  <c r="BD504" i="3"/>
  <c r="BE504" i="3"/>
  <c r="BF504" i="3"/>
  <c r="BG504" i="3"/>
  <c r="BH504" i="3"/>
  <c r="BI504" i="3"/>
  <c r="BJ504" i="3"/>
  <c r="BK504" i="3"/>
  <c r="BM504" i="3"/>
  <c r="BN504" i="3"/>
  <c r="BO504" i="3"/>
  <c r="BP504" i="3"/>
  <c r="BQ504" i="3"/>
  <c r="BR504" i="3"/>
  <c r="BS504" i="3"/>
  <c r="BT504" i="3"/>
  <c r="H505" i="3"/>
  <c r="AC505" i="3"/>
  <c r="BB505" i="3"/>
  <c r="BC505" i="3"/>
  <c r="BD505" i="3"/>
  <c r="BE505" i="3"/>
  <c r="BF505" i="3"/>
  <c r="BG505" i="3"/>
  <c r="BH505" i="3"/>
  <c r="BI505" i="3"/>
  <c r="BJ505" i="3"/>
  <c r="BK505" i="3"/>
  <c r="BM505" i="3"/>
  <c r="BN505" i="3"/>
  <c r="BO505" i="3"/>
  <c r="BP505" i="3"/>
  <c r="BR505" i="3"/>
  <c r="BS505" i="3"/>
  <c r="BT505" i="3"/>
  <c r="H506" i="3"/>
  <c r="AC506" i="3"/>
  <c r="BB506" i="3"/>
  <c r="BC506" i="3"/>
  <c r="BD506" i="3"/>
  <c r="BE506" i="3"/>
  <c r="BF506" i="3"/>
  <c r="BG506" i="3"/>
  <c r="BH506" i="3"/>
  <c r="BI506" i="3"/>
  <c r="BJ506" i="3"/>
  <c r="BK506" i="3"/>
  <c r="BM506" i="3"/>
  <c r="BN506" i="3"/>
  <c r="BO506" i="3"/>
  <c r="BP506" i="3"/>
  <c r="BQ506" i="3"/>
  <c r="BR506" i="3"/>
  <c r="BS506" i="3"/>
  <c r="BT506" i="3"/>
  <c r="H507" i="3"/>
  <c r="AC507" i="3"/>
  <c r="BB507" i="3"/>
  <c r="BC507" i="3"/>
  <c r="BD507" i="3"/>
  <c r="BE507" i="3"/>
  <c r="BF507" i="3"/>
  <c r="BG507" i="3"/>
  <c r="BH507" i="3"/>
  <c r="BI507" i="3"/>
  <c r="BJ507" i="3"/>
  <c r="BK507" i="3"/>
  <c r="BM507" i="3"/>
  <c r="BN507" i="3"/>
  <c r="BO507" i="3"/>
  <c r="BP507" i="3"/>
  <c r="BR507" i="3"/>
  <c r="BS507" i="3"/>
  <c r="BT507" i="3"/>
  <c r="H508" i="3"/>
  <c r="AC508" i="3"/>
  <c r="BB508" i="3"/>
  <c r="BC508" i="3"/>
  <c r="BD508" i="3"/>
  <c r="BE508" i="3"/>
  <c r="BF508" i="3"/>
  <c r="BG508" i="3"/>
  <c r="BH508" i="3"/>
  <c r="BI508" i="3"/>
  <c r="BJ508" i="3"/>
  <c r="BK508" i="3"/>
  <c r="BM508" i="3"/>
  <c r="BN508" i="3"/>
  <c r="BO508" i="3"/>
  <c r="BP508" i="3"/>
  <c r="BQ508" i="3"/>
  <c r="BR508" i="3"/>
  <c r="BS508" i="3"/>
  <c r="BT508" i="3"/>
  <c r="H509" i="3"/>
  <c r="BB509" i="3"/>
  <c r="BC509" i="3"/>
  <c r="BD509" i="3"/>
  <c r="BE509" i="3"/>
  <c r="BF509" i="3"/>
  <c r="BG509" i="3"/>
  <c r="BH509" i="3"/>
  <c r="BI509" i="3"/>
  <c r="BJ509" i="3"/>
  <c r="BK509" i="3"/>
  <c r="BM509" i="3"/>
  <c r="BN509" i="3"/>
  <c r="BO509" i="3"/>
  <c r="BP509" i="3"/>
  <c r="BR509" i="3"/>
  <c r="BS509" i="3"/>
  <c r="BT509" i="3"/>
  <c r="H510" i="3"/>
  <c r="AC510" i="3"/>
  <c r="BB510" i="3"/>
  <c r="BC510" i="3"/>
  <c r="BD510" i="3"/>
  <c r="BE510" i="3"/>
  <c r="BF510" i="3"/>
  <c r="BG510" i="3"/>
  <c r="BH510" i="3"/>
  <c r="BI510" i="3"/>
  <c r="BJ510" i="3"/>
  <c r="BK510" i="3"/>
  <c r="BM510" i="3"/>
  <c r="BN510" i="3"/>
  <c r="BO510" i="3"/>
  <c r="BP510" i="3"/>
  <c r="BQ510" i="3"/>
  <c r="BR510" i="3"/>
  <c r="BS510" i="3"/>
  <c r="BT510" i="3"/>
  <c r="H511" i="3"/>
  <c r="AC511" i="3"/>
  <c r="BB511" i="3"/>
  <c r="BC511" i="3"/>
  <c r="BD511" i="3"/>
  <c r="BE511" i="3"/>
  <c r="BF511" i="3"/>
  <c r="BG511" i="3"/>
  <c r="BH511" i="3"/>
  <c r="BI511" i="3"/>
  <c r="BJ511" i="3"/>
  <c r="BK511" i="3"/>
  <c r="BM511" i="3"/>
  <c r="BN511" i="3"/>
  <c r="BO511" i="3"/>
  <c r="BP511" i="3"/>
  <c r="BR511" i="3"/>
  <c r="BS511" i="3"/>
  <c r="BT511" i="3"/>
  <c r="H512" i="3"/>
  <c r="AC512" i="3"/>
  <c r="BB512" i="3"/>
  <c r="BC512" i="3"/>
  <c r="BD512" i="3"/>
  <c r="BE512" i="3"/>
  <c r="BF512" i="3"/>
  <c r="BG512" i="3"/>
  <c r="BH512" i="3"/>
  <c r="BI512" i="3"/>
  <c r="BJ512" i="3"/>
  <c r="BK512" i="3"/>
  <c r="BM512" i="3"/>
  <c r="BN512" i="3"/>
  <c r="BO512" i="3"/>
  <c r="BP512" i="3"/>
  <c r="BQ512" i="3"/>
  <c r="BR512" i="3"/>
  <c r="BS512" i="3"/>
  <c r="BT512" i="3"/>
  <c r="H513" i="3"/>
  <c r="AC513" i="3"/>
  <c r="BB513" i="3"/>
  <c r="BC513" i="3"/>
  <c r="BD513" i="3"/>
  <c r="BE513" i="3"/>
  <c r="BF513" i="3"/>
  <c r="BG513" i="3"/>
  <c r="BH513" i="3"/>
  <c r="BI513" i="3"/>
  <c r="BJ513" i="3"/>
  <c r="BK513" i="3"/>
  <c r="BM513" i="3"/>
  <c r="BN513" i="3"/>
  <c r="BO513" i="3"/>
  <c r="BP513" i="3"/>
  <c r="BR513" i="3"/>
  <c r="BS513" i="3"/>
  <c r="BT513" i="3"/>
  <c r="H514" i="3"/>
  <c r="AC514" i="3"/>
  <c r="BB514" i="3"/>
  <c r="BC514" i="3"/>
  <c r="BD514" i="3"/>
  <c r="BE514" i="3"/>
  <c r="BF514" i="3"/>
  <c r="BG514" i="3"/>
  <c r="BH514" i="3"/>
  <c r="BI514" i="3"/>
  <c r="BJ514" i="3"/>
  <c r="BK514" i="3"/>
  <c r="BM514" i="3"/>
  <c r="BN514" i="3"/>
  <c r="BO514" i="3"/>
  <c r="BP514" i="3"/>
  <c r="BQ514" i="3"/>
  <c r="BR514" i="3"/>
  <c r="BS514" i="3"/>
  <c r="BT514" i="3"/>
  <c r="H515" i="3"/>
  <c r="AC515" i="3"/>
  <c r="BB515" i="3"/>
  <c r="BC515" i="3"/>
  <c r="BD515" i="3"/>
  <c r="BE515" i="3"/>
  <c r="BF515" i="3"/>
  <c r="BG515" i="3"/>
  <c r="BH515" i="3"/>
  <c r="BI515" i="3"/>
  <c r="BJ515" i="3"/>
  <c r="BK515" i="3"/>
  <c r="BM515" i="3"/>
  <c r="BN515" i="3"/>
  <c r="BO515" i="3"/>
  <c r="BP515" i="3"/>
  <c r="BR515" i="3"/>
  <c r="BS515" i="3"/>
  <c r="BT515" i="3"/>
  <c r="H516" i="3"/>
  <c r="AC516" i="3"/>
  <c r="BB516" i="3"/>
  <c r="BC516" i="3"/>
  <c r="BD516" i="3"/>
  <c r="BE516" i="3"/>
  <c r="BF516" i="3"/>
  <c r="BG516" i="3"/>
  <c r="BH516" i="3"/>
  <c r="BI516" i="3"/>
  <c r="BJ516" i="3"/>
  <c r="BK516" i="3"/>
  <c r="BM516" i="3"/>
  <c r="BN516" i="3"/>
  <c r="BO516" i="3"/>
  <c r="BP516" i="3"/>
  <c r="BQ516" i="3"/>
  <c r="BR516" i="3"/>
  <c r="BS516" i="3"/>
  <c r="BT516" i="3"/>
  <c r="H517" i="3"/>
  <c r="AC517" i="3"/>
  <c r="BB517" i="3"/>
  <c r="BC517" i="3"/>
  <c r="BD517" i="3"/>
  <c r="BE517" i="3"/>
  <c r="BF517" i="3"/>
  <c r="BG517" i="3"/>
  <c r="BH517" i="3"/>
  <c r="BI517" i="3"/>
  <c r="BJ517" i="3"/>
  <c r="BK517" i="3"/>
  <c r="BM517" i="3"/>
  <c r="BN517" i="3"/>
  <c r="BO517" i="3"/>
  <c r="BP517" i="3"/>
  <c r="BR517" i="3"/>
  <c r="BS517" i="3"/>
  <c r="BT517" i="3"/>
  <c r="H518" i="3"/>
  <c r="AC518" i="3"/>
  <c r="BB518" i="3"/>
  <c r="BC518" i="3"/>
  <c r="BD518" i="3"/>
  <c r="BE518" i="3"/>
  <c r="BF518" i="3"/>
  <c r="BG518" i="3"/>
  <c r="BH518" i="3"/>
  <c r="BI518" i="3"/>
  <c r="BJ518" i="3"/>
  <c r="BK518" i="3"/>
  <c r="BM518" i="3"/>
  <c r="BN518" i="3"/>
  <c r="BO518" i="3"/>
  <c r="BP518" i="3"/>
  <c r="BQ518" i="3"/>
  <c r="BR518" i="3"/>
  <c r="BS518" i="3"/>
  <c r="BT518" i="3"/>
  <c r="H519" i="3"/>
  <c r="AC519" i="3"/>
  <c r="BB519" i="3"/>
  <c r="BC519" i="3"/>
  <c r="BD519" i="3"/>
  <c r="BE519" i="3"/>
  <c r="BF519" i="3"/>
  <c r="BG519" i="3"/>
  <c r="BH519" i="3"/>
  <c r="BI519" i="3"/>
  <c r="BJ519" i="3"/>
  <c r="BK519" i="3"/>
  <c r="BM519" i="3"/>
  <c r="BN519" i="3"/>
  <c r="BO519" i="3"/>
  <c r="BP519" i="3"/>
  <c r="BR519" i="3"/>
  <c r="BS519" i="3"/>
  <c r="BT519" i="3"/>
  <c r="H520" i="3"/>
  <c r="AC520" i="3"/>
  <c r="BB520" i="3"/>
  <c r="BC520" i="3"/>
  <c r="BD520" i="3"/>
  <c r="BE520" i="3"/>
  <c r="BF520" i="3"/>
  <c r="BG520" i="3"/>
  <c r="BH520" i="3"/>
  <c r="BI520" i="3"/>
  <c r="BJ520" i="3"/>
  <c r="BK520" i="3"/>
  <c r="BM520" i="3"/>
  <c r="BN520" i="3"/>
  <c r="BO520" i="3"/>
  <c r="BP520" i="3"/>
  <c r="BQ520" i="3"/>
  <c r="BR520" i="3"/>
  <c r="BS520" i="3"/>
  <c r="BT520" i="3"/>
  <c r="H521" i="3"/>
  <c r="BB521" i="3"/>
  <c r="BC521" i="3"/>
  <c r="BD521" i="3"/>
  <c r="BE521" i="3"/>
  <c r="BF521" i="3"/>
  <c r="BG521" i="3"/>
  <c r="BH521" i="3"/>
  <c r="BI521" i="3"/>
  <c r="BJ521" i="3"/>
  <c r="BK521" i="3"/>
  <c r="BM521" i="3"/>
  <c r="BN521" i="3"/>
  <c r="BO521" i="3"/>
  <c r="BP521" i="3"/>
  <c r="BR521" i="3"/>
  <c r="BS521" i="3"/>
  <c r="BT521" i="3"/>
  <c r="H522" i="3"/>
  <c r="AC522" i="3"/>
  <c r="BB522" i="3"/>
  <c r="BC522" i="3"/>
  <c r="BD522" i="3"/>
  <c r="BE522" i="3"/>
  <c r="BF522" i="3"/>
  <c r="BG522" i="3"/>
  <c r="BH522" i="3"/>
  <c r="BI522" i="3"/>
  <c r="BJ522" i="3"/>
  <c r="BK522" i="3"/>
  <c r="BM522" i="3"/>
  <c r="BN522" i="3"/>
  <c r="BO522" i="3"/>
  <c r="BP522" i="3"/>
  <c r="BQ522" i="3"/>
  <c r="BR522" i="3"/>
  <c r="BS522" i="3"/>
  <c r="BT522" i="3"/>
  <c r="H523" i="3"/>
  <c r="AC523" i="3"/>
  <c r="BB523" i="3"/>
  <c r="BC523" i="3"/>
  <c r="BD523" i="3"/>
  <c r="BE523" i="3"/>
  <c r="BF523" i="3"/>
  <c r="BG523" i="3"/>
  <c r="BH523" i="3"/>
  <c r="BI523" i="3"/>
  <c r="BJ523" i="3"/>
  <c r="BK523" i="3"/>
  <c r="BM523" i="3"/>
  <c r="BN523" i="3"/>
  <c r="BO523" i="3"/>
  <c r="BP523" i="3"/>
  <c r="BR523" i="3"/>
  <c r="BS523" i="3"/>
  <c r="BT523" i="3"/>
  <c r="H524" i="3"/>
  <c r="AC524" i="3"/>
  <c r="BB524" i="3"/>
  <c r="BC524" i="3"/>
  <c r="BD524" i="3"/>
  <c r="BE524" i="3"/>
  <c r="BF524" i="3"/>
  <c r="BG524" i="3"/>
  <c r="BH524" i="3"/>
  <c r="BI524" i="3"/>
  <c r="BJ524" i="3"/>
  <c r="BK524" i="3"/>
  <c r="BM524" i="3"/>
  <c r="BN524" i="3"/>
  <c r="BO524" i="3"/>
  <c r="BP524" i="3"/>
  <c r="BQ524" i="3"/>
  <c r="BR524" i="3"/>
  <c r="BS524" i="3"/>
  <c r="BT524" i="3"/>
  <c r="H525" i="3"/>
  <c r="AC525" i="3"/>
  <c r="BB525" i="3"/>
  <c r="BC525" i="3"/>
  <c r="BD525" i="3"/>
  <c r="BE525" i="3"/>
  <c r="BF525" i="3"/>
  <c r="BG525" i="3"/>
  <c r="BH525" i="3"/>
  <c r="BI525" i="3"/>
  <c r="BJ525" i="3"/>
  <c r="BK525" i="3"/>
  <c r="BM525" i="3"/>
  <c r="BN525" i="3"/>
  <c r="BO525" i="3"/>
  <c r="BP525" i="3"/>
  <c r="BR525" i="3"/>
  <c r="BS525" i="3"/>
  <c r="BT525" i="3"/>
  <c r="H526" i="3"/>
  <c r="AC526" i="3"/>
  <c r="G526" i="3"/>
  <c r="BB526" i="3"/>
  <c r="BC526" i="3"/>
  <c r="BD526" i="3"/>
  <c r="BE526" i="3"/>
  <c r="BF526" i="3"/>
  <c r="BG526" i="3"/>
  <c r="BH526" i="3"/>
  <c r="BI526" i="3"/>
  <c r="BJ526" i="3"/>
  <c r="BK526" i="3"/>
  <c r="BM526" i="3"/>
  <c r="BN526" i="3"/>
  <c r="BO526" i="3"/>
  <c r="BP526" i="3"/>
  <c r="BQ526" i="3"/>
  <c r="BR526" i="3"/>
  <c r="BS526" i="3"/>
  <c r="BT526" i="3"/>
  <c r="H527" i="3"/>
  <c r="AC527" i="3"/>
  <c r="BB527" i="3"/>
  <c r="BC527" i="3"/>
  <c r="BD527" i="3"/>
  <c r="BE527" i="3"/>
  <c r="BF527" i="3"/>
  <c r="BG527" i="3"/>
  <c r="BH527" i="3"/>
  <c r="BI527" i="3"/>
  <c r="BJ527" i="3"/>
  <c r="BK527" i="3"/>
  <c r="BM527" i="3"/>
  <c r="BN527" i="3"/>
  <c r="BO527" i="3"/>
  <c r="BP527" i="3"/>
  <c r="BR527" i="3"/>
  <c r="BS527" i="3"/>
  <c r="BT527" i="3"/>
  <c r="H528" i="3"/>
  <c r="AC528" i="3"/>
  <c r="BB528" i="3"/>
  <c r="BC528" i="3"/>
  <c r="BD528" i="3"/>
  <c r="BE528" i="3"/>
  <c r="BF528" i="3"/>
  <c r="BG528" i="3"/>
  <c r="BH528" i="3"/>
  <c r="BI528" i="3"/>
  <c r="BJ528" i="3"/>
  <c r="BK528" i="3"/>
  <c r="BM528" i="3"/>
  <c r="BN528" i="3"/>
  <c r="BO528" i="3"/>
  <c r="BP528" i="3"/>
  <c r="BQ528" i="3"/>
  <c r="BR528" i="3"/>
  <c r="BS528" i="3"/>
  <c r="BT528" i="3"/>
  <c r="H529" i="3"/>
  <c r="AC529" i="3"/>
  <c r="BB529" i="3"/>
  <c r="BC529" i="3"/>
  <c r="BD529" i="3"/>
  <c r="BE529" i="3"/>
  <c r="BF529" i="3"/>
  <c r="BG529" i="3"/>
  <c r="BH529" i="3"/>
  <c r="BI529" i="3"/>
  <c r="BJ529" i="3"/>
  <c r="BK529" i="3"/>
  <c r="BM529" i="3"/>
  <c r="BN529" i="3"/>
  <c r="BO529" i="3"/>
  <c r="BP529" i="3"/>
  <c r="BR529" i="3"/>
  <c r="BS529" i="3"/>
  <c r="BT529" i="3"/>
  <c r="H530" i="3"/>
  <c r="AC530" i="3"/>
  <c r="BB530" i="3"/>
  <c r="BC530" i="3"/>
  <c r="BD530" i="3"/>
  <c r="BE530" i="3"/>
  <c r="BF530" i="3"/>
  <c r="BG530" i="3"/>
  <c r="BH530" i="3"/>
  <c r="BI530" i="3"/>
  <c r="BJ530" i="3"/>
  <c r="BK530" i="3"/>
  <c r="BM530" i="3"/>
  <c r="BN530" i="3"/>
  <c r="BO530" i="3"/>
  <c r="BP530" i="3"/>
  <c r="BQ530" i="3"/>
  <c r="BR530" i="3"/>
  <c r="BS530" i="3"/>
  <c r="BT530" i="3"/>
  <c r="H531" i="3"/>
  <c r="AC531" i="3"/>
  <c r="BB531" i="3"/>
  <c r="BC531" i="3"/>
  <c r="BD531" i="3"/>
  <c r="BE531" i="3"/>
  <c r="BF531" i="3"/>
  <c r="BG531" i="3"/>
  <c r="BH531" i="3"/>
  <c r="BI531" i="3"/>
  <c r="BJ531" i="3"/>
  <c r="BK531" i="3"/>
  <c r="BM531" i="3"/>
  <c r="BN531" i="3"/>
  <c r="BO531" i="3"/>
  <c r="BP531" i="3"/>
  <c r="BR531" i="3"/>
  <c r="BS531" i="3"/>
  <c r="BT531" i="3"/>
  <c r="H532" i="3"/>
  <c r="AC532" i="3"/>
  <c r="BB532" i="3"/>
  <c r="BC532" i="3"/>
  <c r="BD532" i="3"/>
  <c r="BE532" i="3"/>
  <c r="BF532" i="3"/>
  <c r="BG532" i="3"/>
  <c r="BH532" i="3"/>
  <c r="BI532" i="3"/>
  <c r="BJ532" i="3"/>
  <c r="BK532" i="3"/>
  <c r="BM532" i="3"/>
  <c r="BN532" i="3"/>
  <c r="BO532" i="3"/>
  <c r="BP532" i="3"/>
  <c r="BQ532" i="3"/>
  <c r="BR532" i="3"/>
  <c r="BS532" i="3"/>
  <c r="BT532" i="3"/>
  <c r="H533" i="3"/>
  <c r="AC533" i="3"/>
  <c r="BB533" i="3"/>
  <c r="BC533" i="3"/>
  <c r="BD533" i="3"/>
  <c r="BE533" i="3"/>
  <c r="BF533" i="3"/>
  <c r="BG533" i="3"/>
  <c r="BH533" i="3"/>
  <c r="BI533" i="3"/>
  <c r="BJ533" i="3"/>
  <c r="BK533" i="3"/>
  <c r="BM533" i="3"/>
  <c r="BN533" i="3"/>
  <c r="BO533" i="3"/>
  <c r="BP533" i="3"/>
  <c r="BR533" i="3"/>
  <c r="BS533" i="3"/>
  <c r="BT533" i="3"/>
  <c r="H534" i="3"/>
  <c r="AC534" i="3"/>
  <c r="BB534" i="3"/>
  <c r="BC534" i="3"/>
  <c r="BD534" i="3"/>
  <c r="BE534" i="3"/>
  <c r="BF534" i="3"/>
  <c r="BG534" i="3"/>
  <c r="BH534" i="3"/>
  <c r="BI534" i="3"/>
  <c r="BJ534" i="3"/>
  <c r="BK534" i="3"/>
  <c r="BM534" i="3"/>
  <c r="BN534" i="3"/>
  <c r="BO534" i="3"/>
  <c r="BP534" i="3"/>
  <c r="BQ534" i="3"/>
  <c r="BR534" i="3"/>
  <c r="BS534" i="3"/>
  <c r="BT534" i="3"/>
  <c r="H535" i="3"/>
  <c r="AC535" i="3"/>
  <c r="BB535" i="3"/>
  <c r="BC535" i="3"/>
  <c r="BD535" i="3"/>
  <c r="BE535" i="3"/>
  <c r="BF535" i="3"/>
  <c r="BG535" i="3"/>
  <c r="BH535" i="3"/>
  <c r="BI535" i="3"/>
  <c r="BJ535" i="3"/>
  <c r="BK535" i="3"/>
  <c r="BM535" i="3"/>
  <c r="BN535" i="3"/>
  <c r="BO535" i="3"/>
  <c r="BP535" i="3"/>
  <c r="BR535" i="3"/>
  <c r="BS535" i="3"/>
  <c r="BT535" i="3"/>
  <c r="H536" i="3"/>
  <c r="AC536" i="3"/>
  <c r="BB536" i="3"/>
  <c r="BC536" i="3"/>
  <c r="BD536" i="3"/>
  <c r="BE536" i="3"/>
  <c r="BF536" i="3"/>
  <c r="BG536" i="3"/>
  <c r="BH536" i="3"/>
  <c r="BI536" i="3"/>
  <c r="BJ536" i="3"/>
  <c r="BK536" i="3"/>
  <c r="BM536" i="3"/>
  <c r="BN536" i="3"/>
  <c r="BO536" i="3"/>
  <c r="BP536" i="3"/>
  <c r="BQ536" i="3"/>
  <c r="BR536" i="3"/>
  <c r="BS536" i="3"/>
  <c r="BT536" i="3"/>
  <c r="H537" i="3"/>
  <c r="AC537" i="3"/>
  <c r="BB537" i="3"/>
  <c r="BC537" i="3"/>
  <c r="BD537" i="3"/>
  <c r="BE537" i="3"/>
  <c r="BF537" i="3"/>
  <c r="BG537" i="3"/>
  <c r="BH537" i="3"/>
  <c r="BI537" i="3"/>
  <c r="BJ537" i="3"/>
  <c r="BK537" i="3"/>
  <c r="BM537" i="3"/>
  <c r="BN537" i="3"/>
  <c r="BO537" i="3"/>
  <c r="BP537" i="3"/>
  <c r="BR537" i="3"/>
  <c r="BS537" i="3"/>
  <c r="BT537" i="3"/>
  <c r="H538" i="3"/>
  <c r="AC538" i="3"/>
  <c r="BB538" i="3"/>
  <c r="BC538" i="3"/>
  <c r="BD538" i="3"/>
  <c r="BE538" i="3"/>
  <c r="BF538" i="3"/>
  <c r="BG538" i="3"/>
  <c r="BH538" i="3"/>
  <c r="BI538" i="3"/>
  <c r="BJ538" i="3"/>
  <c r="BK538" i="3"/>
  <c r="BM538" i="3"/>
  <c r="BN538" i="3"/>
  <c r="BO538" i="3"/>
  <c r="BP538" i="3"/>
  <c r="BQ538" i="3"/>
  <c r="BR538" i="3"/>
  <c r="BS538" i="3"/>
  <c r="BT538" i="3"/>
  <c r="H539" i="3"/>
  <c r="AC539" i="3"/>
  <c r="BB539" i="3"/>
  <c r="BC539" i="3"/>
  <c r="BD539" i="3"/>
  <c r="BE539" i="3"/>
  <c r="BF539" i="3"/>
  <c r="BG539" i="3"/>
  <c r="BH539" i="3"/>
  <c r="BI539" i="3"/>
  <c r="BJ539" i="3"/>
  <c r="BK539" i="3"/>
  <c r="BM539" i="3"/>
  <c r="BN539" i="3"/>
  <c r="BO539" i="3"/>
  <c r="BP539" i="3"/>
  <c r="BR539" i="3"/>
  <c r="BS539" i="3"/>
  <c r="BT539" i="3"/>
  <c r="H540" i="3"/>
  <c r="AC540" i="3"/>
  <c r="BB540" i="3"/>
  <c r="BC540" i="3"/>
  <c r="BD540" i="3"/>
  <c r="BE540" i="3"/>
  <c r="BF540" i="3"/>
  <c r="BG540" i="3"/>
  <c r="BH540" i="3"/>
  <c r="BI540" i="3"/>
  <c r="BJ540" i="3"/>
  <c r="BK540" i="3"/>
  <c r="BM540" i="3"/>
  <c r="BN540" i="3"/>
  <c r="BO540" i="3"/>
  <c r="BP540" i="3"/>
  <c r="BQ540" i="3"/>
  <c r="BR540" i="3"/>
  <c r="BS540" i="3"/>
  <c r="BT540" i="3"/>
  <c r="H541" i="3"/>
  <c r="AC541" i="3"/>
  <c r="BB541" i="3"/>
  <c r="BC541" i="3"/>
  <c r="BD541" i="3"/>
  <c r="BE541" i="3"/>
  <c r="BF541" i="3"/>
  <c r="BG541" i="3"/>
  <c r="BH541" i="3"/>
  <c r="BI541" i="3"/>
  <c r="BJ541" i="3"/>
  <c r="BK541" i="3"/>
  <c r="BM541" i="3"/>
  <c r="BN541" i="3"/>
  <c r="BO541" i="3"/>
  <c r="BP541" i="3"/>
  <c r="BR541" i="3"/>
  <c r="BS541" i="3"/>
  <c r="BT541" i="3"/>
  <c r="H542" i="3"/>
  <c r="AC542" i="3"/>
  <c r="G542" i="3"/>
  <c r="BB542" i="3"/>
  <c r="BC542" i="3"/>
  <c r="BD542" i="3"/>
  <c r="BE542" i="3"/>
  <c r="BF542" i="3"/>
  <c r="BG542" i="3"/>
  <c r="BH542" i="3"/>
  <c r="BI542" i="3"/>
  <c r="BJ542" i="3"/>
  <c r="BK542" i="3"/>
  <c r="BM542" i="3"/>
  <c r="BN542" i="3"/>
  <c r="BO542" i="3"/>
  <c r="BP542" i="3"/>
  <c r="BQ542" i="3"/>
  <c r="BR542" i="3"/>
  <c r="BS542" i="3"/>
  <c r="BT542" i="3"/>
  <c r="H543" i="3"/>
  <c r="AC543" i="3"/>
  <c r="BB543" i="3"/>
  <c r="BC543" i="3"/>
  <c r="BD543" i="3"/>
  <c r="BE543" i="3"/>
  <c r="BF543" i="3"/>
  <c r="BG543" i="3"/>
  <c r="BH543" i="3"/>
  <c r="BI543" i="3"/>
  <c r="BJ543" i="3"/>
  <c r="BK543" i="3"/>
  <c r="BM543" i="3"/>
  <c r="BN543" i="3"/>
  <c r="BO543" i="3"/>
  <c r="BP543" i="3"/>
  <c r="BR543" i="3"/>
  <c r="BS543" i="3"/>
  <c r="BT543" i="3"/>
  <c r="H544" i="3"/>
  <c r="AC544" i="3"/>
  <c r="BB544" i="3"/>
  <c r="BC544" i="3"/>
  <c r="BD544" i="3"/>
  <c r="BE544" i="3"/>
  <c r="BF544" i="3"/>
  <c r="BG544" i="3"/>
  <c r="BH544" i="3"/>
  <c r="BI544" i="3"/>
  <c r="BJ544" i="3"/>
  <c r="BK544" i="3"/>
  <c r="BM544" i="3"/>
  <c r="BN544" i="3"/>
  <c r="BO544" i="3"/>
  <c r="BP544" i="3"/>
  <c r="BQ544" i="3"/>
  <c r="BR544" i="3"/>
  <c r="BS544" i="3"/>
  <c r="BT544" i="3"/>
  <c r="H545" i="3"/>
  <c r="AC545" i="3"/>
  <c r="BB545" i="3"/>
  <c r="BC545" i="3"/>
  <c r="BD545" i="3"/>
  <c r="BE545" i="3"/>
  <c r="BF545" i="3"/>
  <c r="BG545" i="3"/>
  <c r="BH545" i="3"/>
  <c r="BI545" i="3"/>
  <c r="BJ545" i="3"/>
  <c r="BK545" i="3"/>
  <c r="BM545" i="3"/>
  <c r="BN545" i="3"/>
  <c r="BO545" i="3"/>
  <c r="BP545" i="3"/>
  <c r="BR545" i="3"/>
  <c r="BS545" i="3"/>
  <c r="BT545" i="3"/>
  <c r="H546" i="3"/>
  <c r="AC546" i="3"/>
  <c r="BB546" i="3"/>
  <c r="BC546" i="3"/>
  <c r="BD546" i="3"/>
  <c r="BE546" i="3"/>
  <c r="BF546" i="3"/>
  <c r="BG546" i="3"/>
  <c r="BH546" i="3"/>
  <c r="BI546" i="3"/>
  <c r="BJ546" i="3"/>
  <c r="BK546" i="3"/>
  <c r="BM546" i="3"/>
  <c r="BN546" i="3"/>
  <c r="BO546" i="3"/>
  <c r="BP546" i="3"/>
  <c r="BQ546" i="3"/>
  <c r="BR546" i="3"/>
  <c r="BS546" i="3"/>
  <c r="BT546" i="3"/>
  <c r="H547" i="3"/>
  <c r="AC547" i="3"/>
  <c r="BB547" i="3"/>
  <c r="BC547" i="3"/>
  <c r="BD547" i="3"/>
  <c r="BE547" i="3"/>
  <c r="BF547" i="3"/>
  <c r="BG547" i="3"/>
  <c r="BH547" i="3"/>
  <c r="BI547" i="3"/>
  <c r="BJ547" i="3"/>
  <c r="BK547" i="3"/>
  <c r="BM547" i="3"/>
  <c r="BN547" i="3"/>
  <c r="BO547" i="3"/>
  <c r="BP547" i="3"/>
  <c r="BR547" i="3"/>
  <c r="BS547" i="3"/>
  <c r="BT547" i="3"/>
  <c r="H548" i="3"/>
  <c r="AC548" i="3"/>
  <c r="BB548" i="3"/>
  <c r="BC548" i="3"/>
  <c r="BD548" i="3"/>
  <c r="BE548" i="3"/>
  <c r="BF548" i="3"/>
  <c r="BG548" i="3"/>
  <c r="BH548" i="3"/>
  <c r="BI548" i="3"/>
  <c r="BJ548" i="3"/>
  <c r="BK548" i="3"/>
  <c r="BM548" i="3"/>
  <c r="BN548" i="3"/>
  <c r="BO548" i="3"/>
  <c r="BP548" i="3"/>
  <c r="BL548" i="3"/>
  <c r="AZ548" i="3"/>
  <c r="BQ548" i="3"/>
  <c r="BR548" i="3"/>
  <c r="BS548" i="3"/>
  <c r="BT548" i="3"/>
  <c r="H549" i="3"/>
  <c r="AC549" i="3"/>
  <c r="BB549" i="3"/>
  <c r="BC549" i="3"/>
  <c r="BD549" i="3"/>
  <c r="BE549" i="3"/>
  <c r="BF549" i="3"/>
  <c r="BG549" i="3"/>
  <c r="BH549" i="3"/>
  <c r="BI549" i="3"/>
  <c r="BJ549" i="3"/>
  <c r="BK549" i="3"/>
  <c r="BM549" i="3"/>
  <c r="BN549" i="3"/>
  <c r="BO549" i="3"/>
  <c r="BP549" i="3"/>
  <c r="BR549" i="3"/>
  <c r="BS549" i="3"/>
  <c r="BT549" i="3"/>
  <c r="H550" i="3"/>
  <c r="AC550" i="3"/>
  <c r="BB550" i="3"/>
  <c r="BA550" i="3"/>
  <c r="BC550" i="3"/>
  <c r="BD550" i="3"/>
  <c r="BE550" i="3"/>
  <c r="BF550" i="3"/>
  <c r="BG550" i="3"/>
  <c r="BH550" i="3"/>
  <c r="BI550" i="3"/>
  <c r="BJ550" i="3"/>
  <c r="BK550" i="3"/>
  <c r="BM550" i="3"/>
  <c r="BN550" i="3"/>
  <c r="BO550" i="3"/>
  <c r="BL550" i="3"/>
  <c r="BP550" i="3"/>
  <c r="BQ550" i="3"/>
  <c r="BR550" i="3"/>
  <c r="BS550" i="3"/>
  <c r="BT550" i="3"/>
  <c r="H551" i="3"/>
  <c r="G551" i="3"/>
  <c r="AC551" i="3"/>
  <c r="BB551" i="3"/>
  <c r="BC551" i="3"/>
  <c r="BD551" i="3"/>
  <c r="BA551" i="3"/>
  <c r="BE551" i="3"/>
  <c r="BF551" i="3"/>
  <c r="BG551" i="3"/>
  <c r="BH551" i="3"/>
  <c r="BI551" i="3"/>
  <c r="BJ551" i="3"/>
  <c r="BK551" i="3"/>
  <c r="BM551" i="3"/>
  <c r="BN551" i="3"/>
  <c r="BO551" i="3"/>
  <c r="BP551" i="3"/>
  <c r="BR551" i="3"/>
  <c r="BS551" i="3"/>
  <c r="BT551" i="3"/>
  <c r="H552" i="3"/>
  <c r="AC552" i="3"/>
  <c r="G552" i="3"/>
  <c r="BB552" i="3"/>
  <c r="BC552" i="3"/>
  <c r="BD552" i="3"/>
  <c r="BE552" i="3"/>
  <c r="BF552" i="3"/>
  <c r="BG552" i="3"/>
  <c r="BH552" i="3"/>
  <c r="BI552" i="3"/>
  <c r="BJ552" i="3"/>
  <c r="BK552" i="3"/>
  <c r="BM552" i="3"/>
  <c r="BN552" i="3"/>
  <c r="BO552" i="3"/>
  <c r="BP552" i="3"/>
  <c r="BQ552" i="3"/>
  <c r="BR552" i="3"/>
  <c r="BS552" i="3"/>
  <c r="BT552" i="3"/>
  <c r="H553" i="3"/>
  <c r="AC553" i="3"/>
  <c r="BB553" i="3"/>
  <c r="BC553" i="3"/>
  <c r="BD553" i="3"/>
  <c r="BE553" i="3"/>
  <c r="BF553" i="3"/>
  <c r="BG553" i="3"/>
  <c r="BH553" i="3"/>
  <c r="BI553" i="3"/>
  <c r="BJ553" i="3"/>
  <c r="BK553" i="3"/>
  <c r="BM553" i="3"/>
  <c r="BN553" i="3"/>
  <c r="BO553" i="3"/>
  <c r="BP553" i="3"/>
  <c r="BR553" i="3"/>
  <c r="BS553" i="3"/>
  <c r="BT553" i="3"/>
  <c r="H554" i="3"/>
  <c r="AC554" i="3"/>
  <c r="BB554" i="3"/>
  <c r="BC554" i="3"/>
  <c r="BD554" i="3"/>
  <c r="BE554" i="3"/>
  <c r="BF554" i="3"/>
  <c r="BG554" i="3"/>
  <c r="BH554" i="3"/>
  <c r="BI554" i="3"/>
  <c r="BJ554" i="3"/>
  <c r="BK554" i="3"/>
  <c r="BM554" i="3"/>
  <c r="BN554" i="3"/>
  <c r="BO554" i="3"/>
  <c r="BP554" i="3"/>
  <c r="BQ554" i="3"/>
  <c r="BR554" i="3"/>
  <c r="BS554" i="3"/>
  <c r="BT554" i="3"/>
  <c r="H555" i="3"/>
  <c r="AC555" i="3"/>
  <c r="BB555" i="3"/>
  <c r="BC555" i="3"/>
  <c r="BD555" i="3"/>
  <c r="BE555" i="3"/>
  <c r="BF555" i="3"/>
  <c r="BG555" i="3"/>
  <c r="BH555" i="3"/>
  <c r="BI555" i="3"/>
  <c r="BJ555" i="3"/>
  <c r="BK555" i="3"/>
  <c r="BM555" i="3"/>
  <c r="BN555" i="3"/>
  <c r="BO555" i="3"/>
  <c r="BP555" i="3"/>
  <c r="BR555" i="3"/>
  <c r="BS555" i="3"/>
  <c r="BT555" i="3"/>
  <c r="H556" i="3"/>
  <c r="AC556" i="3"/>
  <c r="G556" i="3"/>
  <c r="BB556" i="3"/>
  <c r="BC556" i="3"/>
  <c r="BD556" i="3"/>
  <c r="BE556" i="3"/>
  <c r="BF556" i="3"/>
  <c r="BG556" i="3"/>
  <c r="BH556" i="3"/>
  <c r="BI556" i="3"/>
  <c r="BJ556" i="3"/>
  <c r="BK556" i="3"/>
  <c r="BM556" i="3"/>
  <c r="BN556" i="3"/>
  <c r="BO556" i="3"/>
  <c r="BP556" i="3"/>
  <c r="BQ556" i="3"/>
  <c r="BR556" i="3"/>
  <c r="BS556" i="3"/>
  <c r="BT556" i="3"/>
  <c r="H557" i="3"/>
  <c r="BB557" i="3"/>
  <c r="BC557" i="3"/>
  <c r="BD557" i="3"/>
  <c r="BE557" i="3"/>
  <c r="BF557" i="3"/>
  <c r="BG557" i="3"/>
  <c r="BH557" i="3"/>
  <c r="BI557" i="3"/>
  <c r="BJ557" i="3"/>
  <c r="BK557" i="3"/>
  <c r="BM557" i="3"/>
  <c r="BN557" i="3"/>
  <c r="BO557" i="3"/>
  <c r="BP557" i="3"/>
  <c r="BR557" i="3"/>
  <c r="BS557" i="3"/>
  <c r="BT557" i="3"/>
  <c r="H558" i="3"/>
  <c r="AC558" i="3"/>
  <c r="G558" i="3"/>
  <c r="BB558" i="3"/>
  <c r="BC558" i="3"/>
  <c r="BD558" i="3"/>
  <c r="BE558" i="3"/>
  <c r="BF558" i="3"/>
  <c r="BG558" i="3"/>
  <c r="BH558" i="3"/>
  <c r="BI558" i="3"/>
  <c r="BJ558" i="3"/>
  <c r="BK558" i="3"/>
  <c r="BM558" i="3"/>
  <c r="BN558" i="3"/>
  <c r="BO558" i="3"/>
  <c r="BP558" i="3"/>
  <c r="BQ558" i="3"/>
  <c r="BR558" i="3"/>
  <c r="BS558" i="3"/>
  <c r="BT558" i="3"/>
  <c r="H559" i="3"/>
  <c r="AC559" i="3"/>
  <c r="BB559" i="3"/>
  <c r="BC559" i="3"/>
  <c r="BD559" i="3"/>
  <c r="BE559" i="3"/>
  <c r="BF559" i="3"/>
  <c r="BG559" i="3"/>
  <c r="BH559" i="3"/>
  <c r="BI559" i="3"/>
  <c r="BJ559" i="3"/>
  <c r="BK559" i="3"/>
  <c r="BM559" i="3"/>
  <c r="BN559" i="3"/>
  <c r="BO559" i="3"/>
  <c r="BP559" i="3"/>
  <c r="BR559" i="3"/>
  <c r="BS559" i="3"/>
  <c r="BT559" i="3"/>
  <c r="H560" i="3"/>
  <c r="AC560" i="3"/>
  <c r="BB560" i="3"/>
  <c r="BC560" i="3"/>
  <c r="BD560" i="3"/>
  <c r="BE560" i="3"/>
  <c r="BF560" i="3"/>
  <c r="BG560" i="3"/>
  <c r="BH560" i="3"/>
  <c r="BI560" i="3"/>
  <c r="BJ560" i="3"/>
  <c r="BK560" i="3"/>
  <c r="BM560" i="3"/>
  <c r="BN560" i="3"/>
  <c r="BO560" i="3"/>
  <c r="BP560" i="3"/>
  <c r="BQ560" i="3"/>
  <c r="BR560" i="3"/>
  <c r="BS560" i="3"/>
  <c r="BT560" i="3"/>
  <c r="H561" i="3"/>
  <c r="AC561" i="3"/>
  <c r="BB561" i="3"/>
  <c r="BC561" i="3"/>
  <c r="BD561" i="3"/>
  <c r="BE561" i="3"/>
  <c r="BF561" i="3"/>
  <c r="BG561" i="3"/>
  <c r="BH561" i="3"/>
  <c r="BI561" i="3"/>
  <c r="BJ561" i="3"/>
  <c r="BK561" i="3"/>
  <c r="BM561" i="3"/>
  <c r="BN561" i="3"/>
  <c r="BO561" i="3"/>
  <c r="BP561" i="3"/>
  <c r="BR561" i="3"/>
  <c r="BS561" i="3"/>
  <c r="BT561" i="3"/>
  <c r="H562" i="3"/>
  <c r="AC562" i="3"/>
  <c r="G562" i="3"/>
  <c r="BB562" i="3"/>
  <c r="BC562" i="3"/>
  <c r="BD562" i="3"/>
  <c r="BE562" i="3"/>
  <c r="BF562" i="3"/>
  <c r="BG562" i="3"/>
  <c r="BH562" i="3"/>
  <c r="BI562" i="3"/>
  <c r="BJ562" i="3"/>
  <c r="BK562" i="3"/>
  <c r="BM562" i="3"/>
  <c r="BN562" i="3"/>
  <c r="BO562" i="3"/>
  <c r="BP562" i="3"/>
  <c r="BQ562" i="3"/>
  <c r="BR562" i="3"/>
  <c r="BS562" i="3"/>
  <c r="BT562" i="3"/>
  <c r="H563" i="3"/>
  <c r="AC563" i="3"/>
  <c r="BB563" i="3"/>
  <c r="BC563" i="3"/>
  <c r="BD563" i="3"/>
  <c r="BE563" i="3"/>
  <c r="BF563" i="3"/>
  <c r="BG563" i="3"/>
  <c r="BH563" i="3"/>
  <c r="BI563" i="3"/>
  <c r="BJ563" i="3"/>
  <c r="BK563" i="3"/>
  <c r="BM563" i="3"/>
  <c r="BN563" i="3"/>
  <c r="BO563" i="3"/>
  <c r="BP563" i="3"/>
  <c r="BR563" i="3"/>
  <c r="BS563" i="3"/>
  <c r="BT563" i="3"/>
  <c r="H564" i="3"/>
  <c r="AC564" i="3"/>
  <c r="BB564" i="3"/>
  <c r="BC564" i="3"/>
  <c r="BD564" i="3"/>
  <c r="BE564" i="3"/>
  <c r="BF564" i="3"/>
  <c r="BG564" i="3"/>
  <c r="BH564" i="3"/>
  <c r="BI564" i="3"/>
  <c r="BJ564" i="3"/>
  <c r="BK564" i="3"/>
  <c r="BM564" i="3"/>
  <c r="BN564" i="3"/>
  <c r="BO564" i="3"/>
  <c r="BP564" i="3"/>
  <c r="BQ564" i="3"/>
  <c r="BR564" i="3"/>
  <c r="BS564" i="3"/>
  <c r="BT564" i="3"/>
  <c r="H565" i="3"/>
  <c r="AC565" i="3"/>
  <c r="BB565" i="3"/>
  <c r="BC565" i="3"/>
  <c r="BD565" i="3"/>
  <c r="BE565" i="3"/>
  <c r="BF565" i="3"/>
  <c r="BG565" i="3"/>
  <c r="BH565" i="3"/>
  <c r="BI565" i="3"/>
  <c r="BJ565" i="3"/>
  <c r="BK565" i="3"/>
  <c r="BM565" i="3"/>
  <c r="BN565" i="3"/>
  <c r="BO565" i="3"/>
  <c r="BP565" i="3"/>
  <c r="BR565" i="3"/>
  <c r="BS565" i="3"/>
  <c r="BT565" i="3"/>
  <c r="H566" i="3"/>
  <c r="AC566" i="3"/>
  <c r="G566" i="3"/>
  <c r="BB566" i="3"/>
  <c r="BC566" i="3"/>
  <c r="BD566" i="3"/>
  <c r="BE566" i="3"/>
  <c r="BF566" i="3"/>
  <c r="BG566" i="3"/>
  <c r="BH566" i="3"/>
  <c r="BI566" i="3"/>
  <c r="BJ566" i="3"/>
  <c r="BK566" i="3"/>
  <c r="BM566" i="3"/>
  <c r="BN566" i="3"/>
  <c r="BO566" i="3"/>
  <c r="BP566" i="3"/>
  <c r="BQ566" i="3"/>
  <c r="BR566" i="3"/>
  <c r="BS566" i="3"/>
  <c r="BT566" i="3"/>
  <c r="H567" i="3"/>
  <c r="AC567" i="3"/>
  <c r="BB567" i="3"/>
  <c r="BC567" i="3"/>
  <c r="BD567" i="3"/>
  <c r="BE567" i="3"/>
  <c r="BF567" i="3"/>
  <c r="BG567" i="3"/>
  <c r="BH567" i="3"/>
  <c r="BI567" i="3"/>
  <c r="BJ567" i="3"/>
  <c r="BK567" i="3"/>
  <c r="BM567" i="3"/>
  <c r="BN567" i="3"/>
  <c r="BO567" i="3"/>
  <c r="BP567" i="3"/>
  <c r="BR567" i="3"/>
  <c r="BS567" i="3"/>
  <c r="BT567" i="3"/>
  <c r="H568" i="3"/>
  <c r="AC568" i="3"/>
  <c r="BB568" i="3"/>
  <c r="BC568" i="3"/>
  <c r="BD568" i="3"/>
  <c r="BE568" i="3"/>
  <c r="BF568" i="3"/>
  <c r="BG568" i="3"/>
  <c r="BH568" i="3"/>
  <c r="BI568" i="3"/>
  <c r="BJ568" i="3"/>
  <c r="BK568" i="3"/>
  <c r="BM568" i="3"/>
  <c r="BN568" i="3"/>
  <c r="BO568" i="3"/>
  <c r="BP568" i="3"/>
  <c r="BQ568" i="3"/>
  <c r="BR568" i="3"/>
  <c r="BS568" i="3"/>
  <c r="BT568" i="3"/>
  <c r="H569" i="3"/>
  <c r="AC569" i="3"/>
  <c r="BB569" i="3"/>
  <c r="BC569" i="3"/>
  <c r="BD569" i="3"/>
  <c r="BE569" i="3"/>
  <c r="BF569" i="3"/>
  <c r="BG569" i="3"/>
  <c r="BH569" i="3"/>
  <c r="BI569" i="3"/>
  <c r="BJ569" i="3"/>
  <c r="BK569" i="3"/>
  <c r="BM569" i="3"/>
  <c r="BN569" i="3"/>
  <c r="BO569" i="3"/>
  <c r="BP569" i="3"/>
  <c r="BR569" i="3"/>
  <c r="BS569" i="3"/>
  <c r="BT569" i="3"/>
  <c r="H570" i="3"/>
  <c r="AC570" i="3"/>
  <c r="G570" i="3"/>
  <c r="BB570" i="3"/>
  <c r="BC570" i="3"/>
  <c r="BD570" i="3"/>
  <c r="BE570" i="3"/>
  <c r="BF570" i="3"/>
  <c r="BG570" i="3"/>
  <c r="BH570" i="3"/>
  <c r="BI570" i="3"/>
  <c r="BJ570" i="3"/>
  <c r="BK570" i="3"/>
  <c r="BM570" i="3"/>
  <c r="BN570" i="3"/>
  <c r="BO570" i="3"/>
  <c r="BP570" i="3"/>
  <c r="BQ570" i="3"/>
  <c r="BR570" i="3"/>
  <c r="BS570" i="3"/>
  <c r="BT570" i="3"/>
  <c r="H571" i="3"/>
  <c r="AC571" i="3"/>
  <c r="BB571" i="3"/>
  <c r="BC571" i="3"/>
  <c r="BD571" i="3"/>
  <c r="BE571" i="3"/>
  <c r="BF571" i="3"/>
  <c r="BG571" i="3"/>
  <c r="BH571" i="3"/>
  <c r="BI571" i="3"/>
  <c r="BJ571" i="3"/>
  <c r="BK571" i="3"/>
  <c r="BM571" i="3"/>
  <c r="BN571" i="3"/>
  <c r="BO571" i="3"/>
  <c r="BP571" i="3"/>
  <c r="BR571" i="3"/>
  <c r="BS571" i="3"/>
  <c r="BT571" i="3"/>
  <c r="H572" i="3"/>
  <c r="AC572" i="3"/>
  <c r="BB572" i="3"/>
  <c r="BC572" i="3"/>
  <c r="BD572" i="3"/>
  <c r="BE572" i="3"/>
  <c r="BF572" i="3"/>
  <c r="BG572" i="3"/>
  <c r="BH572" i="3"/>
  <c r="BI572" i="3"/>
  <c r="BJ572" i="3"/>
  <c r="BK572" i="3"/>
  <c r="BM572" i="3"/>
  <c r="BN572" i="3"/>
  <c r="BO572" i="3"/>
  <c r="BP572" i="3"/>
  <c r="BQ572" i="3"/>
  <c r="BR572" i="3"/>
  <c r="BS572" i="3"/>
  <c r="BT572" i="3"/>
  <c r="H573" i="3"/>
  <c r="AC573" i="3"/>
  <c r="BB573" i="3"/>
  <c r="BC573" i="3"/>
  <c r="BD573" i="3"/>
  <c r="BE573" i="3"/>
  <c r="BF573" i="3"/>
  <c r="BG573" i="3"/>
  <c r="BH573" i="3"/>
  <c r="BI573" i="3"/>
  <c r="BJ573" i="3"/>
  <c r="BK573" i="3"/>
  <c r="BM573" i="3"/>
  <c r="BN573" i="3"/>
  <c r="BO573" i="3"/>
  <c r="BP573" i="3"/>
  <c r="BR573" i="3"/>
  <c r="BS573" i="3"/>
  <c r="BT573" i="3"/>
  <c r="H574" i="3"/>
  <c r="AC574" i="3"/>
  <c r="G574" i="3"/>
  <c r="BB574" i="3"/>
  <c r="BC574" i="3"/>
  <c r="BD574" i="3"/>
  <c r="BE574" i="3"/>
  <c r="BF574" i="3"/>
  <c r="BG574" i="3"/>
  <c r="BH574" i="3"/>
  <c r="BI574" i="3"/>
  <c r="BJ574" i="3"/>
  <c r="BK574" i="3"/>
  <c r="BM574" i="3"/>
  <c r="BN574" i="3"/>
  <c r="BO574" i="3"/>
  <c r="BP574" i="3"/>
  <c r="BQ574" i="3"/>
  <c r="BR574" i="3"/>
  <c r="BS574" i="3"/>
  <c r="BT574" i="3"/>
  <c r="H575" i="3"/>
  <c r="AC575" i="3"/>
  <c r="BB575" i="3"/>
  <c r="BC575" i="3"/>
  <c r="BD575" i="3"/>
  <c r="BE575" i="3"/>
  <c r="BF575" i="3"/>
  <c r="BG575" i="3"/>
  <c r="BH575" i="3"/>
  <c r="BI575" i="3"/>
  <c r="BJ575" i="3"/>
  <c r="BK575" i="3"/>
  <c r="BM575" i="3"/>
  <c r="BN575" i="3"/>
  <c r="BO575" i="3"/>
  <c r="BP575" i="3"/>
  <c r="BR575" i="3"/>
  <c r="BS575" i="3"/>
  <c r="BT575" i="3"/>
  <c r="H576" i="3"/>
  <c r="AC576" i="3"/>
  <c r="BB576" i="3"/>
  <c r="BC576" i="3"/>
  <c r="BD576" i="3"/>
  <c r="BE576" i="3"/>
  <c r="BF576" i="3"/>
  <c r="BG576" i="3"/>
  <c r="BH576" i="3"/>
  <c r="BI576" i="3"/>
  <c r="BJ576" i="3"/>
  <c r="BK576" i="3"/>
  <c r="BM576" i="3"/>
  <c r="BN576" i="3"/>
  <c r="BO576" i="3"/>
  <c r="BP576" i="3"/>
  <c r="BQ576" i="3"/>
  <c r="BR576" i="3"/>
  <c r="BS576" i="3"/>
  <c r="BT576" i="3"/>
  <c r="H577" i="3"/>
  <c r="AC577" i="3"/>
  <c r="BB577" i="3"/>
  <c r="BC577" i="3"/>
  <c r="BD577" i="3"/>
  <c r="BE577" i="3"/>
  <c r="BF577" i="3"/>
  <c r="BG577" i="3"/>
  <c r="BH577" i="3"/>
  <c r="BI577" i="3"/>
  <c r="BJ577" i="3"/>
  <c r="BK577" i="3"/>
  <c r="BM577" i="3"/>
  <c r="BN577" i="3"/>
  <c r="BO577" i="3"/>
  <c r="BP577" i="3"/>
  <c r="BR577" i="3"/>
  <c r="BS577" i="3"/>
  <c r="BT577" i="3"/>
  <c r="H578" i="3"/>
  <c r="AC578" i="3"/>
  <c r="G578" i="3"/>
  <c r="BB578" i="3"/>
  <c r="BC578" i="3"/>
  <c r="BD578" i="3"/>
  <c r="BE578" i="3"/>
  <c r="BF578" i="3"/>
  <c r="BG578" i="3"/>
  <c r="BH578" i="3"/>
  <c r="BI578" i="3"/>
  <c r="BJ578" i="3"/>
  <c r="BK578" i="3"/>
  <c r="BM578" i="3"/>
  <c r="BN578" i="3"/>
  <c r="BO578" i="3"/>
  <c r="BP578" i="3"/>
  <c r="BQ578" i="3"/>
  <c r="BR578" i="3"/>
  <c r="BS578" i="3"/>
  <c r="BT578" i="3"/>
  <c r="H579" i="3"/>
  <c r="AC579" i="3"/>
  <c r="BB579" i="3"/>
  <c r="BC579" i="3"/>
  <c r="BD579" i="3"/>
  <c r="BE579" i="3"/>
  <c r="BF579" i="3"/>
  <c r="BG579" i="3"/>
  <c r="BH579" i="3"/>
  <c r="BI579" i="3"/>
  <c r="BJ579" i="3"/>
  <c r="BK579" i="3"/>
  <c r="BM579" i="3"/>
  <c r="BN579" i="3"/>
  <c r="BO579" i="3"/>
  <c r="BP579" i="3"/>
  <c r="BR579" i="3"/>
  <c r="BS579" i="3"/>
  <c r="BT579" i="3"/>
  <c r="H580" i="3"/>
  <c r="AC580" i="3"/>
  <c r="BB580" i="3"/>
  <c r="BC580" i="3"/>
  <c r="BD580" i="3"/>
  <c r="BE580" i="3"/>
  <c r="BF580" i="3"/>
  <c r="BG580" i="3"/>
  <c r="BH580" i="3"/>
  <c r="BI580" i="3"/>
  <c r="BJ580" i="3"/>
  <c r="BK580" i="3"/>
  <c r="BM580" i="3"/>
  <c r="BN580" i="3"/>
  <c r="BO580" i="3"/>
  <c r="BP580" i="3"/>
  <c r="BQ580" i="3"/>
  <c r="BR580" i="3"/>
  <c r="BS580" i="3"/>
  <c r="BT580" i="3"/>
  <c r="H581" i="3"/>
  <c r="AC581" i="3"/>
  <c r="BB581" i="3"/>
  <c r="BC581" i="3"/>
  <c r="BD581" i="3"/>
  <c r="BE581" i="3"/>
  <c r="BF581" i="3"/>
  <c r="BG581" i="3"/>
  <c r="BH581" i="3"/>
  <c r="BI581" i="3"/>
  <c r="BJ581" i="3"/>
  <c r="BK581" i="3"/>
  <c r="BM581" i="3"/>
  <c r="BN581" i="3"/>
  <c r="BO581" i="3"/>
  <c r="BP581" i="3"/>
  <c r="BR581" i="3"/>
  <c r="BS581" i="3"/>
  <c r="BT581" i="3"/>
  <c r="H582" i="3"/>
  <c r="AC582" i="3"/>
  <c r="G582" i="3"/>
  <c r="BB582" i="3"/>
  <c r="BC582" i="3"/>
  <c r="BD582" i="3"/>
  <c r="BE582" i="3"/>
  <c r="BF582" i="3"/>
  <c r="BG582" i="3"/>
  <c r="BH582" i="3"/>
  <c r="BI582" i="3"/>
  <c r="BJ582" i="3"/>
  <c r="BK582" i="3"/>
  <c r="BM582" i="3"/>
  <c r="BN582" i="3"/>
  <c r="BO582" i="3"/>
  <c r="BP582" i="3"/>
  <c r="BQ582" i="3"/>
  <c r="BR582" i="3"/>
  <c r="BS582" i="3"/>
  <c r="BT582" i="3"/>
  <c r="H583" i="3"/>
  <c r="AC583" i="3"/>
  <c r="BB583" i="3"/>
  <c r="BC583" i="3"/>
  <c r="BD583" i="3"/>
  <c r="BE583" i="3"/>
  <c r="BF583" i="3"/>
  <c r="BG583" i="3"/>
  <c r="BH583" i="3"/>
  <c r="BI583" i="3"/>
  <c r="BJ583" i="3"/>
  <c r="BK583" i="3"/>
  <c r="BM583" i="3"/>
  <c r="BN583" i="3"/>
  <c r="BO583" i="3"/>
  <c r="BP583" i="3"/>
  <c r="BR583" i="3"/>
  <c r="BS583" i="3"/>
  <c r="BT583" i="3"/>
  <c r="H584" i="3"/>
  <c r="AC584" i="3"/>
  <c r="BB584" i="3"/>
  <c r="BC584" i="3"/>
  <c r="BD584" i="3"/>
  <c r="BE584" i="3"/>
  <c r="BF584" i="3"/>
  <c r="BG584" i="3"/>
  <c r="BH584" i="3"/>
  <c r="BI584" i="3"/>
  <c r="BJ584" i="3"/>
  <c r="BK584" i="3"/>
  <c r="BM584" i="3"/>
  <c r="BN584" i="3"/>
  <c r="BO584" i="3"/>
  <c r="BP584" i="3"/>
  <c r="BQ584" i="3"/>
  <c r="BR584" i="3"/>
  <c r="BS584" i="3"/>
  <c r="BT584" i="3"/>
  <c r="H7" i="12"/>
  <c r="I7" i="12"/>
  <c r="J7" i="12"/>
  <c r="K7" i="12"/>
  <c r="H111" i="21"/>
  <c r="B110" i="39"/>
  <c r="J35" i="39" s="1"/>
  <c r="B112" i="39"/>
  <c r="J30" i="36"/>
  <c r="H30" i="36"/>
  <c r="F30" i="36"/>
  <c r="AA30" i="36"/>
  <c r="C26" i="35"/>
  <c r="C79" i="35"/>
  <c r="J31" i="35"/>
  <c r="W31" i="35"/>
  <c r="H31" i="35"/>
  <c r="F31" i="35"/>
  <c r="D87" i="35"/>
  <c r="E87" i="35"/>
  <c r="F87" i="35"/>
  <c r="G87" i="35"/>
  <c r="H87" i="35"/>
  <c r="I87" i="35"/>
  <c r="J87" i="35"/>
  <c r="K87" i="35"/>
  <c r="L87" i="35"/>
  <c r="M87" i="35"/>
  <c r="H34" i="37"/>
  <c r="D101" i="37"/>
  <c r="F34" i="37"/>
  <c r="D99" i="37"/>
  <c r="E99" i="37"/>
  <c r="F99" i="37"/>
  <c r="G99" i="37"/>
  <c r="H99" i="37"/>
  <c r="I99" i="37"/>
  <c r="J99" i="37"/>
  <c r="K99" i="37"/>
  <c r="L99" i="37"/>
  <c r="M99" i="37"/>
  <c r="H42" i="34"/>
  <c r="J42" i="34"/>
  <c r="W42" i="34"/>
  <c r="F42" i="34"/>
  <c r="J38" i="34"/>
  <c r="W38" i="34"/>
  <c r="D114" i="34"/>
  <c r="F38" i="34"/>
  <c r="S38" i="34"/>
  <c r="D112" i="34"/>
  <c r="E112" i="34"/>
  <c r="F112" i="34"/>
  <c r="G112" i="34"/>
  <c r="H112" i="34"/>
  <c r="I112" i="34"/>
  <c r="J112" i="34"/>
  <c r="K112" i="34"/>
  <c r="L112" i="34"/>
  <c r="M112" i="34"/>
  <c r="F40" i="33"/>
  <c r="J41" i="33"/>
  <c r="D113" i="33"/>
  <c r="F37" i="33"/>
  <c r="D111" i="33"/>
  <c r="E111" i="33"/>
  <c r="F111" i="33"/>
  <c r="S515" i="31"/>
  <c r="S516" i="31"/>
  <c r="S517" i="31"/>
  <c r="S518" i="31"/>
  <c r="S519" i="31"/>
  <c r="S520" i="31"/>
  <c r="S521" i="31"/>
  <c r="S522" i="31"/>
  <c r="S523" i="31"/>
  <c r="S524" i="31"/>
  <c r="F41" i="21"/>
  <c r="J41" i="21"/>
  <c r="AC41" i="21"/>
  <c r="H41" i="21"/>
  <c r="U41" i="21"/>
  <c r="D81" i="39"/>
  <c r="E81" i="39" s="1"/>
  <c r="F81" i="39" s="1"/>
  <c r="G81" i="39" s="1"/>
  <c r="D76" i="40"/>
  <c r="E76" i="40"/>
  <c r="F76" i="40"/>
  <c r="G76" i="40"/>
  <c r="H76" i="40"/>
  <c r="I76" i="40"/>
  <c r="J76" i="40"/>
  <c r="K76" i="40"/>
  <c r="L76" i="40"/>
  <c r="M76" i="40"/>
  <c r="B120" i="40"/>
  <c r="B118" i="40"/>
  <c r="J39" i="40"/>
  <c r="B116" i="40"/>
  <c r="F38" i="40"/>
  <c r="AA38" i="40"/>
  <c r="D115" i="40"/>
  <c r="E115" i="40"/>
  <c r="F115" i="40"/>
  <c r="G115" i="40"/>
  <c r="H115" i="40"/>
  <c r="I115" i="40"/>
  <c r="J115" i="40"/>
  <c r="K115" i="40"/>
  <c r="L115" i="40"/>
  <c r="M115" i="40"/>
  <c r="D113" i="40"/>
  <c r="E113" i="40"/>
  <c r="F113" i="40"/>
  <c r="G113" i="40"/>
  <c r="H113" i="40"/>
  <c r="I113" i="40"/>
  <c r="J113" i="40"/>
  <c r="K113" i="40"/>
  <c r="L113" i="40"/>
  <c r="M113" i="40"/>
  <c r="D111" i="40"/>
  <c r="E111" i="40"/>
  <c r="M107" i="40"/>
  <c r="L107" i="40"/>
  <c r="K107" i="40"/>
  <c r="J107" i="40"/>
  <c r="H107" i="40"/>
  <c r="G107" i="40"/>
  <c r="F107" i="40"/>
  <c r="E107" i="40"/>
  <c r="D107" i="40"/>
  <c r="C107" i="40"/>
  <c r="B105" i="40"/>
  <c r="J33" i="40"/>
  <c r="W33" i="40"/>
  <c r="B103" i="40"/>
  <c r="J32" i="40"/>
  <c r="AC32" i="40"/>
  <c r="B101" i="40"/>
  <c r="J31" i="40"/>
  <c r="AC31" i="40"/>
  <c r="D100" i="40"/>
  <c r="E100" i="40"/>
  <c r="F100" i="40"/>
  <c r="G100" i="40"/>
  <c r="H100" i="40"/>
  <c r="I100" i="40"/>
  <c r="J100" i="40"/>
  <c r="K100" i="40"/>
  <c r="L100" i="40"/>
  <c r="M100" i="40"/>
  <c r="D98" i="40"/>
  <c r="J28" i="40"/>
  <c r="AC28" i="40"/>
  <c r="D96" i="40"/>
  <c r="E96" i="40"/>
  <c r="F96" i="40"/>
  <c r="G96" i="40"/>
  <c r="H96" i="40"/>
  <c r="I96" i="40"/>
  <c r="J96" i="40"/>
  <c r="K96" i="40"/>
  <c r="L96" i="40"/>
  <c r="M96" i="40"/>
  <c r="B95" i="40"/>
  <c r="D92" i="40"/>
  <c r="E92" i="40"/>
  <c r="F92" i="40"/>
  <c r="G92" i="40"/>
  <c r="D90" i="40"/>
  <c r="E90" i="40"/>
  <c r="F90" i="40"/>
  <c r="G90" i="40"/>
  <c r="D88" i="40"/>
  <c r="E88" i="40"/>
  <c r="D86" i="40"/>
  <c r="E86" i="40"/>
  <c r="F86" i="40"/>
  <c r="G86" i="40"/>
  <c r="D84" i="40"/>
  <c r="E84" i="40"/>
  <c r="F84" i="40"/>
  <c r="G84" i="40"/>
  <c r="B81" i="40"/>
  <c r="B79" i="40"/>
  <c r="B77" i="40"/>
  <c r="J12" i="40"/>
  <c r="M74" i="40"/>
  <c r="L74" i="40"/>
  <c r="K74" i="40"/>
  <c r="J74" i="40"/>
  <c r="I74" i="40"/>
  <c r="H74" i="40"/>
  <c r="G74" i="40"/>
  <c r="F74" i="40"/>
  <c r="E74" i="40"/>
  <c r="D74" i="40"/>
  <c r="C74" i="40"/>
  <c r="P43" i="40"/>
  <c r="P42" i="40"/>
  <c r="V41" i="40"/>
  <c r="T41" i="40"/>
  <c r="R41" i="40"/>
  <c r="P41" i="40"/>
  <c r="Q40" i="40"/>
  <c r="Z40" i="40"/>
  <c r="J40" i="40"/>
  <c r="W40" i="40"/>
  <c r="H40" i="40"/>
  <c r="AB40" i="40"/>
  <c r="F40" i="40"/>
  <c r="AA40" i="40"/>
  <c r="Q39" i="40"/>
  <c r="Z39" i="40"/>
  <c r="H39" i="40"/>
  <c r="U39" i="40"/>
  <c r="Q38" i="40"/>
  <c r="Z38" i="40"/>
  <c r="J38" i="40"/>
  <c r="AC38" i="40"/>
  <c r="H38" i="40"/>
  <c r="AB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S9" i="40"/>
  <c r="J8" i="40"/>
  <c r="AC8" i="40"/>
  <c r="H8" i="40"/>
  <c r="AB8" i="40"/>
  <c r="F8" i="40"/>
  <c r="AA8" i="40"/>
  <c r="D124" i="39"/>
  <c r="E124" i="39" s="1"/>
  <c r="D120" i="39"/>
  <c r="E120" i="39" s="1"/>
  <c r="F120" i="39" s="1"/>
  <c r="G120" i="39" s="1"/>
  <c r="H120" i="39" s="1"/>
  <c r="I120" i="39" s="1"/>
  <c r="J120" i="39" s="1"/>
  <c r="K120" i="39" s="1"/>
  <c r="L120" i="39" s="1"/>
  <c r="M120" i="39" s="1"/>
  <c r="B114" i="39"/>
  <c r="J37" i="39"/>
  <c r="AC37" i="39" s="1"/>
  <c r="D109" i="39"/>
  <c r="F34" i="39"/>
  <c r="AA34" i="39" s="1"/>
  <c r="D107" i="39"/>
  <c r="E107" i="39" s="1"/>
  <c r="F107" i="39" s="1"/>
  <c r="D105" i="39"/>
  <c r="E105" i="39" s="1"/>
  <c r="D101" i="39"/>
  <c r="D99" i="39"/>
  <c r="E99" i="39" s="1"/>
  <c r="Q39" i="39"/>
  <c r="Z39" i="39"/>
  <c r="Q40" i="39"/>
  <c r="Z40" i="39"/>
  <c r="Q41" i="39"/>
  <c r="Z41" i="39"/>
  <c r="Q42" i="39"/>
  <c r="Z42" i="39"/>
  <c r="Q43" i="39"/>
  <c r="Z43" i="39" s="1"/>
  <c r="Q44" i="39"/>
  <c r="Z44" i="39" s="1"/>
  <c r="Q45" i="39"/>
  <c r="Z45" i="39"/>
  <c r="Q38" i="39"/>
  <c r="Z38" i="39"/>
  <c r="Q36" i="39"/>
  <c r="Z36" i="39" s="1"/>
  <c r="Q37" i="39"/>
  <c r="Z37" i="39" s="1"/>
  <c r="B131" i="39"/>
  <c r="H45" i="39"/>
  <c r="AB45" i="39" s="1"/>
  <c r="B129" i="39"/>
  <c r="H44" i="39"/>
  <c r="U44" i="39" s="1"/>
  <c r="B127" i="39"/>
  <c r="J43" i="39"/>
  <c r="W43" i="39" s="1"/>
  <c r="D126" i="39"/>
  <c r="E126" i="39"/>
  <c r="F126" i="39" s="1"/>
  <c r="G126" i="39" s="1"/>
  <c r="H126" i="39" s="1"/>
  <c r="I126" i="39" s="1"/>
  <c r="J126" i="39" s="1"/>
  <c r="K126" i="39" s="1"/>
  <c r="L126" i="39" s="1"/>
  <c r="M126" i="39" s="1"/>
  <c r="D122" i="39"/>
  <c r="E122" i="39" s="1"/>
  <c r="F122" i="39" s="1"/>
  <c r="G122" i="39" s="1"/>
  <c r="H122" i="39" s="1"/>
  <c r="I122" i="39" s="1"/>
  <c r="J122" i="39" s="1"/>
  <c r="K122" i="39" s="1"/>
  <c r="L122" i="39" s="1"/>
  <c r="M122" i="39" s="1"/>
  <c r="H35" i="39"/>
  <c r="AB35" i="39" s="1"/>
  <c r="B104" i="39"/>
  <c r="D97" i="39"/>
  <c r="J23" i="39" s="1"/>
  <c r="D95" i="39"/>
  <c r="E95" i="39" s="1"/>
  <c r="D93" i="39"/>
  <c r="E93" i="39" s="1"/>
  <c r="F93" i="39" s="1"/>
  <c r="G93" i="39" s="1"/>
  <c r="D91" i="39"/>
  <c r="E91" i="39" s="1"/>
  <c r="F91" i="39" s="1"/>
  <c r="G91" i="39" s="1"/>
  <c r="D89" i="39"/>
  <c r="E89" i="39" s="1"/>
  <c r="F89" i="39" s="1"/>
  <c r="G89" i="39" s="1"/>
  <c r="B86" i="39"/>
  <c r="F14" i="39" s="1"/>
  <c r="B84" i="39"/>
  <c r="J13" i="39" s="1"/>
  <c r="B82" i="39"/>
  <c r="J12" i="39" s="1"/>
  <c r="M79" i="39"/>
  <c r="L79" i="39"/>
  <c r="K79" i="39"/>
  <c r="J79" i="39"/>
  <c r="I79" i="39"/>
  <c r="H79" i="39"/>
  <c r="G79" i="39"/>
  <c r="F79" i="39"/>
  <c r="E79" i="39"/>
  <c r="D79" i="39"/>
  <c r="C79" i="39"/>
  <c r="P48" i="39"/>
  <c r="P47" i="39"/>
  <c r="V46" i="39"/>
  <c r="T46" i="39"/>
  <c r="R46" i="39"/>
  <c r="P46" i="39"/>
  <c r="F44" i="39"/>
  <c r="AA44" i="39" s="1"/>
  <c r="F40" i="39"/>
  <c r="AA40" i="39" s="1"/>
  <c r="Q35" i="39"/>
  <c r="Z35" i="39" s="1"/>
  <c r="Q34" i="39"/>
  <c r="Z34" i="39" s="1"/>
  <c r="Q32" i="39"/>
  <c r="Z32" i="39" s="1"/>
  <c r="Q31" i="39"/>
  <c r="Z31" i="39" s="1"/>
  <c r="Q27" i="39"/>
  <c r="Z27" i="39" s="1"/>
  <c r="Q25" i="39"/>
  <c r="Z25" i="39" s="1"/>
  <c r="Q23" i="39"/>
  <c r="Z23" i="39" s="1"/>
  <c r="Q21" i="39"/>
  <c r="Z21" i="39" s="1"/>
  <c r="Q19" i="39"/>
  <c r="Z19" i="39" s="1"/>
  <c r="Q17" i="39"/>
  <c r="Z17" i="39" s="1"/>
  <c r="Q15" i="39"/>
  <c r="Z15" i="39" s="1"/>
  <c r="Q14" i="39"/>
  <c r="Z14" i="39" s="1"/>
  <c r="Q13" i="39"/>
  <c r="Z13" i="39" s="1"/>
  <c r="Q12" i="39"/>
  <c r="Z12" i="39" s="1"/>
  <c r="Q11" i="39"/>
  <c r="Z11" i="39" s="1"/>
  <c r="Q10" i="39"/>
  <c r="Z10" i="39" s="1"/>
  <c r="Q9" i="39"/>
  <c r="Z9" i="39" s="1"/>
  <c r="J9" i="39"/>
  <c r="AC9" i="39" s="1"/>
  <c r="H9" i="39"/>
  <c r="AB9" i="39" s="1"/>
  <c r="F9" i="39"/>
  <c r="AA9" i="39" s="1"/>
  <c r="J8" i="39"/>
  <c r="AC8" i="39" s="1"/>
  <c r="H8" i="39"/>
  <c r="U8" i="39" s="1"/>
  <c r="F8" i="39"/>
  <c r="AA8" i="39" s="1"/>
  <c r="C20" i="36"/>
  <c r="C20" i="35"/>
  <c r="C16" i="36"/>
  <c r="C16" i="35"/>
  <c r="C14" i="36"/>
  <c r="C14" i="35"/>
  <c r="B80" i="37"/>
  <c r="H25" i="37"/>
  <c r="U25" i="37"/>
  <c r="B110" i="37"/>
  <c r="J39" i="37"/>
  <c r="AC39" i="37"/>
  <c r="B108" i="37"/>
  <c r="C23" i="37"/>
  <c r="C19" i="37"/>
  <c r="C17" i="37"/>
  <c r="C15" i="37"/>
  <c r="B112" i="37"/>
  <c r="D107" i="37"/>
  <c r="E107" i="37"/>
  <c r="D105" i="37"/>
  <c r="E105" i="37"/>
  <c r="D103" i="37"/>
  <c r="J35" i="37"/>
  <c r="W35" i="37"/>
  <c r="F97" i="37"/>
  <c r="E97" i="37"/>
  <c r="D97" i="37"/>
  <c r="C97" i="37"/>
  <c r="D96" i="37"/>
  <c r="E96" i="37"/>
  <c r="D94" i="37"/>
  <c r="M90" i="37"/>
  <c r="L90" i="37"/>
  <c r="K90" i="37"/>
  <c r="J90" i="37"/>
  <c r="I90" i="37"/>
  <c r="H90" i="37"/>
  <c r="G90" i="37"/>
  <c r="F90" i="37"/>
  <c r="E90" i="37"/>
  <c r="D90" i="37"/>
  <c r="C90" i="37"/>
  <c r="D89" i="37"/>
  <c r="B86" i="37"/>
  <c r="B84" i="37"/>
  <c r="H27" i="37"/>
  <c r="U27" i="37"/>
  <c r="B82" i="37"/>
  <c r="D79" i="37"/>
  <c r="E79" i="37"/>
  <c r="D75" i="37"/>
  <c r="E75" i="37"/>
  <c r="D73" i="37"/>
  <c r="E73" i="37"/>
  <c r="F73" i="37"/>
  <c r="D71" i="37"/>
  <c r="H15" i="37"/>
  <c r="AB15" i="37"/>
  <c r="B68" i="37"/>
  <c r="H14" i="37"/>
  <c r="AB14" i="37"/>
  <c r="B66" i="37"/>
  <c r="B64" i="37"/>
  <c r="D63" i="37"/>
  <c r="E63" i="37"/>
  <c r="M61" i="37"/>
  <c r="L61" i="37"/>
  <c r="K61" i="37"/>
  <c r="J61" i="37"/>
  <c r="I61" i="37"/>
  <c r="H61" i="37"/>
  <c r="G61" i="37"/>
  <c r="F61" i="37"/>
  <c r="E61" i="37"/>
  <c r="D61" i="37"/>
  <c r="C61" i="37"/>
  <c r="F60" i="37"/>
  <c r="G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J26" i="37"/>
  <c r="AC26" i="37"/>
  <c r="H26" i="37"/>
  <c r="AB26" i="37"/>
  <c r="F26" i="37"/>
  <c r="AA26" i="37"/>
  <c r="Q25" i="37"/>
  <c r="Z25" i="37"/>
  <c r="J25" i="37"/>
  <c r="AC25" i="37"/>
  <c r="F25" i="37"/>
  <c r="AA25" i="37"/>
  <c r="Q23" i="37"/>
  <c r="Z23" i="37"/>
  <c r="Q19" i="37"/>
  <c r="Z19" i="37"/>
  <c r="Q17" i="37"/>
  <c r="Z17" i="37"/>
  <c r="Q15" i="37"/>
  <c r="Z15" i="37"/>
  <c r="Q14" i="37"/>
  <c r="Z14" i="37"/>
  <c r="Q13" i="37"/>
  <c r="Z13" i="37"/>
  <c r="Q12" i="37"/>
  <c r="Z12" i="37"/>
  <c r="Q11" i="37"/>
  <c r="Z11" i="37"/>
  <c r="Q10" i="37"/>
  <c r="Z10" i="37"/>
  <c r="F10" i="37"/>
  <c r="AA10" i="37"/>
  <c r="Q9" i="37"/>
  <c r="Z9" i="37"/>
  <c r="J8" i="37"/>
  <c r="W8" i="37"/>
  <c r="H8" i="37"/>
  <c r="AB8" i="37"/>
  <c r="F8" i="37"/>
  <c r="S8" i="37"/>
  <c r="J31" i="36"/>
  <c r="H31" i="36"/>
  <c r="AB31" i="36"/>
  <c r="F31" i="36"/>
  <c r="S31" i="36"/>
  <c r="M86" i="36"/>
  <c r="L86" i="36"/>
  <c r="K86" i="36"/>
  <c r="J86" i="36"/>
  <c r="I86" i="36"/>
  <c r="H86" i="36"/>
  <c r="G86" i="36"/>
  <c r="F86" i="36"/>
  <c r="E86" i="36"/>
  <c r="D86" i="36"/>
  <c r="C86" i="36"/>
  <c r="D85" i="36"/>
  <c r="H29" i="36"/>
  <c r="D81" i="36"/>
  <c r="E81" i="36"/>
  <c r="F81" i="36"/>
  <c r="G81" i="36"/>
  <c r="H81" i="36"/>
  <c r="I81" i="36"/>
  <c r="J81" i="36"/>
  <c r="K81" i="36"/>
  <c r="L81" i="36"/>
  <c r="M81" i="36"/>
  <c r="F79" i="36"/>
  <c r="E79" i="36"/>
  <c r="D79" i="36"/>
  <c r="C79" i="36"/>
  <c r="B93" i="36"/>
  <c r="H33" i="36"/>
  <c r="B91" i="36"/>
  <c r="F32" i="36"/>
  <c r="B95" i="36"/>
  <c r="H34" i="36"/>
  <c r="D83" i="36"/>
  <c r="E83" i="36"/>
  <c r="F83" i="36"/>
  <c r="G83" i="36"/>
  <c r="H83" i="36"/>
  <c r="I83" i="36"/>
  <c r="J83" i="36"/>
  <c r="K83" i="36"/>
  <c r="L83" i="36"/>
  <c r="M83" i="36"/>
  <c r="D78" i="36"/>
  <c r="E78" i="36"/>
  <c r="F78" i="36"/>
  <c r="G78" i="36"/>
  <c r="H78" i="36"/>
  <c r="I78" i="36"/>
  <c r="J78" i="36"/>
  <c r="K78" i="36"/>
  <c r="L78" i="36"/>
  <c r="M78" i="36"/>
  <c r="B75" i="36"/>
  <c r="B73" i="36"/>
  <c r="J24" i="36"/>
  <c r="AC24" i="36"/>
  <c r="B71" i="36"/>
  <c r="D70" i="36"/>
  <c r="H22" i="36"/>
  <c r="AB22" i="36"/>
  <c r="D68" i="36"/>
  <c r="E68" i="36"/>
  <c r="F68" i="36"/>
  <c r="G68" i="36"/>
  <c r="D64" i="36"/>
  <c r="E64" i="36"/>
  <c r="F64" i="36"/>
  <c r="G64" i="36"/>
  <c r="J16" i="36"/>
  <c r="W16" i="36"/>
  <c r="D62" i="36"/>
  <c r="E62" i="36"/>
  <c r="F62" i="36"/>
  <c r="G62" i="36"/>
  <c r="B59" i="36"/>
  <c r="B57" i="36"/>
  <c r="J12" i="36"/>
  <c r="B55" i="36"/>
  <c r="F54" i="36"/>
  <c r="G54" i="36"/>
  <c r="H54" i="36"/>
  <c r="I54" i="36"/>
  <c r="C51" i="36"/>
  <c r="P37" i="36"/>
  <c r="P36" i="36"/>
  <c r="V35" i="36"/>
  <c r="T35" i="36"/>
  <c r="R35" i="36"/>
  <c r="P35" i="36"/>
  <c r="Q34" i="36"/>
  <c r="Z34" i="36"/>
  <c r="Q33" i="36"/>
  <c r="Z33" i="36"/>
  <c r="Q32" i="36"/>
  <c r="Z32" i="36"/>
  <c r="Q31" i="36"/>
  <c r="Z31" i="36"/>
  <c r="Q30" i="36"/>
  <c r="Z30" i="36"/>
  <c r="AC30" i="36"/>
  <c r="Q29" i="36"/>
  <c r="Z29" i="36"/>
  <c r="Q28" i="36"/>
  <c r="Z28" i="36"/>
  <c r="J28" i="36"/>
  <c r="AC28" i="36"/>
  <c r="Q27" i="36"/>
  <c r="Z27" i="36"/>
  <c r="Q26" i="36"/>
  <c r="Z26" i="36"/>
  <c r="H26" i="36"/>
  <c r="AB26" i="36"/>
  <c r="Q25" i="36"/>
  <c r="Z25" i="36"/>
  <c r="Q24" i="36"/>
  <c r="Z24" i="36"/>
  <c r="H24" i="36"/>
  <c r="AB24" i="36"/>
  <c r="Q23" i="36"/>
  <c r="Z23" i="36"/>
  <c r="J23" i="36"/>
  <c r="AC23" i="36"/>
  <c r="H23" i="36"/>
  <c r="AB23" i="36"/>
  <c r="F23" i="36"/>
  <c r="AA23" i="36"/>
  <c r="Q22" i="36"/>
  <c r="Z22" i="36"/>
  <c r="J22" i="36"/>
  <c r="AC22" i="36"/>
  <c r="Q20" i="36"/>
  <c r="Z20" i="36"/>
  <c r="Q16" i="36"/>
  <c r="Z16" i="36"/>
  <c r="Q14" i="36"/>
  <c r="Z14" i="36"/>
  <c r="Q13" i="36"/>
  <c r="Z13" i="36"/>
  <c r="Q12" i="36"/>
  <c r="Z12" i="36"/>
  <c r="H12" i="36"/>
  <c r="U12" i="36"/>
  <c r="Q11" i="36"/>
  <c r="Z11" i="36"/>
  <c r="Q10" i="36"/>
  <c r="Z10" i="36"/>
  <c r="F10" i="36"/>
  <c r="AA10" i="36"/>
  <c r="Q9" i="36"/>
  <c r="Z9" i="36"/>
  <c r="J9" i="36"/>
  <c r="AC9" i="36"/>
  <c r="H9" i="36"/>
  <c r="AB9" i="36"/>
  <c r="F9" i="36"/>
  <c r="AA9" i="36"/>
  <c r="J8" i="36"/>
  <c r="AC8" i="36"/>
  <c r="H8" i="36"/>
  <c r="U8" i="36"/>
  <c r="F8" i="36"/>
  <c r="AA8" i="36"/>
  <c r="D89" i="35"/>
  <c r="M90" i="35"/>
  <c r="L90" i="35"/>
  <c r="K90" i="35"/>
  <c r="J90" i="35"/>
  <c r="I90" i="35"/>
  <c r="H90" i="35"/>
  <c r="G90" i="35"/>
  <c r="F90" i="35"/>
  <c r="E90" i="35"/>
  <c r="D90" i="35"/>
  <c r="C90" i="35"/>
  <c r="F85" i="35"/>
  <c r="E85" i="35"/>
  <c r="D85" i="35"/>
  <c r="C85" i="35"/>
  <c r="J27" i="35"/>
  <c r="W27" i="35"/>
  <c r="H27" i="35"/>
  <c r="U27" i="35"/>
  <c r="F27" i="35"/>
  <c r="AA27" i="35"/>
  <c r="J22" i="35"/>
  <c r="AC22" i="35"/>
  <c r="B101" i="35"/>
  <c r="H36" i="35"/>
  <c r="AB36" i="35"/>
  <c r="B99" i="35"/>
  <c r="B97" i="35"/>
  <c r="B77" i="35"/>
  <c r="B75" i="35"/>
  <c r="J24" i="35"/>
  <c r="AC24"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J12"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D64" i="35"/>
  <c r="E64" i="35"/>
  <c r="F64" i="35"/>
  <c r="G64" i="35"/>
  <c r="J14" i="35"/>
  <c r="W14" i="35"/>
  <c r="F56" i="35"/>
  <c r="G56" i="35"/>
  <c r="H56" i="35"/>
  <c r="I56" i="35"/>
  <c r="C53" i="35"/>
  <c r="J9" i="35"/>
  <c r="P39" i="35"/>
  <c r="P38" i="35"/>
  <c r="V37" i="35"/>
  <c r="T37" i="35"/>
  <c r="R37" i="35"/>
  <c r="P37" i="35"/>
  <c r="Q36" i="35"/>
  <c r="Z36" i="35"/>
  <c r="J36" i="35"/>
  <c r="AC36" i="35"/>
  <c r="Q35" i="35"/>
  <c r="Z35" i="35"/>
  <c r="Q34" i="35"/>
  <c r="Z34" i="35"/>
  <c r="J34" i="35"/>
  <c r="AC34" i="35"/>
  <c r="H34" i="35"/>
  <c r="AB34" i="35"/>
  <c r="F34" i="35"/>
  <c r="AA34" i="35"/>
  <c r="Q33" i="35"/>
  <c r="Z33" i="35"/>
  <c r="Q32" i="35"/>
  <c r="Z32" i="35"/>
  <c r="H32" i="35"/>
  <c r="AB32" i="35"/>
  <c r="F32" i="35"/>
  <c r="AA32" i="35"/>
  <c r="Q31" i="35"/>
  <c r="Z31" i="35"/>
  <c r="AC31" i="35"/>
  <c r="AB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8" i="35"/>
  <c r="W8" i="35"/>
  <c r="H8" i="35"/>
  <c r="AB8" i="35"/>
  <c r="F8" i="35"/>
  <c r="AA8" i="35"/>
  <c r="D120" i="34"/>
  <c r="E120" i="34"/>
  <c r="F120" i="34"/>
  <c r="G120" i="34"/>
  <c r="H120" i="34"/>
  <c r="I120" i="34"/>
  <c r="J120" i="34"/>
  <c r="K120" i="34"/>
  <c r="L120" i="34"/>
  <c r="M120" i="34"/>
  <c r="D90" i="34"/>
  <c r="E90" i="34"/>
  <c r="F90" i="34"/>
  <c r="G90" i="34"/>
  <c r="H90" i="34"/>
  <c r="I90" i="34"/>
  <c r="J90" i="34"/>
  <c r="K90" i="34"/>
  <c r="L90" i="34"/>
  <c r="M90" i="34"/>
  <c r="C15" i="34"/>
  <c r="F67" i="34"/>
  <c r="G67" i="34"/>
  <c r="D126" i="34"/>
  <c r="E126" i="34"/>
  <c r="F126" i="34"/>
  <c r="G126" i="34"/>
  <c r="D124" i="34"/>
  <c r="E124" i="34"/>
  <c r="F124" i="34"/>
  <c r="G124" i="34"/>
  <c r="H124" i="34"/>
  <c r="I124" i="34"/>
  <c r="J124" i="34"/>
  <c r="K124" i="34"/>
  <c r="L124" i="34"/>
  <c r="M124" i="34"/>
  <c r="H43" i="34"/>
  <c r="AB43" i="34"/>
  <c r="D118" i="34"/>
  <c r="E118" i="34"/>
  <c r="F118" i="34"/>
  <c r="G118" i="34"/>
  <c r="D116" i="34"/>
  <c r="E116" i="34"/>
  <c r="F116" i="34"/>
  <c r="G116" i="34"/>
  <c r="H116" i="34"/>
  <c r="I116" i="34"/>
  <c r="J116" i="34"/>
  <c r="K116" i="34"/>
  <c r="L116" i="34"/>
  <c r="M116" i="34"/>
  <c r="F110" i="34"/>
  <c r="E110" i="34"/>
  <c r="D110" i="34"/>
  <c r="C110" i="34"/>
  <c r="D109" i="34"/>
  <c r="E109" i="34"/>
  <c r="F109" i="34"/>
  <c r="G109" i="34"/>
  <c r="H109" i="34"/>
  <c r="I109" i="34"/>
  <c r="J109" i="34"/>
  <c r="K109" i="34"/>
  <c r="L109" i="34"/>
  <c r="M109" i="34"/>
  <c r="D107" i="34"/>
  <c r="E107" i="34"/>
  <c r="F107" i="34"/>
  <c r="G107" i="34"/>
  <c r="H107" i="34"/>
  <c r="I107" i="34"/>
  <c r="J107" i="34"/>
  <c r="K107" i="34"/>
  <c r="L107" i="34"/>
  <c r="M107" i="34"/>
  <c r="F35" i="34"/>
  <c r="AA35" i="34"/>
  <c r="M103" i="34"/>
  <c r="L103" i="34"/>
  <c r="K103" i="34"/>
  <c r="J103" i="34"/>
  <c r="I103" i="34"/>
  <c r="H103" i="34"/>
  <c r="G103" i="34"/>
  <c r="F103" i="34"/>
  <c r="E103" i="34"/>
  <c r="D103" i="34"/>
  <c r="C103" i="34"/>
  <c r="D102" i="34"/>
  <c r="E102" i="34"/>
  <c r="F102" i="34"/>
  <c r="G102" i="34"/>
  <c r="H102" i="34"/>
  <c r="I102" i="34"/>
  <c r="J102" i="34"/>
  <c r="K102" i="34"/>
  <c r="L102" i="34"/>
  <c r="M102"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D82" i="34"/>
  <c r="E82" i="34"/>
  <c r="F82" i="34"/>
  <c r="G82" i="34"/>
  <c r="D80" i="34"/>
  <c r="E80" i="34"/>
  <c r="F80" i="34"/>
  <c r="G80" i="34"/>
  <c r="D78" i="34"/>
  <c r="E78" i="34"/>
  <c r="F78" i="34"/>
  <c r="G78" i="34"/>
  <c r="D70" i="34"/>
  <c r="E70"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Q42" i="34"/>
  <c r="Z42" i="34"/>
  <c r="Q41" i="34"/>
  <c r="Z41" i="34"/>
  <c r="Q40" i="34"/>
  <c r="Z40" i="34"/>
  <c r="Q39" i="34"/>
  <c r="Z39" i="34"/>
  <c r="H39" i="34"/>
  <c r="AB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W12" i="34"/>
  <c r="H12" i="34"/>
  <c r="F12" i="34"/>
  <c r="S12" i="34"/>
  <c r="Q11" i="34"/>
  <c r="Z11" i="34"/>
  <c r="Q10" i="34"/>
  <c r="Z10" i="34"/>
  <c r="F10" i="34"/>
  <c r="AA10" i="34"/>
  <c r="Q9" i="34"/>
  <c r="Z9" i="34"/>
  <c r="J9" i="34"/>
  <c r="AC9" i="34"/>
  <c r="H9" i="34"/>
  <c r="F9" i="34"/>
  <c r="AA9" i="34"/>
  <c r="J8" i="34"/>
  <c r="AC8" i="34"/>
  <c r="H8" i="34"/>
  <c r="U8" i="34"/>
  <c r="F8" i="34"/>
  <c r="D121" i="33"/>
  <c r="E121" i="33"/>
  <c r="F109" i="33"/>
  <c r="E109" i="33"/>
  <c r="D109" i="33"/>
  <c r="C109" i="33"/>
  <c r="D91" i="33"/>
  <c r="E91" i="33"/>
  <c r="B88" i="33"/>
  <c r="J26" i="33"/>
  <c r="C23" i="33"/>
  <c r="C19" i="33"/>
  <c r="C17" i="33"/>
  <c r="C15" i="33"/>
  <c r="C15" i="21"/>
  <c r="D125" i="33"/>
  <c r="D123" i="33"/>
  <c r="D117" i="33"/>
  <c r="E117" i="33"/>
  <c r="F117" i="33"/>
  <c r="G117" i="33"/>
  <c r="D115" i="33"/>
  <c r="E115" i="33"/>
  <c r="F115" i="33"/>
  <c r="G115" i="33"/>
  <c r="H115" i="33"/>
  <c r="I115" i="33"/>
  <c r="J115" i="33"/>
  <c r="K115" i="33"/>
  <c r="L115" i="33"/>
  <c r="M115" i="33"/>
  <c r="D108" i="33"/>
  <c r="E108" i="33"/>
  <c r="F108" i="33"/>
  <c r="D106" i="33"/>
  <c r="E106" i="33"/>
  <c r="M102" i="33"/>
  <c r="L102" i="33"/>
  <c r="K102" i="33"/>
  <c r="J102" i="33"/>
  <c r="I102" i="33"/>
  <c r="H102" i="33"/>
  <c r="G102" i="33"/>
  <c r="F102" i="33"/>
  <c r="E102" i="33"/>
  <c r="D102" i="33"/>
  <c r="C102" i="33"/>
  <c r="D101" i="33"/>
  <c r="E101" i="33"/>
  <c r="B92" i="33"/>
  <c r="B90" i="33"/>
  <c r="D87" i="33"/>
  <c r="E87" i="33"/>
  <c r="D85" i="33"/>
  <c r="E85" i="33"/>
  <c r="D81" i="33"/>
  <c r="E81" i="33"/>
  <c r="D79" i="33"/>
  <c r="E79" i="33"/>
  <c r="D77" i="33"/>
  <c r="E77" i="33"/>
  <c r="F77" i="33"/>
  <c r="G77" i="33"/>
  <c r="D69" i="33"/>
  <c r="E69" i="33"/>
  <c r="F69" i="33"/>
  <c r="G69" i="33"/>
  <c r="H69" i="33"/>
  <c r="I69" i="33"/>
  <c r="J69" i="33"/>
  <c r="K69" i="33"/>
  <c r="L69" i="33"/>
  <c r="M69" i="33"/>
  <c r="M67" i="33"/>
  <c r="L67" i="33"/>
  <c r="K67" i="33"/>
  <c r="J67" i="33"/>
  <c r="I67" i="33"/>
  <c r="H67" i="33"/>
  <c r="G67" i="33"/>
  <c r="F67" i="33"/>
  <c r="E67" i="33"/>
  <c r="D67" i="33"/>
  <c r="C67" i="33"/>
  <c r="G66" i="33"/>
  <c r="H66" i="33"/>
  <c r="C63" i="33"/>
  <c r="H54" i="33"/>
  <c r="F54" i="33"/>
  <c r="P49" i="33"/>
  <c r="P48" i="33"/>
  <c r="V47" i="33"/>
  <c r="T47" i="33"/>
  <c r="R47" i="33"/>
  <c r="P47" i="33"/>
  <c r="Q46" i="33"/>
  <c r="Z46" i="33"/>
  <c r="Q45" i="33"/>
  <c r="Z45" i="33"/>
  <c r="Q44" i="33"/>
  <c r="Z44" i="33"/>
  <c r="Q43" i="33"/>
  <c r="Z43" i="33"/>
  <c r="Q42" i="33"/>
  <c r="Z42" i="33"/>
  <c r="J42" i="33"/>
  <c r="AC42" i="33"/>
  <c r="AC41" i="33"/>
  <c r="W41" i="33"/>
  <c r="Q41" i="33"/>
  <c r="Z41" i="33"/>
  <c r="Q40" i="33"/>
  <c r="Z40" i="33"/>
  <c r="J40" i="33"/>
  <c r="AC40" i="33"/>
  <c r="H40" i="33"/>
  <c r="AB40" i="33"/>
  <c r="AA40" i="33"/>
  <c r="Q39" i="33"/>
  <c r="Z39" i="33"/>
  <c r="J39" i="33"/>
  <c r="AC39" i="33"/>
  <c r="Q38" i="33"/>
  <c r="Z38" i="33"/>
  <c r="J38" i="33"/>
  <c r="AC38" i="33"/>
  <c r="H38" i="33"/>
  <c r="AB38" i="33"/>
  <c r="F38" i="33"/>
  <c r="AA38" i="33"/>
  <c r="Q37" i="33"/>
  <c r="Z37" i="33"/>
  <c r="Q36" i="33"/>
  <c r="Z36" i="33"/>
  <c r="Q35" i="33"/>
  <c r="Z35" i="33"/>
  <c r="H35" i="33"/>
  <c r="AB35" i="33"/>
  <c r="Q34" i="33"/>
  <c r="Z34" i="33"/>
  <c r="Q33" i="33"/>
  <c r="Z33" i="33"/>
  <c r="J33" i="33"/>
  <c r="AC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AA15" i="33"/>
  <c r="Q14" i="33"/>
  <c r="Z14" i="33"/>
  <c r="Q13" i="33"/>
  <c r="Z13" i="33"/>
  <c r="Q12" i="33"/>
  <c r="Z12" i="33"/>
  <c r="H12" i="33"/>
  <c r="U12" i="33"/>
  <c r="Q11" i="33"/>
  <c r="Z11" i="33"/>
  <c r="Q10" i="33"/>
  <c r="Z10" i="33"/>
  <c r="Q9" i="33"/>
  <c r="Z9" i="33"/>
  <c r="J9" i="33"/>
  <c r="AC9" i="33"/>
  <c r="H9" i="33"/>
  <c r="AB9" i="33"/>
  <c r="F9" i="33"/>
  <c r="AA9" i="33"/>
  <c r="J8" i="33"/>
  <c r="AC8" i="33"/>
  <c r="H8" i="33"/>
  <c r="AB8" i="33"/>
  <c r="F8" i="33"/>
  <c r="AA8" i="33"/>
  <c r="M102" i="21"/>
  <c r="D102" i="21"/>
  <c r="E102" i="21"/>
  <c r="F102" i="21"/>
  <c r="G102" i="21"/>
  <c r="H102" i="21"/>
  <c r="I102" i="21"/>
  <c r="J102" i="21"/>
  <c r="K102" i="21"/>
  <c r="L102" i="21"/>
  <c r="C102" i="21"/>
  <c r="C63" i="21"/>
  <c r="F9" i="21"/>
  <c r="G18" i="20"/>
  <c r="B88" i="43"/>
  <c r="G19" i="20"/>
  <c r="B85" i="43"/>
  <c r="G16" i="20"/>
  <c r="B82" i="43"/>
  <c r="G15" i="20"/>
  <c r="B81" i="43"/>
  <c r="C24" i="20"/>
  <c r="B73" i="43" s="1"/>
  <c r="C21" i="20"/>
  <c r="B74" i="43" s="1"/>
  <c r="C20" i="20"/>
  <c r="B77" i="43"/>
  <c r="C18" i="20"/>
  <c r="B71" i="43" s="1"/>
  <c r="C17" i="20"/>
  <c r="B59" i="43" s="1"/>
  <c r="C16" i="20"/>
  <c r="C17" i="39" s="1"/>
  <c r="C15" i="20"/>
  <c r="B70" i="43" s="1"/>
  <c r="E54" i="21"/>
  <c r="F54" i="21"/>
  <c r="I54" i="21"/>
  <c r="J54" i="21"/>
  <c r="G54" i="21"/>
  <c r="H54" i="21"/>
  <c r="D125" i="21"/>
  <c r="E125" i="21"/>
  <c r="F125" i="21"/>
  <c r="G125" i="21"/>
  <c r="D123" i="21"/>
  <c r="E123" i="21"/>
  <c r="F123" i="21"/>
  <c r="F42" i="21"/>
  <c r="AA42" i="21"/>
  <c r="D119" i="21"/>
  <c r="F40" i="21"/>
  <c r="AA40" i="21"/>
  <c r="D117" i="21"/>
  <c r="E117" i="21"/>
  <c r="F117" i="21"/>
  <c r="G117" i="21"/>
  <c r="D115" i="21"/>
  <c r="E115" i="21"/>
  <c r="F115" i="21"/>
  <c r="G115" i="21"/>
  <c r="H115" i="21"/>
  <c r="I115" i="21"/>
  <c r="J115" i="21"/>
  <c r="K115" i="21"/>
  <c r="L115" i="21"/>
  <c r="M115" i="21"/>
  <c r="D113" i="21"/>
  <c r="E113" i="21"/>
  <c r="F113" i="21"/>
  <c r="G113" i="21"/>
  <c r="H113" i="21"/>
  <c r="D110" i="21"/>
  <c r="E110" i="21"/>
  <c r="F110" i="21"/>
  <c r="G110" i="21"/>
  <c r="H110" i="21"/>
  <c r="I110" i="21"/>
  <c r="J110" i="21"/>
  <c r="K110" i="21"/>
  <c r="L110" i="21"/>
  <c r="M110" i="21"/>
  <c r="J36" i="21"/>
  <c r="AC36" i="21"/>
  <c r="D108" i="21"/>
  <c r="E108" i="21"/>
  <c r="F108" i="21"/>
  <c r="G108" i="21"/>
  <c r="H108" i="21"/>
  <c r="I108" i="21"/>
  <c r="J108" i="21"/>
  <c r="K108" i="21"/>
  <c r="L108" i="21"/>
  <c r="M108" i="21"/>
  <c r="D106" i="21"/>
  <c r="E106" i="21"/>
  <c r="F106" i="21"/>
  <c r="G106" i="21"/>
  <c r="H106" i="21"/>
  <c r="I106" i="21"/>
  <c r="J106" i="21"/>
  <c r="K106" i="21"/>
  <c r="L106" i="21"/>
  <c r="M106" i="21"/>
  <c r="D101" i="21"/>
  <c r="E101" i="21"/>
  <c r="F101" i="21"/>
  <c r="G101" i="21"/>
  <c r="H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F19" i="21"/>
  <c r="AA19" i="21"/>
  <c r="E81" i="21"/>
  <c r="F81" i="21"/>
  <c r="G81" i="21"/>
  <c r="D77" i="21"/>
  <c r="E77" i="21"/>
  <c r="B130" i="21"/>
  <c r="B128" i="21"/>
  <c r="J45" i="21"/>
  <c r="W45" i="21"/>
  <c r="B126" i="21"/>
  <c r="B98" i="21"/>
  <c r="H31" i="21"/>
  <c r="B96" i="21"/>
  <c r="B94" i="21"/>
  <c r="J29" i="21"/>
  <c r="AC29" i="21"/>
  <c r="B92" i="21"/>
  <c r="B90" i="21"/>
  <c r="J27" i="21"/>
  <c r="W27" i="21"/>
  <c r="B74" i="21"/>
  <c r="B72" i="21"/>
  <c r="H13" i="21"/>
  <c r="B70" i="21"/>
  <c r="F12" i="21"/>
  <c r="S12"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H40" i="21"/>
  <c r="AB40"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C7" i="12"/>
  <c r="BB12" i="3"/>
  <c r="F7" i="12"/>
  <c r="D7" i="12"/>
  <c r="E7" i="12"/>
  <c r="G7" i="12"/>
  <c r="K5" i="3"/>
  <c r="I4" i="6" s="1"/>
  <c r="G3" i="43" s="1"/>
  <c r="J5" i="3"/>
  <c r="BE10" i="3"/>
  <c r="BB585" i="3"/>
  <c r="BC585" i="3"/>
  <c r="BD585" i="3"/>
  <c r="BE585" i="3"/>
  <c r="BF585" i="3"/>
  <c r="BG585" i="3"/>
  <c r="BH585" i="3"/>
  <c r="BI585" i="3"/>
  <c r="BJ585" i="3"/>
  <c r="BK585" i="3"/>
  <c r="BM585" i="3"/>
  <c r="BN585" i="3"/>
  <c r="BO585" i="3"/>
  <c r="BP585" i="3"/>
  <c r="BQ585" i="3"/>
  <c r="BR585" i="3"/>
  <c r="BS585" i="3"/>
  <c r="BL585" i="3"/>
  <c r="AZ585" i="3"/>
  <c r="BT585" i="3"/>
  <c r="BB586" i="3"/>
  <c r="BC586" i="3"/>
  <c r="BD586" i="3"/>
  <c r="BE586" i="3"/>
  <c r="BF586" i="3"/>
  <c r="BG586" i="3"/>
  <c r="BH586" i="3"/>
  <c r="BI586" i="3"/>
  <c r="BJ586" i="3"/>
  <c r="BK586" i="3"/>
  <c r="BM586" i="3"/>
  <c r="BL586" i="3"/>
  <c r="BN586" i="3"/>
  <c r="BO586" i="3"/>
  <c r="BP586" i="3"/>
  <c r="BQ586" i="3"/>
  <c r="BR586" i="3"/>
  <c r="BS586" i="3"/>
  <c r="BT586" i="3"/>
  <c r="BB587" i="3"/>
  <c r="BC587" i="3"/>
  <c r="BD587" i="3"/>
  <c r="BE587" i="3"/>
  <c r="BF587" i="3"/>
  <c r="BG587" i="3"/>
  <c r="BH587" i="3"/>
  <c r="BI587" i="3"/>
  <c r="BJ587" i="3"/>
  <c r="BK587" i="3"/>
  <c r="BM587" i="3"/>
  <c r="BN587" i="3"/>
  <c r="BO587" i="3"/>
  <c r="BP587" i="3"/>
  <c r="BQ587" i="3"/>
  <c r="BR587" i="3"/>
  <c r="BS587" i="3"/>
  <c r="BT587" i="3"/>
  <c r="AC585" i="3"/>
  <c r="AC586" i="3"/>
  <c r="AC587" i="3"/>
  <c r="BM12" i="3"/>
  <c r="BN12" i="3"/>
  <c r="BO12" i="3"/>
  <c r="BP12" i="3"/>
  <c r="BQ12" i="3"/>
  <c r="BR12" i="3"/>
  <c r="BS12" i="3"/>
  <c r="BT12" i="3"/>
  <c r="BD12" i="3"/>
  <c r="BE12" i="3"/>
  <c r="BF12" i="3"/>
  <c r="BG12" i="3"/>
  <c r="BH12" i="3"/>
  <c r="BI12" i="3"/>
  <c r="BJ12" i="3"/>
  <c r="BK12" i="3"/>
  <c r="BC12" i="3"/>
  <c r="BT11" i="3"/>
  <c r="BT10" i="3"/>
  <c r="BS11" i="3"/>
  <c r="BS10" i="3"/>
  <c r="BR11" i="3"/>
  <c r="BR10" i="3"/>
  <c r="BQ11" i="3"/>
  <c r="BQ10" i="3"/>
  <c r="BP11" i="3"/>
  <c r="BP10" i="3"/>
  <c r="BO11" i="3"/>
  <c r="BO10" i="3"/>
  <c r="BN11" i="3"/>
  <c r="BN10" i="3"/>
  <c r="BM11" i="3"/>
  <c r="BM10" i="3"/>
  <c r="BK11" i="3"/>
  <c r="BK10" i="3"/>
  <c r="BJ11" i="3"/>
  <c r="BJ10" i="3"/>
  <c r="BI11" i="3"/>
  <c r="BI10" i="3"/>
  <c r="BH11" i="3"/>
  <c r="BH10" i="3"/>
  <c r="BG11" i="3"/>
  <c r="BG10" i="3"/>
  <c r="BF11" i="3"/>
  <c r="BF10" i="3"/>
  <c r="BE11" i="3"/>
  <c r="AE5" i="3"/>
  <c r="AF5" i="3"/>
  <c r="AG5" i="3"/>
  <c r="AI5" i="3"/>
  <c r="AJ5" i="3"/>
  <c r="AK5" i="3"/>
  <c r="AM5" i="3"/>
  <c r="AN5" i="3"/>
  <c r="AO5" i="3"/>
  <c r="AQ5" i="3"/>
  <c r="AR5" i="3"/>
  <c r="AS5" i="3"/>
  <c r="L5" i="3"/>
  <c r="M5" i="3"/>
  <c r="N5" i="3"/>
  <c r="O5" i="3"/>
  <c r="P5" i="3"/>
  <c r="Q5" i="3"/>
  <c r="R5" i="3"/>
  <c r="S5" i="3"/>
  <c r="T5" i="3"/>
  <c r="U5" i="3"/>
  <c r="V5" i="3"/>
  <c r="W5" i="3"/>
  <c r="X5" i="3"/>
  <c r="Y5" i="3"/>
  <c r="Z5" i="3"/>
  <c r="AA5" i="3"/>
  <c r="AB5" i="3"/>
  <c r="H585" i="3"/>
  <c r="G585" i="3"/>
  <c r="H586" i="3"/>
  <c r="G586" i="3"/>
  <c r="H587" i="3"/>
  <c r="G587" i="3"/>
  <c r="F5" i="3"/>
  <c r="G27" i="6"/>
  <c r="F34" i="21"/>
  <c r="AA34" i="21"/>
  <c r="H34" i="21"/>
  <c r="AB34" i="21"/>
  <c r="F43" i="21"/>
  <c r="S43" i="21"/>
  <c r="H38" i="21"/>
  <c r="U38" i="21"/>
  <c r="H43" i="21"/>
  <c r="AB43" i="21"/>
  <c r="F38" i="21"/>
  <c r="S38" i="21"/>
  <c r="F36" i="21"/>
  <c r="S36" i="21"/>
  <c r="F39" i="21"/>
  <c r="AA39" i="21"/>
  <c r="J40" i="21"/>
  <c r="W40" i="21"/>
  <c r="H35" i="21"/>
  <c r="AB35" i="21"/>
  <c r="J8" i="21"/>
  <c r="AC8" i="21"/>
  <c r="H8" i="21"/>
  <c r="U8" i="21"/>
  <c r="H10" i="21"/>
  <c r="AB10" i="21"/>
  <c r="H39" i="21"/>
  <c r="U39" i="21"/>
  <c r="J34" i="21"/>
  <c r="W34" i="21"/>
  <c r="H36" i="21"/>
  <c r="U36" i="21"/>
  <c r="F35" i="21"/>
  <c r="AA35" i="21"/>
  <c r="J10" i="21"/>
  <c r="AC10" i="21"/>
  <c r="H26" i="21"/>
  <c r="AB26" i="21"/>
  <c r="AB19" i="21"/>
  <c r="J19" i="21"/>
  <c r="W19" i="21"/>
  <c r="J12" i="21"/>
  <c r="AC12" i="21"/>
  <c r="H12" i="21"/>
  <c r="AB12" i="21"/>
  <c r="J26" i="21"/>
  <c r="W26" i="21"/>
  <c r="F26" i="21"/>
  <c r="S26" i="21"/>
  <c r="AB41" i="21"/>
  <c r="S41" i="21"/>
  <c r="AA41" i="21"/>
  <c r="F45" i="39"/>
  <c r="S45" i="39" s="1"/>
  <c r="J45" i="39"/>
  <c r="W45" i="39" s="1"/>
  <c r="J44" i="39"/>
  <c r="AC44" i="39" s="1"/>
  <c r="F36" i="39"/>
  <c r="S36" i="39" s="1"/>
  <c r="H36" i="39"/>
  <c r="AB36" i="39" s="1"/>
  <c r="J36" i="39"/>
  <c r="AC36" i="39" s="1"/>
  <c r="W25" i="37"/>
  <c r="U30" i="37"/>
  <c r="W31" i="37"/>
  <c r="E103" i="37"/>
  <c r="F103" i="37"/>
  <c r="G103" i="37"/>
  <c r="H103" i="37"/>
  <c r="I103" i="37"/>
  <c r="J103" i="37"/>
  <c r="K103" i="37"/>
  <c r="L103" i="37"/>
  <c r="M103" i="37"/>
  <c r="F39" i="37"/>
  <c r="S39" i="37"/>
  <c r="U14" i="37"/>
  <c r="F29" i="36"/>
  <c r="AA29" i="36"/>
  <c r="W8" i="36"/>
  <c r="F16" i="36"/>
  <c r="AA16" i="36"/>
  <c r="U9" i="36"/>
  <c r="W28" i="36"/>
  <c r="S30" i="36"/>
  <c r="AA31" i="36"/>
  <c r="AC31" i="36"/>
  <c r="W31" i="36"/>
  <c r="U31" i="36"/>
  <c r="J33" i="36"/>
  <c r="W33" i="36"/>
  <c r="H22" i="35"/>
  <c r="AB22" i="35"/>
  <c r="AC27" i="35"/>
  <c r="W28" i="35"/>
  <c r="U31" i="35"/>
  <c r="S34" i="35"/>
  <c r="W34" i="35"/>
  <c r="W36" i="35"/>
  <c r="W22" i="35"/>
  <c r="S31" i="35"/>
  <c r="U34" i="35"/>
  <c r="F36" i="34"/>
  <c r="J35" i="34"/>
  <c r="W9" i="34"/>
  <c r="S34" i="34"/>
  <c r="U34" i="34"/>
  <c r="H39" i="33"/>
  <c r="AB39" i="33"/>
  <c r="F26" i="33"/>
  <c r="AA26" i="33"/>
  <c r="S9" i="33"/>
  <c r="U33" i="33"/>
  <c r="U35" i="33"/>
  <c r="S40" i="33"/>
  <c r="W33" i="33"/>
  <c r="W39" i="33"/>
  <c r="H39" i="37"/>
  <c r="AB39" i="37"/>
  <c r="S27" i="35"/>
  <c r="F11" i="40"/>
  <c r="AA11" i="40"/>
  <c r="H11" i="40"/>
  <c r="AB11" i="40"/>
  <c r="W8" i="40"/>
  <c r="AB39" i="40"/>
  <c r="AC40" i="40"/>
  <c r="AA9" i="40"/>
  <c r="AC9" i="40"/>
  <c r="U9" i="40"/>
  <c r="S34" i="40"/>
  <c r="U38" i="40"/>
  <c r="S40" i="40"/>
  <c r="W31" i="40"/>
  <c r="U34" i="40"/>
  <c r="S38" i="40"/>
  <c r="U40" i="40"/>
  <c r="F42" i="39"/>
  <c r="AA42" i="39" s="1"/>
  <c r="F41" i="39"/>
  <c r="S41" i="39" s="1"/>
  <c r="H40" i="39"/>
  <c r="AB40" i="39" s="1"/>
  <c r="H34" i="39"/>
  <c r="U34" i="39" s="1"/>
  <c r="E109" i="39"/>
  <c r="E101" i="39"/>
  <c r="H27" i="39" s="1"/>
  <c r="H19" i="39"/>
  <c r="AB19" i="39" s="1"/>
  <c r="F19" i="39"/>
  <c r="AA19" i="39" s="1"/>
  <c r="H17" i="39"/>
  <c r="AB17" i="39" s="1"/>
  <c r="F17" i="39"/>
  <c r="AA17" i="39" s="1"/>
  <c r="J23" i="40"/>
  <c r="AC23" i="40"/>
  <c r="F21" i="40"/>
  <c r="AA21" i="40"/>
  <c r="J21" i="40"/>
  <c r="W21" i="40"/>
  <c r="H42" i="39"/>
  <c r="AB42" i="39" s="1"/>
  <c r="J34" i="39"/>
  <c r="AC34" i="39" s="1"/>
  <c r="F109" i="39"/>
  <c r="G109" i="39" s="1"/>
  <c r="H109" i="39" s="1"/>
  <c r="I109" i="39" s="1"/>
  <c r="J109" i="39" s="1"/>
  <c r="K109" i="39" s="1"/>
  <c r="L109" i="39" s="1"/>
  <c r="M109" i="39" s="1"/>
  <c r="F101" i="39"/>
  <c r="G101" i="39" s="1"/>
  <c r="J19" i="39"/>
  <c r="AC19" i="39" s="1"/>
  <c r="J17" i="39"/>
  <c r="AC17" i="39" s="1"/>
  <c r="F11" i="21"/>
  <c r="S11" i="21"/>
  <c r="S40" i="21"/>
  <c r="U34" i="21"/>
  <c r="S34" i="21"/>
  <c r="C25" i="39"/>
  <c r="C27" i="39"/>
  <c r="H32" i="33"/>
  <c r="AB32" i="33"/>
  <c r="H11" i="21"/>
  <c r="U11" i="21"/>
  <c r="J11" i="21"/>
  <c r="W11" i="21"/>
  <c r="H37" i="40"/>
  <c r="U37" i="40"/>
  <c r="H36" i="40"/>
  <c r="AB36" i="40"/>
  <c r="F35" i="40"/>
  <c r="AA35" i="40"/>
  <c r="H23" i="40"/>
  <c r="AB23" i="40"/>
  <c r="H17" i="40"/>
  <c r="U17" i="40"/>
  <c r="J15" i="40"/>
  <c r="W15" i="40"/>
  <c r="J11" i="40"/>
  <c r="W11" i="40"/>
  <c r="AB12" i="33"/>
  <c r="AC12" i="34"/>
  <c r="AA12" i="34"/>
  <c r="AB12" i="35"/>
  <c r="AB12" i="36"/>
  <c r="W32" i="40"/>
  <c r="S44" i="39"/>
  <c r="F37" i="39"/>
  <c r="AA37" i="39" s="1"/>
  <c r="J34" i="36"/>
  <c r="W34" i="36"/>
  <c r="U30" i="36"/>
  <c r="J30" i="35"/>
  <c r="W30" i="35"/>
  <c r="H30" i="35"/>
  <c r="AB30" i="35"/>
  <c r="F22" i="35"/>
  <c r="AA22" i="35"/>
  <c r="H10" i="35"/>
  <c r="U10" i="35"/>
  <c r="AC16" i="36"/>
  <c r="F33" i="36"/>
  <c r="AA33" i="36"/>
  <c r="W30" i="36"/>
  <c r="H16" i="36"/>
  <c r="AB16" i="36"/>
  <c r="E85" i="36"/>
  <c r="F85" i="36"/>
  <c r="G85" i="36"/>
  <c r="H85" i="36"/>
  <c r="I85" i="36"/>
  <c r="J85" i="36"/>
  <c r="K85" i="36"/>
  <c r="L85" i="36"/>
  <c r="M85" i="36"/>
  <c r="J29" i="36"/>
  <c r="AC29" i="36"/>
  <c r="F12" i="36"/>
  <c r="F24" i="36"/>
  <c r="AA24" i="36"/>
  <c r="F34" i="36"/>
  <c r="S34" i="36"/>
  <c r="S10" i="36"/>
  <c r="AB8" i="36"/>
  <c r="S8" i="36"/>
  <c r="U8" i="35"/>
  <c r="F14" i="35"/>
  <c r="AA14" i="35"/>
  <c r="F23" i="35"/>
  <c r="AA23" i="35"/>
  <c r="J32" i="35"/>
  <c r="AC32" i="35"/>
  <c r="J16" i="35"/>
  <c r="AC16" i="35"/>
  <c r="H16" i="35"/>
  <c r="U16" i="35"/>
  <c r="F16" i="35"/>
  <c r="S16" i="35"/>
  <c r="H14" i="35"/>
  <c r="AB14" i="35"/>
  <c r="J29" i="35"/>
  <c r="H33" i="35"/>
  <c r="AB33" i="35"/>
  <c r="AC8" i="35"/>
  <c r="J20" i="35"/>
  <c r="W20" i="35"/>
  <c r="F35" i="37"/>
  <c r="S35" i="37"/>
  <c r="E101" i="37"/>
  <c r="F101" i="37"/>
  <c r="G101" i="37"/>
  <c r="H101" i="37"/>
  <c r="I101" i="37"/>
  <c r="J101" i="37"/>
  <c r="K101" i="37"/>
  <c r="L101" i="37"/>
  <c r="M101" i="37"/>
  <c r="J34" i="37"/>
  <c r="W34" i="37"/>
  <c r="S10" i="37"/>
  <c r="AA39" i="37"/>
  <c r="AB34" i="37"/>
  <c r="J33" i="37"/>
  <c r="AC33" i="37"/>
  <c r="U42" i="34"/>
  <c r="H40" i="34"/>
  <c r="U40" i="34"/>
  <c r="E114" i="34"/>
  <c r="H36" i="34"/>
  <c r="U36" i="34"/>
  <c r="F37" i="34"/>
  <c r="AA37" i="34"/>
  <c r="S35" i="34"/>
  <c r="F28" i="34"/>
  <c r="AA28" i="34"/>
  <c r="F27" i="34"/>
  <c r="AA27" i="34"/>
  <c r="F25" i="34"/>
  <c r="S25" i="34"/>
  <c r="H23" i="34"/>
  <c r="U23" i="34"/>
  <c r="J23" i="34"/>
  <c r="F19" i="34"/>
  <c r="H17" i="34"/>
  <c r="U17" i="34"/>
  <c r="F15" i="34"/>
  <c r="J15" i="34"/>
  <c r="H15" i="34"/>
  <c r="AB15" i="34"/>
  <c r="S9" i="34"/>
  <c r="W8" i="34"/>
  <c r="J28" i="34"/>
  <c r="W28" i="34"/>
  <c r="F41" i="33"/>
  <c r="AA41" i="33"/>
  <c r="S38" i="33"/>
  <c r="E113" i="33"/>
  <c r="F32" i="33"/>
  <c r="AA32" i="33"/>
  <c r="J19" i="33"/>
  <c r="AC19" i="33"/>
  <c r="J15" i="33"/>
  <c r="AC15" i="33"/>
  <c r="F11" i="33"/>
  <c r="AA11" i="33"/>
  <c r="S26" i="33"/>
  <c r="U40" i="33"/>
  <c r="W40" i="33"/>
  <c r="U8" i="33"/>
  <c r="S8" i="33"/>
  <c r="F37" i="40"/>
  <c r="AA37" i="40"/>
  <c r="F36" i="40"/>
  <c r="AA36" i="40"/>
  <c r="H28" i="40"/>
  <c r="U28" i="40"/>
  <c r="F23" i="40"/>
  <c r="AA23" i="40"/>
  <c r="F17" i="40"/>
  <c r="AA17" i="40"/>
  <c r="J17" i="40"/>
  <c r="W17" i="40"/>
  <c r="F15" i="40"/>
  <c r="S15" i="40"/>
  <c r="H15" i="40"/>
  <c r="AB15" i="40"/>
  <c r="AC11" i="40"/>
  <c r="S12" i="36"/>
  <c r="AA12" i="36"/>
  <c r="AB30" i="36"/>
  <c r="AC34" i="36"/>
  <c r="U30" i="35"/>
  <c r="U33" i="35"/>
  <c r="F29" i="35"/>
  <c r="S29" i="35"/>
  <c r="H29" i="35"/>
  <c r="AB29" i="35"/>
  <c r="H33" i="37"/>
  <c r="AB33" i="37"/>
  <c r="F33" i="37"/>
  <c r="AA33" i="37"/>
  <c r="U34" i="37"/>
  <c r="W33" i="37"/>
  <c r="S34" i="37"/>
  <c r="AA34" i="37"/>
  <c r="J43" i="34"/>
  <c r="AB42" i="34"/>
  <c r="J40" i="34"/>
  <c r="F114" i="34"/>
  <c r="G114" i="34"/>
  <c r="H114" i="34"/>
  <c r="I114" i="34"/>
  <c r="J114" i="34"/>
  <c r="K114" i="34"/>
  <c r="L114" i="34"/>
  <c r="M114" i="34"/>
  <c r="H38" i="34"/>
  <c r="AB38" i="34"/>
  <c r="J36" i="34"/>
  <c r="W36" i="34"/>
  <c r="H37" i="34"/>
  <c r="U37" i="34"/>
  <c r="H25" i="34"/>
  <c r="AB25" i="34"/>
  <c r="J25" i="34"/>
  <c r="AC25" i="34"/>
  <c r="AB23" i="34"/>
  <c r="F23" i="34"/>
  <c r="AA23" i="34"/>
  <c r="J19" i="34"/>
  <c r="AC19" i="34"/>
  <c r="F17" i="34"/>
  <c r="AA17" i="34"/>
  <c r="J17" i="34"/>
  <c r="W17" i="34"/>
  <c r="AB17" i="34"/>
  <c r="AA15" i="34"/>
  <c r="S15" i="34"/>
  <c r="S41" i="33"/>
  <c r="F113" i="33"/>
  <c r="G113" i="33"/>
  <c r="H113" i="33"/>
  <c r="I113" i="33"/>
  <c r="J113" i="33"/>
  <c r="K113" i="33"/>
  <c r="L113" i="33"/>
  <c r="M113" i="33"/>
  <c r="H37" i="33"/>
  <c r="AB37" i="33"/>
  <c r="H15" i="33"/>
  <c r="AB15" i="33"/>
  <c r="H11" i="33"/>
  <c r="AB11" i="33"/>
  <c r="F28" i="40"/>
  <c r="AA28" i="40"/>
  <c r="AA29" i="35"/>
  <c r="AA42" i="34"/>
  <c r="S42" i="34"/>
  <c r="AC38" i="34"/>
  <c r="AA38" i="34"/>
  <c r="J37" i="34"/>
  <c r="AC37" i="34"/>
  <c r="J11" i="33"/>
  <c r="W11" i="33"/>
  <c r="S28" i="34"/>
  <c r="U23" i="40"/>
  <c r="G123" i="21"/>
  <c r="H123" i="21"/>
  <c r="I123" i="21"/>
  <c r="J123" i="21"/>
  <c r="K123" i="21"/>
  <c r="L123" i="21"/>
  <c r="M123" i="21"/>
  <c r="J42" i="21"/>
  <c r="AC42" i="21"/>
  <c r="H42" i="21"/>
  <c r="U42" i="21"/>
  <c r="J44" i="34"/>
  <c r="F44" i="34"/>
  <c r="AA44" i="34"/>
  <c r="J10" i="35"/>
  <c r="W10" i="35"/>
  <c r="BL587" i="3"/>
  <c r="J14" i="21"/>
  <c r="W14" i="21"/>
  <c r="F14" i="21"/>
  <c r="S14" i="21"/>
  <c r="H14" i="21"/>
  <c r="U14" i="21"/>
  <c r="H28" i="21"/>
  <c r="AB28" i="21"/>
  <c r="F28" i="21"/>
  <c r="AA28" i="21"/>
  <c r="J28" i="21"/>
  <c r="W28" i="21"/>
  <c r="H30" i="21"/>
  <c r="U30" i="21"/>
  <c r="F30" i="21"/>
  <c r="S30" i="21"/>
  <c r="J30" i="21"/>
  <c r="AC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AA28" i="33"/>
  <c r="J28" i="33"/>
  <c r="W28" i="33"/>
  <c r="F33" i="35"/>
  <c r="S33" i="35"/>
  <c r="J33" i="35"/>
  <c r="AC33" i="35"/>
  <c r="F30" i="35"/>
  <c r="S30" i="35"/>
  <c r="E89" i="35"/>
  <c r="F89" i="35"/>
  <c r="G89" i="35"/>
  <c r="H89" i="35"/>
  <c r="I89" i="35"/>
  <c r="J89" i="35"/>
  <c r="K89" i="35"/>
  <c r="L89" i="35"/>
  <c r="M89" i="35"/>
  <c r="H10" i="36"/>
  <c r="AB10" i="36"/>
  <c r="J14" i="36"/>
  <c r="AC14" i="36"/>
  <c r="H14" i="36"/>
  <c r="U14" i="36"/>
  <c r="F28" i="36"/>
  <c r="AA28" i="36"/>
  <c r="J13" i="21"/>
  <c r="AC13" i="21"/>
  <c r="H27" i="21"/>
  <c r="AB27" i="21"/>
  <c r="F27" i="21"/>
  <c r="AA27" i="21"/>
  <c r="H29" i="21"/>
  <c r="U29" i="21"/>
  <c r="J31" i="21"/>
  <c r="AC31" i="21"/>
  <c r="F31" i="21"/>
  <c r="S31" i="21"/>
  <c r="F45" i="21"/>
  <c r="AA45" i="21"/>
  <c r="F27" i="33"/>
  <c r="AA27" i="33"/>
  <c r="J13" i="33"/>
  <c r="H13" i="33"/>
  <c r="AB13" i="33"/>
  <c r="F13" i="33"/>
  <c r="S13" i="33"/>
  <c r="J29" i="33"/>
  <c r="AC29" i="33"/>
  <c r="H29" i="33"/>
  <c r="U29" i="33"/>
  <c r="F29" i="33"/>
  <c r="S29" i="33"/>
  <c r="J31" i="33"/>
  <c r="W31" i="33"/>
  <c r="H31" i="33"/>
  <c r="F31" i="33"/>
  <c r="H45" i="33"/>
  <c r="U45" i="33"/>
  <c r="J45" i="33"/>
  <c r="W45" i="33"/>
  <c r="F45" i="33"/>
  <c r="AA45" i="33"/>
  <c r="J14" i="34"/>
  <c r="W14" i="34"/>
  <c r="F14" i="34"/>
  <c r="S14" i="34"/>
  <c r="H14" i="34"/>
  <c r="H30" i="34"/>
  <c r="F30" i="34"/>
  <c r="S30" i="34"/>
  <c r="J30" i="34"/>
  <c r="W30" i="34"/>
  <c r="H32" i="34"/>
  <c r="F32" i="34"/>
  <c r="J32" i="34"/>
  <c r="W32" i="34"/>
  <c r="H46" i="34"/>
  <c r="U46" i="34"/>
  <c r="F46" i="34"/>
  <c r="J46" i="34"/>
  <c r="H11" i="35"/>
  <c r="U11" i="35"/>
  <c r="J11" i="35"/>
  <c r="AC11" i="35"/>
  <c r="F11" i="35"/>
  <c r="S11" i="35"/>
  <c r="J26" i="36"/>
  <c r="W26" i="36"/>
  <c r="H28" i="36"/>
  <c r="U28" i="36"/>
  <c r="H32" i="36"/>
  <c r="AB32" i="36"/>
  <c r="J32" i="36"/>
  <c r="W32" i="36"/>
  <c r="J11" i="36"/>
  <c r="AC11" i="36"/>
  <c r="H11" i="36"/>
  <c r="U11" i="36"/>
  <c r="F11" i="36"/>
  <c r="AA11" i="36"/>
  <c r="H13" i="36"/>
  <c r="AB13" i="36"/>
  <c r="J13" i="36"/>
  <c r="F13" i="36"/>
  <c r="S13" i="36"/>
  <c r="E89" i="37"/>
  <c r="F89" i="37"/>
  <c r="G89" i="37"/>
  <c r="H89" i="37"/>
  <c r="I89" i="37"/>
  <c r="J89" i="37"/>
  <c r="K89" i="37"/>
  <c r="L89" i="37"/>
  <c r="M89" i="37"/>
  <c r="J29" i="37"/>
  <c r="W29" i="37"/>
  <c r="F29" i="37"/>
  <c r="S29" i="37"/>
  <c r="F105" i="37"/>
  <c r="H36" i="37"/>
  <c r="AB36" i="37"/>
  <c r="F107" i="37"/>
  <c r="J37" i="37"/>
  <c r="AC37" i="37"/>
  <c r="H37" i="37"/>
  <c r="U37" i="37"/>
  <c r="H40" i="37"/>
  <c r="U40" i="37"/>
  <c r="J40" i="37"/>
  <c r="AC40" i="37"/>
  <c r="F40" i="37"/>
  <c r="AA40" i="37"/>
  <c r="AC12" i="40"/>
  <c r="W12" i="40"/>
  <c r="H14" i="33"/>
  <c r="U14" i="33"/>
  <c r="F14" i="33"/>
  <c r="S14" i="33"/>
  <c r="J14" i="33"/>
  <c r="H30" i="33"/>
  <c r="AB30" i="33"/>
  <c r="F30" i="33"/>
  <c r="J30" i="33"/>
  <c r="H44" i="33"/>
  <c r="J44" i="33"/>
  <c r="AC44" i="33"/>
  <c r="F44" i="33"/>
  <c r="S44" i="33"/>
  <c r="J46" i="33"/>
  <c r="AC46" i="33"/>
  <c r="F46" i="33"/>
  <c r="AA46" i="33"/>
  <c r="H46" i="33"/>
  <c r="AB46" i="33"/>
  <c r="H13" i="34"/>
  <c r="U13" i="34"/>
  <c r="J13" i="34"/>
  <c r="W13" i="34"/>
  <c r="F13" i="34"/>
  <c r="AA13" i="34"/>
  <c r="J29" i="34"/>
  <c r="F29" i="34"/>
  <c r="S29" i="34"/>
  <c r="H29" i="34"/>
  <c r="AB29" i="34"/>
  <c r="J31" i="34"/>
  <c r="AC31" i="34"/>
  <c r="H31" i="34"/>
  <c r="AB31" i="34"/>
  <c r="F31" i="34"/>
  <c r="S31" i="34"/>
  <c r="H45" i="34"/>
  <c r="U45" i="34"/>
  <c r="J45" i="34"/>
  <c r="W45" i="34"/>
  <c r="F45" i="34"/>
  <c r="S45" i="34"/>
  <c r="H47" i="34"/>
  <c r="U47" i="34"/>
  <c r="F47" i="34"/>
  <c r="S47" i="34"/>
  <c r="J47" i="34"/>
  <c r="AC47" i="34"/>
  <c r="F13" i="35"/>
  <c r="S13" i="35"/>
  <c r="J13" i="35"/>
  <c r="AC13" i="35"/>
  <c r="H13" i="35"/>
  <c r="U13" i="35"/>
  <c r="J25" i="35"/>
  <c r="W25" i="35"/>
  <c r="F25" i="35"/>
  <c r="S25" i="35"/>
  <c r="H25" i="35"/>
  <c r="AB25" i="35"/>
  <c r="J35" i="35"/>
  <c r="AC35" i="35"/>
  <c r="F35" i="35"/>
  <c r="AA35" i="35"/>
  <c r="H35" i="35"/>
  <c r="AB35" i="35"/>
  <c r="J25" i="36"/>
  <c r="W25" i="36"/>
  <c r="F25" i="36"/>
  <c r="S25" i="36"/>
  <c r="H25" i="36"/>
  <c r="AB25" i="36"/>
  <c r="H13" i="37"/>
  <c r="AB13" i="37"/>
  <c r="F13" i="37"/>
  <c r="S13" i="37"/>
  <c r="J13" i="37"/>
  <c r="W13" i="37"/>
  <c r="F28" i="37"/>
  <c r="AA28" i="37"/>
  <c r="J28" i="37"/>
  <c r="AC28" i="37"/>
  <c r="H28" i="37"/>
  <c r="U28" i="37"/>
  <c r="H38" i="37"/>
  <c r="AB38" i="37"/>
  <c r="J38" i="37"/>
  <c r="AC38" i="37"/>
  <c r="F38" i="37"/>
  <c r="S38" i="37"/>
  <c r="F43" i="39"/>
  <c r="AA43" i="39" s="1"/>
  <c r="H43" i="39"/>
  <c r="U43" i="39" s="1"/>
  <c r="J14" i="39"/>
  <c r="AC14" i="39" s="1"/>
  <c r="H14" i="39"/>
  <c r="AB14" i="39" s="1"/>
  <c r="F12" i="40"/>
  <c r="S12" i="40"/>
  <c r="H12" i="40"/>
  <c r="AB12" i="40"/>
  <c r="H30" i="40"/>
  <c r="AB30" i="40"/>
  <c r="F33" i="40"/>
  <c r="AA33" i="40"/>
  <c r="H33" i="40"/>
  <c r="U33" i="40"/>
  <c r="J35" i="40"/>
  <c r="AC35" i="40"/>
  <c r="J37" i="40"/>
  <c r="AC37" i="40"/>
  <c r="H13" i="40"/>
  <c r="U13" i="40"/>
  <c r="J13" i="40"/>
  <c r="W13" i="40"/>
  <c r="F13" i="40"/>
  <c r="AA13" i="40"/>
  <c r="F14" i="37"/>
  <c r="S14" i="37"/>
  <c r="F27" i="37"/>
  <c r="AA27" i="37"/>
  <c r="H13" i="39"/>
  <c r="AB13" i="39" s="1"/>
  <c r="H14" i="40"/>
  <c r="AB14" i="40"/>
  <c r="J14" i="40"/>
  <c r="W14" i="40"/>
  <c r="F14" i="40"/>
  <c r="AA14" i="40"/>
  <c r="J14" i="37"/>
  <c r="AC14" i="37"/>
  <c r="J27" i="37"/>
  <c r="AC27" i="37"/>
  <c r="AA44" i="33"/>
  <c r="AA13" i="35"/>
  <c r="U31" i="34"/>
  <c r="U46" i="33"/>
  <c r="AA14" i="33"/>
  <c r="J36" i="37"/>
  <c r="AC36" i="37"/>
  <c r="G105" i="37"/>
  <c r="AB11" i="36"/>
  <c r="AB11" i="35"/>
  <c r="J10" i="36"/>
  <c r="AC10" i="36"/>
  <c r="AB26" i="33"/>
  <c r="AB30" i="21"/>
  <c r="AA14" i="37"/>
  <c r="W31" i="34"/>
  <c r="AC13" i="36"/>
  <c r="W13" i="36"/>
  <c r="S11" i="36"/>
  <c r="W11" i="36"/>
  <c r="W11" i="35"/>
  <c r="AB46" i="34"/>
  <c r="AC30" i="34"/>
  <c r="AA14" i="34"/>
  <c r="S45" i="33"/>
  <c r="AB45" i="33"/>
  <c r="AB31" i="33"/>
  <c r="U31" i="33"/>
  <c r="W29" i="33"/>
  <c r="U13" i="33"/>
  <c r="AC28" i="21"/>
  <c r="S44" i="34"/>
  <c r="BA586" i="3"/>
  <c r="BA585" i="3"/>
  <c r="F17" i="21"/>
  <c r="AA17" i="21"/>
  <c r="H17" i="21"/>
  <c r="AB17" i="21"/>
  <c r="F15" i="21"/>
  <c r="S15" i="21"/>
  <c r="AB11" i="21"/>
  <c r="AC45" i="39"/>
  <c r="W44" i="39"/>
  <c r="W36" i="39"/>
  <c r="G544" i="3"/>
  <c r="G540" i="3"/>
  <c r="G536" i="3"/>
  <c r="G535" i="3"/>
  <c r="G532" i="3"/>
  <c r="G531" i="3"/>
  <c r="G528" i="3"/>
  <c r="G527" i="3"/>
  <c r="G523" i="3"/>
  <c r="G518" i="3"/>
  <c r="G514" i="3"/>
  <c r="G510" i="3"/>
  <c r="G508" i="3"/>
  <c r="G504" i="3"/>
  <c r="G500" i="3"/>
  <c r="G496" i="3"/>
  <c r="G584" i="3"/>
  <c r="G580" i="3"/>
  <c r="G576" i="3"/>
  <c r="G572" i="3"/>
  <c r="G568" i="3"/>
  <c r="G564" i="3"/>
  <c r="G560" i="3"/>
  <c r="G554" i="3"/>
  <c r="G550" i="3"/>
  <c r="BL584" i="3"/>
  <c r="BL580" i="3"/>
  <c r="BL576" i="3"/>
  <c r="BL572" i="3"/>
  <c r="BL568" i="3"/>
  <c r="BL564" i="3"/>
  <c r="BL560" i="3"/>
  <c r="BL554" i="3"/>
  <c r="BL546" i="3"/>
  <c r="BL542" i="3"/>
  <c r="BL538" i="3"/>
  <c r="BL534" i="3"/>
  <c r="BL530" i="3"/>
  <c r="BL526" i="3"/>
  <c r="BL522" i="3"/>
  <c r="BL516" i="3"/>
  <c r="BL512" i="3"/>
  <c r="BL506" i="3"/>
  <c r="BL502" i="3"/>
  <c r="BL498" i="3"/>
  <c r="BL494" i="3"/>
  <c r="BL582" i="3"/>
  <c r="BL578" i="3"/>
  <c r="BL574" i="3"/>
  <c r="BL570" i="3"/>
  <c r="BL566" i="3"/>
  <c r="BL562" i="3"/>
  <c r="BL556" i="3"/>
  <c r="BL552" i="3"/>
  <c r="BL544" i="3"/>
  <c r="BL540" i="3"/>
  <c r="BL536" i="3"/>
  <c r="G533" i="3"/>
  <c r="BL532" i="3"/>
  <c r="G529" i="3"/>
  <c r="BL528" i="3"/>
  <c r="G525" i="3"/>
  <c r="BL524" i="3"/>
  <c r="BL518" i="3"/>
  <c r="BL514" i="3"/>
  <c r="BL510" i="3"/>
  <c r="BL504" i="3"/>
  <c r="BL500" i="3"/>
  <c r="BL496" i="3"/>
  <c r="G493" i="3"/>
  <c r="BA584" i="3"/>
  <c r="BA582" i="3"/>
  <c r="AZ582" i="3"/>
  <c r="BA580" i="3"/>
  <c r="AZ580" i="3"/>
  <c r="BA578" i="3"/>
  <c r="AZ578" i="3"/>
  <c r="BA576" i="3"/>
  <c r="AZ576" i="3"/>
  <c r="BA574" i="3"/>
  <c r="AZ574" i="3"/>
  <c r="BA572" i="3"/>
  <c r="AZ572" i="3"/>
  <c r="BA570" i="3"/>
  <c r="AZ570" i="3"/>
  <c r="BA568" i="3"/>
  <c r="AZ568" i="3"/>
  <c r="BA566" i="3"/>
  <c r="AZ566" i="3"/>
  <c r="BA564" i="3"/>
  <c r="AZ564" i="3"/>
  <c r="BA562" i="3"/>
  <c r="AZ562" i="3"/>
  <c r="BA560" i="3"/>
  <c r="BA558" i="3"/>
  <c r="AZ558" i="3"/>
  <c r="BA556" i="3"/>
  <c r="AZ556" i="3"/>
  <c r="BA554" i="3"/>
  <c r="AZ554" i="3"/>
  <c r="BA552" i="3"/>
  <c r="AZ552" i="3"/>
  <c r="BA548" i="3"/>
  <c r="BA546" i="3"/>
  <c r="BA544" i="3"/>
  <c r="AZ544" i="3"/>
  <c r="BA542" i="3"/>
  <c r="AZ542" i="3"/>
  <c r="BA540" i="3"/>
  <c r="AZ540" i="3"/>
  <c r="BA538" i="3"/>
  <c r="AZ538" i="3"/>
  <c r="BA536" i="3"/>
  <c r="AZ536" i="3"/>
  <c r="BA534" i="3"/>
  <c r="AZ534" i="3"/>
  <c r="BA532" i="3"/>
  <c r="AZ532" i="3"/>
  <c r="BA530" i="3"/>
  <c r="BA528" i="3"/>
  <c r="AZ528" i="3"/>
  <c r="BA526" i="3"/>
  <c r="AZ526" i="3"/>
  <c r="BA524" i="3"/>
  <c r="AZ524" i="3"/>
  <c r="BA522" i="3"/>
  <c r="BA520" i="3"/>
  <c r="BA518" i="3"/>
  <c r="AZ518" i="3"/>
  <c r="BA516" i="3"/>
  <c r="AZ516" i="3"/>
  <c r="BA514" i="3"/>
  <c r="BA512" i="3"/>
  <c r="AZ512" i="3"/>
  <c r="BA510" i="3"/>
  <c r="AZ510" i="3"/>
  <c r="BA508" i="3"/>
  <c r="BA506" i="3"/>
  <c r="BA504" i="3"/>
  <c r="AZ504" i="3"/>
  <c r="BA502" i="3"/>
  <c r="BA500" i="3"/>
  <c r="BA498" i="3"/>
  <c r="AZ498" i="3"/>
  <c r="BA496" i="3"/>
  <c r="BA494" i="3"/>
  <c r="BA587" i="3"/>
  <c r="AZ587" i="3"/>
  <c r="BA583" i="3"/>
  <c r="BA581" i="3"/>
  <c r="AZ581" i="3"/>
  <c r="BA579" i="3"/>
  <c r="BA577" i="3"/>
  <c r="BA575" i="3"/>
  <c r="BA573" i="3"/>
  <c r="BA571" i="3"/>
  <c r="BA569" i="3"/>
  <c r="BA567" i="3"/>
  <c r="BA565" i="3"/>
  <c r="BA563" i="3"/>
  <c r="BA561" i="3"/>
  <c r="BA559" i="3"/>
  <c r="BA555" i="3"/>
  <c r="BA553" i="3"/>
  <c r="BA549" i="3"/>
  <c r="BA547" i="3"/>
  <c r="BA545" i="3"/>
  <c r="BA543" i="3"/>
  <c r="BA541" i="3"/>
  <c r="BA539" i="3"/>
  <c r="BA537" i="3"/>
  <c r="BA535" i="3"/>
  <c r="BA533" i="3"/>
  <c r="BA531" i="3"/>
  <c r="BA529" i="3"/>
  <c r="BA527" i="3"/>
  <c r="BA525" i="3"/>
  <c r="BA523" i="3"/>
  <c r="BA519" i="3"/>
  <c r="BA517" i="3"/>
  <c r="BA515" i="3"/>
  <c r="BA513" i="3"/>
  <c r="BA511" i="3"/>
  <c r="BA507" i="3"/>
  <c r="BA505" i="3"/>
  <c r="BA503" i="3"/>
  <c r="BA501" i="3"/>
  <c r="BA499" i="3"/>
  <c r="BA497" i="3"/>
  <c r="BA495" i="3"/>
  <c r="BA493" i="3"/>
  <c r="AZ560" i="3"/>
  <c r="G583" i="3"/>
  <c r="G581" i="3"/>
  <c r="G579" i="3"/>
  <c r="G577" i="3"/>
  <c r="G575" i="3"/>
  <c r="G573" i="3"/>
  <c r="G571" i="3"/>
  <c r="G569" i="3"/>
  <c r="G567" i="3"/>
  <c r="G565" i="3"/>
  <c r="G563" i="3"/>
  <c r="G561" i="3"/>
  <c r="BL558" i="3"/>
  <c r="BA557" i="3"/>
  <c r="AZ557" i="3"/>
  <c r="AC557" i="3"/>
  <c r="G557" i="3"/>
  <c r="BQ557" i="3"/>
  <c r="BL557" i="3"/>
  <c r="BQ583" i="3"/>
  <c r="BL583" i="3"/>
  <c r="AZ583" i="3"/>
  <c r="BQ581" i="3"/>
  <c r="BL581" i="3"/>
  <c r="BQ579" i="3"/>
  <c r="BL579" i="3"/>
  <c r="AZ579" i="3"/>
  <c r="BQ577" i="3"/>
  <c r="BL577" i="3"/>
  <c r="AZ577" i="3"/>
  <c r="BQ575" i="3"/>
  <c r="BL575" i="3"/>
  <c r="AZ575" i="3"/>
  <c r="BQ573" i="3"/>
  <c r="BL573" i="3"/>
  <c r="AZ573" i="3"/>
  <c r="BQ571" i="3"/>
  <c r="BL571" i="3"/>
  <c r="AZ571" i="3"/>
  <c r="BQ569" i="3"/>
  <c r="BL569" i="3"/>
  <c r="AZ569" i="3"/>
  <c r="BQ567" i="3"/>
  <c r="BL567" i="3"/>
  <c r="AZ567" i="3"/>
  <c r="BQ565" i="3"/>
  <c r="BL565" i="3"/>
  <c r="AZ565" i="3"/>
  <c r="BQ563" i="3"/>
  <c r="BL563" i="3"/>
  <c r="BQ561" i="3"/>
  <c r="BL561" i="3"/>
  <c r="AZ561" i="3"/>
  <c r="BQ559" i="3"/>
  <c r="BL559" i="3"/>
  <c r="AZ559" i="3"/>
  <c r="G559" i="3"/>
  <c r="G555" i="3"/>
  <c r="G553" i="3"/>
  <c r="G549" i="3"/>
  <c r="G547" i="3"/>
  <c r="G545" i="3"/>
  <c r="G543" i="3"/>
  <c r="G541" i="3"/>
  <c r="G539" i="3"/>
  <c r="G537" i="3"/>
  <c r="BQ555" i="3"/>
  <c r="BL555" i="3"/>
  <c r="AZ555" i="3"/>
  <c r="BQ553" i="3"/>
  <c r="BL553" i="3"/>
  <c r="AZ553" i="3"/>
  <c r="BQ551" i="3"/>
  <c r="BL551" i="3"/>
  <c r="BQ549" i="3"/>
  <c r="BQ547" i="3"/>
  <c r="BL547" i="3"/>
  <c r="AZ547" i="3"/>
  <c r="BQ545" i="3"/>
  <c r="BL545" i="3"/>
  <c r="AZ545" i="3"/>
  <c r="BQ543" i="3"/>
  <c r="BL543" i="3"/>
  <c r="AZ543" i="3"/>
  <c r="BQ541" i="3"/>
  <c r="BL541" i="3"/>
  <c r="AZ541" i="3"/>
  <c r="BQ539" i="3"/>
  <c r="BL539" i="3"/>
  <c r="AZ539" i="3"/>
  <c r="BQ537" i="3"/>
  <c r="BL537" i="3"/>
  <c r="AZ537" i="3"/>
  <c r="BQ535" i="3"/>
  <c r="BL535" i="3"/>
  <c r="AZ535" i="3"/>
  <c r="BQ533" i="3"/>
  <c r="BL533" i="3"/>
  <c r="AZ533" i="3"/>
  <c r="BQ531" i="3"/>
  <c r="BL531" i="3"/>
  <c r="AZ531" i="3"/>
  <c r="BQ529" i="3"/>
  <c r="BL529" i="3"/>
  <c r="AZ529" i="3"/>
  <c r="BQ527" i="3"/>
  <c r="BL527" i="3"/>
  <c r="AZ527" i="3"/>
  <c r="BQ525" i="3"/>
  <c r="BL525" i="3"/>
  <c r="AZ525" i="3"/>
  <c r="BQ523" i="3"/>
  <c r="BL523" i="3"/>
  <c r="AZ523" i="3"/>
  <c r="BA521" i="3"/>
  <c r="AZ521" i="3"/>
  <c r="AC521" i="3"/>
  <c r="G521" i="3"/>
  <c r="BQ521" i="3"/>
  <c r="BL521" i="3"/>
  <c r="BL520" i="3"/>
  <c r="AZ520" i="3"/>
  <c r="G519" i="3"/>
  <c r="G517" i="3"/>
  <c r="G515" i="3"/>
  <c r="G513" i="3"/>
  <c r="G511" i="3"/>
  <c r="BQ519" i="3"/>
  <c r="BL519" i="3"/>
  <c r="AZ519" i="3"/>
  <c r="BQ517" i="3"/>
  <c r="BL517" i="3"/>
  <c r="AZ517" i="3"/>
  <c r="BQ515" i="3"/>
  <c r="BL515" i="3"/>
  <c r="AZ515" i="3"/>
  <c r="BQ513" i="3"/>
  <c r="BL513" i="3"/>
  <c r="AZ513" i="3"/>
  <c r="BQ511" i="3"/>
  <c r="BL511" i="3"/>
  <c r="AZ511" i="3"/>
  <c r="BA509" i="3"/>
  <c r="AC509" i="3"/>
  <c r="BQ509" i="3"/>
  <c r="BL509" i="3"/>
  <c r="BL508" i="3"/>
  <c r="AZ508" i="3"/>
  <c r="G507" i="3"/>
  <c r="G505" i="3"/>
  <c r="G503" i="3"/>
  <c r="G501" i="3"/>
  <c r="G499" i="3"/>
  <c r="G497" i="3"/>
  <c r="G495" i="3"/>
  <c r="BQ507" i="3"/>
  <c r="BL507" i="3"/>
  <c r="AZ507" i="3"/>
  <c r="BQ505" i="3"/>
  <c r="BL505" i="3"/>
  <c r="AZ505" i="3"/>
  <c r="BQ503" i="3"/>
  <c r="BL503" i="3"/>
  <c r="AZ503" i="3"/>
  <c r="BQ501" i="3"/>
  <c r="BL501" i="3"/>
  <c r="BQ499" i="3"/>
  <c r="BL499" i="3"/>
  <c r="BQ497" i="3"/>
  <c r="BL497" i="3"/>
  <c r="BQ495" i="3"/>
  <c r="BL495" i="3"/>
  <c r="AZ495" i="3"/>
  <c r="BQ493" i="3"/>
  <c r="AZ584" i="3"/>
  <c r="S505" i="31"/>
  <c r="S503" i="31"/>
  <c r="S501" i="31"/>
  <c r="S499" i="31"/>
  <c r="O27" i="31"/>
  <c r="O28" i="31"/>
  <c r="O26" i="31"/>
  <c r="M27" i="31"/>
  <c r="M28" i="31"/>
  <c r="M26" i="31"/>
  <c r="I26" i="31"/>
  <c r="I25" i="31"/>
  <c r="S25" i="31"/>
  <c r="Q26" i="31"/>
  <c r="K26" i="31"/>
  <c r="I27" i="31"/>
  <c r="Q27" i="31"/>
  <c r="K27" i="31"/>
  <c r="I28" i="31"/>
  <c r="Q28" i="31"/>
  <c r="K28" i="31"/>
  <c r="AC28" i="34"/>
  <c r="S21" i="40"/>
  <c r="AA12" i="21"/>
  <c r="H25" i="21"/>
  <c r="U25" i="21"/>
  <c r="F25" i="21"/>
  <c r="S25" i="21"/>
  <c r="J25" i="21"/>
  <c r="AC25" i="21"/>
  <c r="E125" i="33"/>
  <c r="F125" i="33"/>
  <c r="H43" i="33"/>
  <c r="AB43" i="33"/>
  <c r="H17" i="37"/>
  <c r="U17" i="37"/>
  <c r="AB27" i="37"/>
  <c r="U32" i="33"/>
  <c r="F39" i="33"/>
  <c r="AA39" i="33"/>
  <c r="E123" i="33"/>
  <c r="F42" i="33"/>
  <c r="AA42" i="33"/>
  <c r="H28" i="34"/>
  <c r="AB28" i="34"/>
  <c r="F14" i="36"/>
  <c r="AA14" i="36"/>
  <c r="F22" i="36"/>
  <c r="S22" i="36"/>
  <c r="F26" i="36"/>
  <c r="S26" i="36"/>
  <c r="H27" i="34"/>
  <c r="AB27" i="34"/>
  <c r="H35" i="34"/>
  <c r="U35" i="34"/>
  <c r="F41" i="34"/>
  <c r="S41" i="34"/>
  <c r="H41" i="34"/>
  <c r="U41" i="34"/>
  <c r="J41" i="34"/>
  <c r="AC41" i="34"/>
  <c r="F10" i="35"/>
  <c r="S10" i="35"/>
  <c r="F24" i="35"/>
  <c r="AA24" i="35"/>
  <c r="H24" i="35"/>
  <c r="AB24" i="35"/>
  <c r="H23" i="37"/>
  <c r="AB23" i="37"/>
  <c r="J32" i="37"/>
  <c r="AC32" i="37"/>
  <c r="F36" i="37"/>
  <c r="AA36" i="37"/>
  <c r="F37" i="37"/>
  <c r="AA37" i="37"/>
  <c r="F31" i="40"/>
  <c r="AA31" i="40"/>
  <c r="H31" i="40"/>
  <c r="U31" i="40"/>
  <c r="F32" i="40"/>
  <c r="S32" i="40"/>
  <c r="H32" i="40"/>
  <c r="AB32" i="40"/>
  <c r="J36" i="40"/>
  <c r="W36" i="40"/>
  <c r="AA41" i="34"/>
  <c r="H19" i="37"/>
  <c r="AB19" i="37"/>
  <c r="F123" i="33"/>
  <c r="G123" i="33"/>
  <c r="H123" i="33"/>
  <c r="I123" i="33"/>
  <c r="J123" i="33"/>
  <c r="K123" i="33"/>
  <c r="L123" i="33"/>
  <c r="M123" i="33"/>
  <c r="H42" i="33"/>
  <c r="AB42" i="33"/>
  <c r="G125" i="33"/>
  <c r="J43" i="33"/>
  <c r="AC43" i="33"/>
  <c r="U43" i="33"/>
  <c r="S28" i="31"/>
  <c r="S27" i="31"/>
  <c r="S26" i="31"/>
  <c r="U14" i="40"/>
  <c r="AC32" i="36"/>
  <c r="AC33" i="36"/>
  <c r="U35" i="35"/>
  <c r="AA12" i="35"/>
  <c r="W23" i="35"/>
  <c r="W14" i="37"/>
  <c r="AB28" i="37"/>
  <c r="U33" i="37"/>
  <c r="U39" i="37"/>
  <c r="W26" i="37"/>
  <c r="AC8" i="37"/>
  <c r="U26" i="37"/>
  <c r="W47" i="34"/>
  <c r="AB13" i="34"/>
  <c r="W37" i="34"/>
  <c r="AB37" i="34"/>
  <c r="AC36" i="34"/>
  <c r="AA13" i="33"/>
  <c r="AC31" i="33"/>
  <c r="AC45" i="33"/>
  <c r="W44" i="33"/>
  <c r="U11" i="33"/>
  <c r="U19" i="21"/>
  <c r="W44" i="21"/>
  <c r="U26" i="21"/>
  <c r="AC46" i="21"/>
  <c r="U12" i="21"/>
  <c r="AB38" i="21"/>
  <c r="F43" i="33"/>
  <c r="AA43" i="33"/>
  <c r="W15" i="34"/>
  <c r="AC15" i="34"/>
  <c r="W16" i="35"/>
  <c r="W40" i="37"/>
  <c r="G107" i="37"/>
  <c r="H107" i="37"/>
  <c r="I107" i="37"/>
  <c r="J107" i="37"/>
  <c r="K107" i="37"/>
  <c r="L107" i="37"/>
  <c r="M107" i="37"/>
  <c r="H37" i="21"/>
  <c r="U37" i="21"/>
  <c r="S42" i="21"/>
  <c r="H19" i="34"/>
  <c r="AB19" i="34"/>
  <c r="F36" i="35"/>
  <c r="S36" i="35"/>
  <c r="J9" i="37"/>
  <c r="W9" i="37"/>
  <c r="H9" i="37"/>
  <c r="AB9" i="37"/>
  <c r="F9" i="37"/>
  <c r="S9" i="37"/>
  <c r="J12" i="37"/>
  <c r="W12" i="37"/>
  <c r="H12" i="37"/>
  <c r="AB12" i="37"/>
  <c r="F12" i="37"/>
  <c r="S12" i="37"/>
  <c r="E71" i="37"/>
  <c r="F15" i="37"/>
  <c r="AA15" i="37"/>
  <c r="E94" i="37"/>
  <c r="F31" i="37"/>
  <c r="S31" i="37"/>
  <c r="J42" i="39"/>
  <c r="AC42" i="39" s="1"/>
  <c r="H21" i="40"/>
  <c r="AB21" i="40"/>
  <c r="AC12" i="37"/>
  <c r="F94" i="37"/>
  <c r="G94" i="37"/>
  <c r="H94" i="37"/>
  <c r="I94" i="37"/>
  <c r="J94" i="37"/>
  <c r="K94" i="37"/>
  <c r="L94" i="37"/>
  <c r="M94" i="37"/>
  <c r="H31" i="37"/>
  <c r="U31" i="37"/>
  <c r="F71" i="37"/>
  <c r="G71" i="37"/>
  <c r="J15" i="37"/>
  <c r="W15" i="37"/>
  <c r="U12" i="37"/>
  <c r="H5" i="3"/>
  <c r="AA25" i="21"/>
  <c r="C12" i="43"/>
  <c r="H19" i="40"/>
  <c r="U19" i="40"/>
  <c r="F88" i="40"/>
  <c r="G88" i="40"/>
  <c r="F19" i="40"/>
  <c r="S19" i="40"/>
  <c r="S14" i="40"/>
  <c r="AC13" i="40"/>
  <c r="AB33" i="40"/>
  <c r="H37" i="39"/>
  <c r="AB37" i="39" s="1"/>
  <c r="J15" i="39"/>
  <c r="W15" i="39" s="1"/>
  <c r="J19" i="40"/>
  <c r="AC19" i="40"/>
  <c r="J50" i="40"/>
  <c r="B54" i="72"/>
  <c r="H103" i="9"/>
  <c r="D8" i="53"/>
  <c r="B16" i="53"/>
  <c r="B33" i="72"/>
  <c r="C7" i="37"/>
  <c r="C7" i="34"/>
  <c r="C7" i="36"/>
  <c r="W35" i="40"/>
  <c r="A118" i="9"/>
  <c r="A4" i="52"/>
  <c r="B41" i="72" s="1"/>
  <c r="A12" i="52"/>
  <c r="B56" i="72"/>
  <c r="G4" i="4"/>
  <c r="I4" i="4"/>
  <c r="K5" i="4"/>
  <c r="B47" i="48" s="1"/>
  <c r="A2" i="9"/>
  <c r="F59" i="43"/>
  <c r="H62" i="43" s="1"/>
  <c r="AZ20" i="3"/>
  <c r="AZ24" i="3"/>
  <c r="AZ28" i="3"/>
  <c r="AZ32" i="3"/>
  <c r="AZ497" i="3"/>
  <c r="BL549" i="3"/>
  <c r="AZ494" i="3"/>
  <c r="AZ502" i="3"/>
  <c r="AZ514" i="3"/>
  <c r="AZ522" i="3"/>
  <c r="AZ530" i="3"/>
  <c r="AZ546" i="3"/>
  <c r="G546" i="3"/>
  <c r="G524" i="3"/>
  <c r="G303" i="3"/>
  <c r="BL304" i="3"/>
  <c r="G305" i="3"/>
  <c r="BL306" i="3"/>
  <c r="BA308" i="3"/>
  <c r="AZ308" i="3"/>
  <c r="BA309" i="3"/>
  <c r="BL309" i="3"/>
  <c r="G310" i="3"/>
  <c r="BA311" i="3"/>
  <c r="G319" i="3"/>
  <c r="BL320" i="3"/>
  <c r="G321" i="3"/>
  <c r="BL322" i="3"/>
  <c r="BA324" i="3"/>
  <c r="AZ324" i="3"/>
  <c r="BA325" i="3"/>
  <c r="BL325" i="3"/>
  <c r="G326" i="3"/>
  <c r="BA327" i="3"/>
  <c r="G335" i="3"/>
  <c r="BL336" i="3"/>
  <c r="G337" i="3"/>
  <c r="BL338" i="3"/>
  <c r="BA340" i="3"/>
  <c r="AZ340" i="3"/>
  <c r="BA341" i="3"/>
  <c r="BL341" i="3"/>
  <c r="BA343" i="3"/>
  <c r="BA345" i="3"/>
  <c r="BL355" i="3"/>
  <c r="G356" i="3"/>
  <c r="BL357" i="3"/>
  <c r="BA359" i="3"/>
  <c r="AZ359" i="3"/>
  <c r="BA360" i="3"/>
  <c r="BL360" i="3"/>
  <c r="G361" i="3"/>
  <c r="BA362" i="3"/>
  <c r="AZ362" i="3"/>
  <c r="G370" i="3"/>
  <c r="BL371" i="3"/>
  <c r="G372" i="3"/>
  <c r="BL373" i="3"/>
  <c r="BA375" i="3"/>
  <c r="AZ375" i="3"/>
  <c r="BA376" i="3"/>
  <c r="BL376" i="3"/>
  <c r="G377" i="3"/>
  <c r="BA378" i="3"/>
  <c r="AZ378" i="3"/>
  <c r="BL378" i="3"/>
  <c r="G379" i="3"/>
  <c r="BA380" i="3"/>
  <c r="G388" i="3"/>
  <c r="BL389" i="3"/>
  <c r="G390" i="3"/>
  <c r="BL391" i="3"/>
  <c r="BA393" i="3"/>
  <c r="AZ393" i="3"/>
  <c r="BA394" i="3"/>
  <c r="BL394" i="3"/>
  <c r="G113" i="3"/>
  <c r="BA115" i="3"/>
  <c r="AZ115" i="3"/>
  <c r="BL116" i="3"/>
  <c r="AZ116" i="3"/>
  <c r="G117" i="3"/>
  <c r="BA119" i="3"/>
  <c r="AZ119" i="3"/>
  <c r="BL120" i="3"/>
  <c r="G121" i="3"/>
  <c r="BA123" i="3"/>
  <c r="AZ123" i="3"/>
  <c r="BL124" i="3"/>
  <c r="AZ124" i="3"/>
  <c r="G125" i="3"/>
  <c r="BA127" i="3"/>
  <c r="AZ127" i="3"/>
  <c r="BL128" i="3"/>
  <c r="G129" i="3"/>
  <c r="BA131" i="3"/>
  <c r="AZ131" i="3"/>
  <c r="BL132" i="3"/>
  <c r="AZ132" i="3"/>
  <c r="G133" i="3"/>
  <c r="BA135" i="3"/>
  <c r="AZ135" i="3"/>
  <c r="BL136" i="3"/>
  <c r="G137" i="3"/>
  <c r="BA139" i="3"/>
  <c r="AZ139" i="3"/>
  <c r="BL140" i="3"/>
  <c r="AZ140" i="3"/>
  <c r="G141" i="3"/>
  <c r="BA143" i="3"/>
  <c r="AZ143" i="3"/>
  <c r="BL144" i="3"/>
  <c r="G145" i="3"/>
  <c r="BA147" i="3"/>
  <c r="AZ147" i="3"/>
  <c r="BL148" i="3"/>
  <c r="AZ148" i="3"/>
  <c r="G149" i="3"/>
  <c r="BA151" i="3"/>
  <c r="AZ151" i="3"/>
  <c r="BL152" i="3"/>
  <c r="G153" i="3"/>
  <c r="BA155" i="3"/>
  <c r="AZ155" i="3"/>
  <c r="BL156" i="3"/>
  <c r="AZ156" i="3"/>
  <c r="G157" i="3"/>
  <c r="BA159" i="3"/>
  <c r="AZ159" i="3"/>
  <c r="BL160" i="3"/>
  <c r="G161" i="3"/>
  <c r="BA163" i="3"/>
  <c r="AZ163" i="3"/>
  <c r="BL164" i="3"/>
  <c r="AZ164" i="3"/>
  <c r="G165" i="3"/>
  <c r="BA167" i="3"/>
  <c r="AZ167" i="3"/>
  <c r="BL168" i="3"/>
  <c r="G169" i="3"/>
  <c r="BA171" i="3"/>
  <c r="AZ171" i="3"/>
  <c r="BL172" i="3"/>
  <c r="AZ172" i="3"/>
  <c r="G173" i="3"/>
  <c r="BA175" i="3"/>
  <c r="AZ175" i="3"/>
  <c r="BL176" i="3"/>
  <c r="G177" i="3"/>
  <c r="BA179" i="3"/>
  <c r="AZ179" i="3"/>
  <c r="BL180" i="3"/>
  <c r="AZ180" i="3"/>
  <c r="G181" i="3"/>
  <c r="BA183" i="3"/>
  <c r="AZ183" i="3"/>
  <c r="BL184" i="3"/>
  <c r="G185" i="3"/>
  <c r="BA187" i="3"/>
  <c r="AZ187" i="3"/>
  <c r="BL188" i="3"/>
  <c r="AZ188" i="3"/>
  <c r="G189" i="3"/>
  <c r="BA191" i="3"/>
  <c r="AZ191" i="3"/>
  <c r="BL192" i="3"/>
  <c r="G193" i="3"/>
  <c r="BA195" i="3"/>
  <c r="AZ195" i="3"/>
  <c r="BL196" i="3"/>
  <c r="AZ196" i="3"/>
  <c r="G197" i="3"/>
  <c r="BA199" i="3"/>
  <c r="AZ199" i="3"/>
  <c r="BL200" i="3"/>
  <c r="G201" i="3"/>
  <c r="BA203" i="3"/>
  <c r="AZ203" i="3"/>
  <c r="BL204" i="3"/>
  <c r="AZ204" i="3"/>
  <c r="AZ39" i="3"/>
  <c r="AZ43" i="3"/>
  <c r="AZ47" i="3"/>
  <c r="AZ51" i="3"/>
  <c r="AZ55" i="3"/>
  <c r="AZ59" i="3"/>
  <c r="AZ63" i="3"/>
  <c r="AZ67" i="3"/>
  <c r="AZ71" i="3"/>
  <c r="AZ75" i="3"/>
  <c r="AZ79" i="3"/>
  <c r="AZ83" i="3"/>
  <c r="AZ136" i="3"/>
  <c r="AZ144" i="3"/>
  <c r="AZ152" i="3"/>
  <c r="AZ160" i="3"/>
  <c r="AZ168" i="3"/>
  <c r="AZ176" i="3"/>
  <c r="AZ184" i="3"/>
  <c r="AZ192" i="3"/>
  <c r="AZ200" i="3"/>
  <c r="AZ85" i="3"/>
  <c r="AZ89" i="3"/>
  <c r="AZ93" i="3"/>
  <c r="AZ97" i="3"/>
  <c r="AZ101" i="3"/>
  <c r="AZ105" i="3"/>
  <c r="AZ109" i="3"/>
  <c r="AZ120" i="3"/>
  <c r="AZ128" i="3"/>
  <c r="G534" i="3"/>
  <c r="G530" i="3"/>
  <c r="G522" i="3"/>
  <c r="G516" i="3"/>
  <c r="G512" i="3"/>
  <c r="G506" i="3"/>
  <c r="G498" i="3"/>
  <c r="G494" i="3"/>
  <c r="G16" i="3"/>
  <c r="G15" i="3"/>
  <c r="BA304" i="3"/>
  <c r="AZ304" i="3"/>
  <c r="BA305" i="3"/>
  <c r="AZ305" i="3"/>
  <c r="BL305" i="3"/>
  <c r="G306" i="3"/>
  <c r="G309" i="3"/>
  <c r="BL310" i="3"/>
  <c r="BA312" i="3"/>
  <c r="AZ312" i="3"/>
  <c r="BA313" i="3"/>
  <c r="BL313" i="3"/>
  <c r="AZ313" i="3"/>
  <c r="G314" i="3"/>
  <c r="G317" i="3"/>
  <c r="BL318" i="3"/>
  <c r="BA320" i="3"/>
  <c r="AZ320" i="3"/>
  <c r="BA321" i="3"/>
  <c r="AZ321" i="3"/>
  <c r="BL321" i="3"/>
  <c r="G322" i="3"/>
  <c r="G325" i="3"/>
  <c r="BL326" i="3"/>
  <c r="BA328" i="3"/>
  <c r="AZ328" i="3"/>
  <c r="BA329" i="3"/>
  <c r="BL329" i="3"/>
  <c r="AZ329" i="3"/>
  <c r="G330" i="3"/>
  <c r="G333" i="3"/>
  <c r="BL334" i="3"/>
  <c r="BA336" i="3"/>
  <c r="AZ336" i="3"/>
  <c r="BA337" i="3"/>
  <c r="AZ337" i="3"/>
  <c r="BL337" i="3"/>
  <c r="G338" i="3"/>
  <c r="G341" i="3"/>
  <c r="BA342" i="3"/>
  <c r="BL342" i="3"/>
  <c r="AZ342" i="3"/>
  <c r="BA344" i="3"/>
  <c r="BL344" i="3"/>
  <c r="AZ344" i="3"/>
  <c r="BA346" i="3"/>
  <c r="AZ346" i="3"/>
  <c r="BA347" i="3"/>
  <c r="AZ347" i="3"/>
  <c r="BL347" i="3"/>
  <c r="G350" i="3"/>
  <c r="BA351" i="3"/>
  <c r="AZ351" i="3"/>
  <c r="BL351" i="3"/>
  <c r="G352" i="3"/>
  <c r="G354" i="3"/>
  <c r="BA355" i="3"/>
  <c r="AZ355" i="3"/>
  <c r="BA356" i="3"/>
  <c r="BL356" i="3"/>
  <c r="G357" i="3"/>
  <c r="G360" i="3"/>
  <c r="BL361" i="3"/>
  <c r="BA363" i="3"/>
  <c r="AZ363" i="3"/>
  <c r="BA364" i="3"/>
  <c r="BL364" i="3"/>
  <c r="G365" i="3"/>
  <c r="G368" i="3"/>
  <c r="BL369" i="3"/>
  <c r="BA371" i="3"/>
  <c r="AZ371" i="3"/>
  <c r="BA372" i="3"/>
  <c r="AZ372" i="3"/>
  <c r="BL372" i="3"/>
  <c r="G373" i="3"/>
  <c r="G376" i="3"/>
  <c r="BL377" i="3"/>
  <c r="BL379" i="3"/>
  <c r="BA381" i="3"/>
  <c r="AZ381" i="3"/>
  <c r="BA382" i="3"/>
  <c r="BL382" i="3"/>
  <c r="G383" i="3"/>
  <c r="G386" i="3"/>
  <c r="BL387" i="3"/>
  <c r="BA389" i="3"/>
  <c r="AZ389" i="3"/>
  <c r="BA390" i="3"/>
  <c r="BL390" i="3"/>
  <c r="G391" i="3"/>
  <c r="G394" i="3"/>
  <c r="AZ138" i="3"/>
  <c r="AZ142" i="3"/>
  <c r="AZ146" i="3"/>
  <c r="AZ150" i="3"/>
  <c r="AZ154" i="3"/>
  <c r="AZ158" i="3"/>
  <c r="AZ162" i="3"/>
  <c r="AZ166" i="3"/>
  <c r="AZ170" i="3"/>
  <c r="AZ174" i="3"/>
  <c r="AZ178" i="3"/>
  <c r="AZ182" i="3"/>
  <c r="AZ186" i="3"/>
  <c r="AZ190" i="3"/>
  <c r="AZ194" i="3"/>
  <c r="AZ198" i="3"/>
  <c r="AZ202" i="3"/>
  <c r="AZ206" i="3"/>
  <c r="AZ500" i="3"/>
  <c r="BA16" i="3"/>
  <c r="BL303" i="3"/>
  <c r="G304" i="3"/>
  <c r="BA306" i="3"/>
  <c r="AZ306" i="3"/>
  <c r="BL307" i="3"/>
  <c r="AZ307" i="3"/>
  <c r="G308" i="3"/>
  <c r="BA310" i="3"/>
  <c r="AZ310" i="3"/>
  <c r="BL311" i="3"/>
  <c r="AZ311" i="3"/>
  <c r="G312" i="3"/>
  <c r="BA314" i="3"/>
  <c r="AZ314" i="3"/>
  <c r="BL315" i="3"/>
  <c r="AZ315" i="3"/>
  <c r="G316" i="3"/>
  <c r="BA318" i="3"/>
  <c r="AZ318" i="3"/>
  <c r="BL319" i="3"/>
  <c r="G320" i="3"/>
  <c r="BA322" i="3"/>
  <c r="AZ322" i="3"/>
  <c r="BL323" i="3"/>
  <c r="AZ323" i="3"/>
  <c r="G324" i="3"/>
  <c r="BA326" i="3"/>
  <c r="AZ326" i="3"/>
  <c r="BL327" i="3"/>
  <c r="AZ327" i="3"/>
  <c r="G328" i="3"/>
  <c r="BA330" i="3"/>
  <c r="AZ330" i="3"/>
  <c r="BL331" i="3"/>
  <c r="AZ331" i="3"/>
  <c r="G332" i="3"/>
  <c r="BA334" i="3"/>
  <c r="AZ334" i="3"/>
  <c r="BL335" i="3"/>
  <c r="G336" i="3"/>
  <c r="BA338" i="3"/>
  <c r="AZ338" i="3"/>
  <c r="BL339" i="3"/>
  <c r="AZ339" i="3"/>
  <c r="G340" i="3"/>
  <c r="BL343" i="3"/>
  <c r="G344" i="3"/>
  <c r="G348" i="3"/>
  <c r="G355" i="3"/>
  <c r="AZ209" i="3"/>
  <c r="AZ214" i="3"/>
  <c r="AZ218" i="3"/>
  <c r="AZ222" i="3"/>
  <c r="AZ303" i="3"/>
  <c r="AZ319" i="3"/>
  <c r="AZ335" i="3"/>
  <c r="G342" i="3"/>
  <c r="BL345" i="3"/>
  <c r="AZ345" i="3"/>
  <c r="G346" i="3"/>
  <c r="AZ348" i="3"/>
  <c r="BL349" i="3"/>
  <c r="AZ349" i="3"/>
  <c r="BL352" i="3"/>
  <c r="G353" i="3"/>
  <c r="BA357" i="3"/>
  <c r="AZ357" i="3"/>
  <c r="BL358" i="3"/>
  <c r="AZ358" i="3"/>
  <c r="G359" i="3"/>
  <c r="BA361" i="3"/>
  <c r="AZ361" i="3"/>
  <c r="BL362" i="3"/>
  <c r="G363" i="3"/>
  <c r="BA365" i="3"/>
  <c r="AZ365" i="3"/>
  <c r="BL366" i="3"/>
  <c r="AZ366" i="3"/>
  <c r="G367" i="3"/>
  <c r="BA369" i="3"/>
  <c r="AZ369" i="3"/>
  <c r="BL370" i="3"/>
  <c r="G371" i="3"/>
  <c r="BA373" i="3"/>
  <c r="AZ373" i="3"/>
  <c r="BL374" i="3"/>
  <c r="AZ374" i="3"/>
  <c r="G375" i="3"/>
  <c r="BA377" i="3"/>
  <c r="AZ377" i="3"/>
  <c r="AZ229" i="3"/>
  <c r="AZ233" i="3"/>
  <c r="AZ237" i="3"/>
  <c r="AZ241" i="3"/>
  <c r="AZ245" i="3"/>
  <c r="AZ249" i="3"/>
  <c r="AZ253" i="3"/>
  <c r="AZ257" i="3"/>
  <c r="AZ261" i="3"/>
  <c r="AZ265" i="3"/>
  <c r="AZ269" i="3"/>
  <c r="AZ273" i="3"/>
  <c r="AZ370" i="3"/>
  <c r="BA379" i="3"/>
  <c r="AZ379" i="3"/>
  <c r="BL380" i="3"/>
  <c r="G381" i="3"/>
  <c r="BA383" i="3"/>
  <c r="AZ383" i="3"/>
  <c r="BL384" i="3"/>
  <c r="G385" i="3"/>
  <c r="BA387" i="3"/>
  <c r="AZ387" i="3"/>
  <c r="BL388" i="3"/>
  <c r="G389" i="3"/>
  <c r="BA391" i="3"/>
  <c r="AZ391" i="3"/>
  <c r="BL392" i="3"/>
  <c r="G393" i="3"/>
  <c r="AZ263" i="3"/>
  <c r="AZ275" i="3"/>
  <c r="AZ279" i="3"/>
  <c r="AZ283" i="3"/>
  <c r="AZ287" i="3"/>
  <c r="AZ291" i="3"/>
  <c r="AZ295" i="3"/>
  <c r="AZ299" i="3"/>
  <c r="BO5" i="3"/>
  <c r="BM5" i="3"/>
  <c r="BJ5" i="3"/>
  <c r="BH5" i="3"/>
  <c r="BF5" i="3"/>
  <c r="BD5" i="3"/>
  <c r="AZ309" i="3"/>
  <c r="AZ317" i="3"/>
  <c r="AZ325" i="3"/>
  <c r="AZ333" i="3"/>
  <c r="AZ341" i="3"/>
  <c r="BQ5" i="3"/>
  <c r="AC5" i="3"/>
  <c r="AZ549" i="3"/>
  <c r="AZ506" i="3"/>
  <c r="AZ496" i="3"/>
  <c r="G548" i="3"/>
  <c r="G538" i="3"/>
  <c r="G520" i="3"/>
  <c r="G502" i="3"/>
  <c r="BS5" i="3"/>
  <c r="BP5" i="3"/>
  <c r="BN5" i="3"/>
  <c r="AZ343" i="3"/>
  <c r="BK5" i="3"/>
  <c r="BI5" i="3"/>
  <c r="BG5" i="3"/>
  <c r="BE5" i="3"/>
  <c r="BC5" i="3"/>
  <c r="G17" i="3"/>
  <c r="BA17" i="3"/>
  <c r="BT5" i="3"/>
  <c r="AZ350" i="3"/>
  <c r="AZ352" i="3"/>
  <c r="AZ356" i="3"/>
  <c r="AZ360" i="3"/>
  <c r="AZ364" i="3"/>
  <c r="AZ368" i="3"/>
  <c r="BA15" i="3"/>
  <c r="BB5" i="3"/>
  <c r="E8" i="6" s="1"/>
  <c r="BR5" i="3"/>
  <c r="AZ380" i="3"/>
  <c r="AZ384" i="3"/>
  <c r="AZ388" i="3"/>
  <c r="AZ392" i="3"/>
  <c r="AZ396" i="3"/>
  <c r="AZ394" i="3"/>
  <c r="AZ499" i="3"/>
  <c r="AZ509" i="3"/>
  <c r="G509" i="3"/>
  <c r="BL493" i="3"/>
  <c r="AZ491" i="3"/>
  <c r="AZ376" i="3"/>
  <c r="AZ390" i="3"/>
  <c r="AZ382" i="3"/>
  <c r="AZ493" i="3"/>
  <c r="U36" i="40"/>
  <c r="F36" i="43"/>
  <c r="F81" i="43"/>
  <c r="H83" i="43" s="1"/>
  <c r="H113" i="43"/>
  <c r="F48" i="43"/>
  <c r="H52" i="43" s="1"/>
  <c r="M11" i="43"/>
  <c r="D17" i="43"/>
  <c r="F39" i="43"/>
  <c r="I17" i="43"/>
  <c r="F35" i="43"/>
  <c r="J17" i="43"/>
  <c r="U17" i="39"/>
  <c r="S14" i="35"/>
  <c r="U43" i="21"/>
  <c r="U35" i="21"/>
  <c r="AC35" i="21"/>
  <c r="U10" i="21"/>
  <c r="G10" i="1"/>
  <c r="AZ563" i="3"/>
  <c r="AZ501" i="3"/>
  <c r="W37" i="37"/>
  <c r="W44" i="34"/>
  <c r="AC44" i="34"/>
  <c r="S15" i="37"/>
  <c r="U13" i="37"/>
  <c r="U12" i="40"/>
  <c r="AA12" i="40"/>
  <c r="J37" i="33"/>
  <c r="W37" i="33"/>
  <c r="AC17" i="34"/>
  <c r="F106" i="33"/>
  <c r="G106" i="33"/>
  <c r="H106" i="33"/>
  <c r="I106" i="33"/>
  <c r="J106" i="33"/>
  <c r="K106" i="33"/>
  <c r="L106" i="33"/>
  <c r="M106" i="33"/>
  <c r="J34" i="33"/>
  <c r="W34" i="33"/>
  <c r="F33" i="34"/>
  <c r="S33" i="34"/>
  <c r="W12" i="36"/>
  <c r="AC12" i="36"/>
  <c r="H20" i="36"/>
  <c r="U20" i="36"/>
  <c r="J20" i="36"/>
  <c r="W20" i="36"/>
  <c r="W24" i="36"/>
  <c r="J27" i="36"/>
  <c r="W27" i="36"/>
  <c r="AB25" i="37"/>
  <c r="AC33" i="40"/>
  <c r="F111" i="40"/>
  <c r="G111" i="40"/>
  <c r="H111" i="40"/>
  <c r="I111" i="40"/>
  <c r="J111" i="40"/>
  <c r="K111" i="40"/>
  <c r="L111" i="40"/>
  <c r="M111" i="40"/>
  <c r="H35" i="40"/>
  <c r="AB35" i="40"/>
  <c r="AC29" i="35"/>
  <c r="W29" i="35"/>
  <c r="H35" i="37"/>
  <c r="U35" i="37"/>
  <c r="AC14" i="35"/>
  <c r="H20" i="35"/>
  <c r="U20" i="35"/>
  <c r="F20" i="35"/>
  <c r="AA20" i="35"/>
  <c r="AB23" i="35"/>
  <c r="AB29" i="36"/>
  <c r="U29" i="36"/>
  <c r="H32" i="37"/>
  <c r="AB32" i="37"/>
  <c r="F96" i="37"/>
  <c r="H27" i="40"/>
  <c r="U27" i="40"/>
  <c r="J27" i="40"/>
  <c r="AC27" i="40"/>
  <c r="F27" i="40"/>
  <c r="S27" i="40"/>
  <c r="J30" i="40"/>
  <c r="AC30" i="40"/>
  <c r="F30" i="40"/>
  <c r="AA30" i="40"/>
  <c r="AC21" i="40"/>
  <c r="S11" i="40"/>
  <c r="E98" i="40"/>
  <c r="F98" i="40"/>
  <c r="G98" i="40"/>
  <c r="H98" i="40"/>
  <c r="I98" i="40"/>
  <c r="J98" i="40"/>
  <c r="K98" i="40"/>
  <c r="L98" i="40"/>
  <c r="M98" i="40"/>
  <c r="F10" i="33"/>
  <c r="S10" i="33"/>
  <c r="F34" i="33"/>
  <c r="S34" i="33"/>
  <c r="H34" i="33"/>
  <c r="U34" i="33"/>
  <c r="F35" i="33"/>
  <c r="S35" i="33"/>
  <c r="F39" i="34"/>
  <c r="S39" i="34"/>
  <c r="J39" i="34"/>
  <c r="W39" i="34"/>
  <c r="F40" i="34"/>
  <c r="S40" i="34"/>
  <c r="F43" i="34"/>
  <c r="AA43" i="34"/>
  <c r="H44" i="34"/>
  <c r="AB44" i="34"/>
  <c r="J39" i="39"/>
  <c r="AC39" i="39" s="1"/>
  <c r="AZ353" i="3"/>
  <c r="AZ354" i="3"/>
  <c r="AZ386" i="3"/>
  <c r="C40" i="11"/>
  <c r="AZ215" i="3"/>
  <c r="AZ223" i="3"/>
  <c r="AZ227" i="3"/>
  <c r="AZ232" i="3"/>
  <c r="AZ235" i="3"/>
  <c r="AZ240" i="3"/>
  <c r="AZ243" i="3"/>
  <c r="AZ248" i="3"/>
  <c r="AZ251" i="3"/>
  <c r="AZ256" i="3"/>
  <c r="AZ259" i="3"/>
  <c r="AZ268" i="3"/>
  <c r="AZ271" i="3"/>
  <c r="AZ280" i="3"/>
  <c r="AZ288" i="3"/>
  <c r="AZ296" i="3"/>
  <c r="AZ114" i="3"/>
  <c r="AZ117" i="3"/>
  <c r="AZ130" i="3"/>
  <c r="AZ133" i="3"/>
  <c r="AZ21" i="3"/>
  <c r="AZ29" i="3"/>
  <c r="AZ31" i="3"/>
  <c r="AZ33" i="3"/>
  <c r="AZ37" i="3"/>
  <c r="AZ42" i="3"/>
  <c r="AZ45" i="3"/>
  <c r="AZ50" i="3"/>
  <c r="AZ53" i="3"/>
  <c r="AZ58" i="3"/>
  <c r="AZ61" i="3"/>
  <c r="AZ66" i="3"/>
  <c r="AZ69" i="3"/>
  <c r="AZ72" i="3"/>
  <c r="AZ74" i="3"/>
  <c r="AZ77" i="3"/>
  <c r="AZ82" i="3"/>
  <c r="AZ86" i="3"/>
  <c r="AZ94" i="3"/>
  <c r="AZ102" i="3"/>
  <c r="AZ110" i="3"/>
  <c r="F23" i="39"/>
  <c r="AA23" i="39" s="1"/>
  <c r="H27" i="36"/>
  <c r="U27" i="36"/>
  <c r="F27" i="36"/>
  <c r="AA27" i="36"/>
  <c r="H33" i="34"/>
  <c r="U33" i="34"/>
  <c r="F32" i="37"/>
  <c r="AA32" i="37"/>
  <c r="G96" i="37"/>
  <c r="H96" i="37"/>
  <c r="I96" i="37"/>
  <c r="J96" i="37"/>
  <c r="K96" i="37"/>
  <c r="L96" i="37"/>
  <c r="M96" i="37"/>
  <c r="F20" i="36"/>
  <c r="AA20" i="36"/>
  <c r="J33" i="34"/>
  <c r="AC33" i="34"/>
  <c r="H23" i="39"/>
  <c r="U23" i="39" s="1"/>
  <c r="D48" i="9"/>
  <c r="M52" i="9"/>
  <c r="H86" i="43"/>
  <c r="H82" i="43"/>
  <c r="H87" i="43"/>
  <c r="K9" i="1"/>
  <c r="M9" i="1" s="1"/>
  <c r="O9" i="1"/>
  <c r="P9" i="1"/>
  <c r="AE9" i="1"/>
  <c r="D93" i="9"/>
  <c r="K6" i="1"/>
  <c r="M6" i="1" s="1"/>
  <c r="G29" i="6"/>
  <c r="AC26" i="33"/>
  <c r="W26" i="33"/>
  <c r="W27" i="34"/>
  <c r="AC27" i="34"/>
  <c r="AB34" i="36"/>
  <c r="U34" i="36"/>
  <c r="AB33" i="36"/>
  <c r="U33" i="36"/>
  <c r="AC39" i="40"/>
  <c r="W39" i="40"/>
  <c r="AZ401" i="3"/>
  <c r="AZ412" i="3"/>
  <c r="AZ417" i="3"/>
  <c r="AZ428" i="3"/>
  <c r="AZ433" i="3"/>
  <c r="AZ465" i="3"/>
  <c r="AZ586" i="3"/>
  <c r="W12" i="33"/>
  <c r="AC12" i="33"/>
  <c r="AA32" i="36"/>
  <c r="S32" i="36"/>
  <c r="AZ551" i="3"/>
  <c r="AZ550" i="3"/>
  <c r="AZ408" i="3"/>
  <c r="AZ437" i="3"/>
  <c r="AZ441" i="3"/>
  <c r="AZ457" i="3"/>
  <c r="AZ473" i="3"/>
  <c r="AZ490" i="3"/>
  <c r="AA39" i="34"/>
  <c r="AZ266" i="3"/>
  <c r="U30" i="33"/>
  <c r="AC13" i="34"/>
  <c r="AA47" i="34"/>
  <c r="W28" i="37"/>
  <c r="F12" i="33"/>
  <c r="H12" i="39"/>
  <c r="AB12" i="39" s="1"/>
  <c r="F39" i="40"/>
  <c r="AZ367" i="3"/>
  <c r="AZ213" i="3"/>
  <c r="AZ224" i="3"/>
  <c r="AZ234" i="3"/>
  <c r="AZ238" i="3"/>
  <c r="AZ250" i="3"/>
  <c r="AZ254" i="3"/>
  <c r="AZ281" i="3"/>
  <c r="AZ286" i="3"/>
  <c r="AZ297" i="3"/>
  <c r="AZ149" i="3"/>
  <c r="AZ157" i="3"/>
  <c r="AZ165" i="3"/>
  <c r="AZ173" i="3"/>
  <c r="AZ181" i="3"/>
  <c r="AZ189" i="3"/>
  <c r="AZ197" i="3"/>
  <c r="AZ19" i="3"/>
  <c r="AZ26" i="3"/>
  <c r="AZ35" i="3"/>
  <c r="AZ41" i="3"/>
  <c r="S12" i="1"/>
  <c r="AR12" i="1" s="1"/>
  <c r="R12" i="1"/>
  <c r="B12" i="1"/>
  <c r="E12" i="1"/>
  <c r="S10" i="1"/>
  <c r="AQ10" i="1" s="1"/>
  <c r="R10" i="1"/>
  <c r="B10" i="1"/>
  <c r="E10" i="1" s="1"/>
  <c r="D1" i="66"/>
  <c r="E10" i="66"/>
  <c r="AZ80" i="3"/>
  <c r="AZ84" i="3"/>
  <c r="AZ88" i="3"/>
  <c r="AZ107" i="3"/>
  <c r="AZ111" i="3"/>
  <c r="K12" i="1"/>
  <c r="M12" i="1" s="1"/>
  <c r="O12" i="1"/>
  <c r="P12" i="1"/>
  <c r="S13" i="1"/>
  <c r="AR13" i="1" s="1"/>
  <c r="R13" i="1"/>
  <c r="S11" i="1"/>
  <c r="AQ11" i="1" s="1"/>
  <c r="R11" i="1"/>
  <c r="S9" i="1"/>
  <c r="AR9" i="1" s="1"/>
  <c r="R9" i="1"/>
  <c r="J51" i="67"/>
  <c r="C42" i="1"/>
  <c r="H100" i="43"/>
  <c r="C30" i="66"/>
  <c r="E26" i="66"/>
  <c r="AC34" i="33"/>
  <c r="AA34" i="33"/>
  <c r="S22" i="31"/>
  <c r="J100" i="43"/>
  <c r="AB37" i="40"/>
  <c r="S35" i="40"/>
  <c r="U35" i="40"/>
  <c r="AC36" i="40"/>
  <c r="W38" i="40"/>
  <c r="AA32" i="40"/>
  <c r="S17" i="40"/>
  <c r="S23" i="40"/>
  <c r="AC17" i="40"/>
  <c r="AC15" i="40"/>
  <c r="AB27" i="40"/>
  <c r="S30" i="40"/>
  <c r="AA19" i="40"/>
  <c r="S28" i="40"/>
  <c r="AA27" i="40"/>
  <c r="U21" i="40"/>
  <c r="AB19" i="40"/>
  <c r="U35" i="39"/>
  <c r="J21" i="39"/>
  <c r="W21" i="39" s="1"/>
  <c r="W19" i="39"/>
  <c r="AC15" i="39"/>
  <c r="S23" i="36"/>
  <c r="U13" i="36"/>
  <c r="AC27" i="36"/>
  <c r="AB27" i="36"/>
  <c r="U26" i="36"/>
  <c r="S33" i="36"/>
  <c r="S27" i="36"/>
  <c r="AA26" i="36"/>
  <c r="AA34" i="36"/>
  <c r="S29" i="36"/>
  <c r="AC26" i="36"/>
  <c r="AA22" i="36"/>
  <c r="W14" i="36"/>
  <c r="AB14" i="36"/>
  <c r="U22" i="36"/>
  <c r="S16" i="36"/>
  <c r="AA25" i="36"/>
  <c r="S24" i="36"/>
  <c r="U24" i="36"/>
  <c r="U23" i="36"/>
  <c r="AB20" i="36"/>
  <c r="U16" i="36"/>
  <c r="S14" i="36"/>
  <c r="U10" i="36"/>
  <c r="W10" i="36"/>
  <c r="AA25" i="35"/>
  <c r="S23" i="35"/>
  <c r="W24" i="35"/>
  <c r="AB13" i="35"/>
  <c r="U29" i="35"/>
  <c r="U28" i="35"/>
  <c r="AB27" i="35"/>
  <c r="U36" i="35"/>
  <c r="U32" i="35"/>
  <c r="AA33" i="35"/>
  <c r="AC30" i="35"/>
  <c r="S32" i="35"/>
  <c r="AA36" i="35"/>
  <c r="W32" i="35"/>
  <c r="S28" i="35"/>
  <c r="AB16" i="35"/>
  <c r="U22" i="35"/>
  <c r="S20" i="35"/>
  <c r="AC20" i="35"/>
  <c r="S22" i="35"/>
  <c r="U14" i="35"/>
  <c r="AC10" i="35"/>
  <c r="AA10" i="35"/>
  <c r="AB10" i="35"/>
  <c r="AA11" i="35"/>
  <c r="S8" i="35"/>
  <c r="AC9" i="35"/>
  <c r="W9" i="35"/>
  <c r="AC12" i="35"/>
  <c r="W13" i="35"/>
  <c r="F9" i="35"/>
  <c r="H9" i="35"/>
  <c r="F26" i="35"/>
  <c r="AA26" i="35"/>
  <c r="J26" i="35"/>
  <c r="H26" i="35"/>
  <c r="AB40" i="37"/>
  <c r="S25" i="37"/>
  <c r="W27" i="37"/>
  <c r="S26" i="37"/>
  <c r="AC9" i="37"/>
  <c r="AC29" i="37"/>
  <c r="U29" i="37"/>
  <c r="S32" i="37"/>
  <c r="AB31" i="37"/>
  <c r="W30" i="37"/>
  <c r="S36" i="37"/>
  <c r="AA38" i="37"/>
  <c r="U32" i="37"/>
  <c r="W38" i="37"/>
  <c r="AC35" i="37"/>
  <c r="W39" i="37"/>
  <c r="S30" i="37"/>
  <c r="S37" i="37"/>
  <c r="AC15" i="37"/>
  <c r="J17" i="37"/>
  <c r="W17" i="37"/>
  <c r="G73" i="37"/>
  <c r="F17" i="37"/>
  <c r="AA17" i="37"/>
  <c r="AB17" i="37"/>
  <c r="F75" i="37"/>
  <c r="F19" i="37"/>
  <c r="F79" i="37"/>
  <c r="F23" i="37"/>
  <c r="S23" i="37"/>
  <c r="U23" i="37"/>
  <c r="U15" i="37"/>
  <c r="AC13" i="37"/>
  <c r="U9" i="37"/>
  <c r="AA13" i="37"/>
  <c r="AA12" i="37"/>
  <c r="AA9" i="37"/>
  <c r="H10" i="37"/>
  <c r="H60" i="37"/>
  <c r="F63" i="37"/>
  <c r="F11" i="37"/>
  <c r="S11" i="37"/>
  <c r="S27" i="34"/>
  <c r="W25" i="34"/>
  <c r="AB8" i="34"/>
  <c r="AA33" i="34"/>
  <c r="U44" i="34"/>
  <c r="U43" i="34"/>
  <c r="AC39" i="34"/>
  <c r="W41" i="34"/>
  <c r="AC42" i="34"/>
  <c r="AB35" i="34"/>
  <c r="U39" i="34"/>
  <c r="S43" i="34"/>
  <c r="AB41" i="34"/>
  <c r="AA45" i="34"/>
  <c r="W34" i="34"/>
  <c r="AA25" i="34"/>
  <c r="U28" i="34"/>
  <c r="S17" i="34"/>
  <c r="AA29" i="34"/>
  <c r="U27" i="34"/>
  <c r="S23" i="34"/>
  <c r="U15" i="34"/>
  <c r="S10" i="34"/>
  <c r="S13" i="34"/>
  <c r="H67" i="34"/>
  <c r="H10" i="34"/>
  <c r="F11" i="34"/>
  <c r="S11" i="34"/>
  <c r="F70" i="34"/>
  <c r="W42" i="33"/>
  <c r="AA35" i="33"/>
  <c r="S27" i="33"/>
  <c r="S32" i="33"/>
  <c r="AA29" i="33"/>
  <c r="AB29" i="33"/>
  <c r="W38" i="33"/>
  <c r="H41" i="33"/>
  <c r="F121" i="33"/>
  <c r="G121" i="33"/>
  <c r="H121" i="33"/>
  <c r="I121" i="33"/>
  <c r="J121" i="33"/>
  <c r="K121" i="33"/>
  <c r="L121" i="33"/>
  <c r="M121" i="33"/>
  <c r="U42" i="33"/>
  <c r="S42" i="33"/>
  <c r="F36" i="33"/>
  <c r="G111" i="33"/>
  <c r="G108" i="33"/>
  <c r="H108" i="33"/>
  <c r="I108" i="33"/>
  <c r="J108" i="33"/>
  <c r="K108" i="33"/>
  <c r="L108" i="33"/>
  <c r="M108" i="33"/>
  <c r="J35" i="33"/>
  <c r="S37" i="33"/>
  <c r="AA37" i="33"/>
  <c r="S39" i="33"/>
  <c r="F101" i="33"/>
  <c r="G101" i="33"/>
  <c r="H101" i="33"/>
  <c r="I101" i="33"/>
  <c r="J101" i="33"/>
  <c r="K101" i="33"/>
  <c r="L101" i="33"/>
  <c r="M101" i="33"/>
  <c r="J32" i="33"/>
  <c r="S46" i="33"/>
  <c r="W43" i="33"/>
  <c r="S43" i="33"/>
  <c r="F91" i="33"/>
  <c r="H27" i="33"/>
  <c r="F87" i="33"/>
  <c r="H25" i="33"/>
  <c r="F25" i="33"/>
  <c r="J23" i="33"/>
  <c r="F85" i="33"/>
  <c r="H23" i="33"/>
  <c r="F81" i="33"/>
  <c r="F19" i="33"/>
  <c r="S19" i="33"/>
  <c r="W19" i="33"/>
  <c r="J17" i="33"/>
  <c r="F79" i="33"/>
  <c r="S15" i="33"/>
  <c r="W15" i="33"/>
  <c r="U9" i="33"/>
  <c r="I66" i="33"/>
  <c r="J10" i="33"/>
  <c r="H10" i="33"/>
  <c r="AA10" i="33"/>
  <c r="AC11" i="33"/>
  <c r="AB14" i="33"/>
  <c r="W43" i="21"/>
  <c r="W36" i="21"/>
  <c r="W41" i="21"/>
  <c r="AB39" i="21"/>
  <c r="AA43" i="21"/>
  <c r="S39" i="21"/>
  <c r="AA38" i="21"/>
  <c r="AA36" i="21"/>
  <c r="AC40" i="21"/>
  <c r="J15" i="21"/>
  <c r="W15" i="21"/>
  <c r="F77" i="21"/>
  <c r="G77" i="21"/>
  <c r="F23" i="21"/>
  <c r="S23" i="21"/>
  <c r="E85" i="21"/>
  <c r="AC11" i="21"/>
  <c r="AA14" i="21"/>
  <c r="AB8" i="21"/>
  <c r="S8" i="21"/>
  <c r="M3" i="43"/>
  <c r="M1" i="43"/>
  <c r="N8" i="43"/>
  <c r="D120" i="9"/>
  <c r="D121" i="9"/>
  <c r="D7" i="52"/>
  <c r="C18" i="9"/>
  <c r="D18" i="9"/>
  <c r="F34" i="67"/>
  <c r="F62" i="67"/>
  <c r="M20" i="67"/>
  <c r="F34" i="15"/>
  <c r="F62" i="15" s="1"/>
  <c r="E10" i="6"/>
  <c r="E11" i="6"/>
  <c r="E61" i="39" s="1"/>
  <c r="BL17" i="3"/>
  <c r="AZ17" i="3"/>
  <c r="J56" i="9"/>
  <c r="J57" i="9"/>
  <c r="J59" i="9"/>
  <c r="J61" i="9"/>
  <c r="A24" i="51"/>
  <c r="B18" i="72"/>
  <c r="U29" i="34"/>
  <c r="E14" i="6"/>
  <c r="E5" i="6"/>
  <c r="P10" i="1"/>
  <c r="E32" i="6"/>
  <c r="K1" i="12"/>
  <c r="AR10" i="1"/>
  <c r="E19" i="69"/>
  <c r="E19" i="68"/>
  <c r="E19" i="11"/>
  <c r="E1" i="73"/>
  <c r="G22" i="69"/>
  <c r="G22" i="68"/>
  <c r="G26" i="12"/>
  <c r="G22" i="11"/>
  <c r="C100" i="43"/>
  <c r="E11" i="43"/>
  <c r="E10" i="43"/>
  <c r="E9" i="43"/>
  <c r="E8" i="43"/>
  <c r="C7" i="43"/>
  <c r="E81" i="43"/>
  <c r="B79" i="43" s="1"/>
  <c r="E48" i="43"/>
  <c r="B46" i="43" s="1"/>
  <c r="E70" i="43"/>
  <c r="B68" i="43" s="1"/>
  <c r="C24" i="43" s="1"/>
  <c r="F100" i="43"/>
  <c r="H17" i="43"/>
  <c r="H85" i="43"/>
  <c r="H81" i="43"/>
  <c r="H84" i="43"/>
  <c r="H88" i="43"/>
  <c r="H53" i="43"/>
  <c r="C17" i="43"/>
  <c r="F33" i="43"/>
  <c r="K17" i="43"/>
  <c r="F34" i="43"/>
  <c r="N6" i="43"/>
  <c r="N3" i="43"/>
  <c r="F38" i="43"/>
  <c r="F37" i="43"/>
  <c r="M9" i="43"/>
  <c r="N5" i="43"/>
  <c r="M12" i="43"/>
  <c r="B19" i="53"/>
  <c r="B37" i="72"/>
  <c r="C7" i="39"/>
  <c r="C68" i="39" s="1"/>
  <c r="C70" i="39" s="1"/>
  <c r="C7" i="35"/>
  <c r="C48" i="35" s="1"/>
  <c r="C7" i="33"/>
  <c r="C58" i="33" s="1"/>
  <c r="D58" i="33" s="1"/>
  <c r="C7" i="21"/>
  <c r="C58" i="21" s="1"/>
  <c r="C7" i="40"/>
  <c r="C63" i="40" s="1"/>
  <c r="M47" i="9"/>
  <c r="G19" i="43"/>
  <c r="O19" i="43" s="1"/>
  <c r="C19" i="43" s="1"/>
  <c r="T35" i="4"/>
  <c r="A19" i="51"/>
  <c r="B14" i="72"/>
  <c r="C46" i="36"/>
  <c r="D46" i="36" s="1"/>
  <c r="C59" i="34"/>
  <c r="D59" i="34" s="1"/>
  <c r="C52" i="37"/>
  <c r="D52" i="37" s="1"/>
  <c r="E52" i="37" s="1"/>
  <c r="A4" i="51"/>
  <c r="B6" i="72" s="1"/>
  <c r="C4" i="12"/>
  <c r="H66" i="43"/>
  <c r="H65" i="43"/>
  <c r="H64" i="43"/>
  <c r="H63" i="43"/>
  <c r="H55" i="43"/>
  <c r="H56" i="43"/>
  <c r="L20" i="6"/>
  <c r="E56" i="39"/>
  <c r="B6" i="1"/>
  <c r="E6" i="1" s="1"/>
  <c r="K11" i="1"/>
  <c r="M11" i="1" s="1"/>
  <c r="O11" i="1"/>
  <c r="P11" i="1"/>
  <c r="AP6" i="1"/>
  <c r="B9" i="1"/>
  <c r="E9" i="1" s="1"/>
  <c r="K7" i="1"/>
  <c r="G1" i="15"/>
  <c r="G1" i="69"/>
  <c r="G1" i="67"/>
  <c r="W23" i="40"/>
  <c r="U32" i="40"/>
  <c r="AB31" i="40"/>
  <c r="S37" i="40"/>
  <c r="AB28" i="40"/>
  <c r="W28" i="40"/>
  <c r="W34" i="40"/>
  <c r="W19" i="40"/>
  <c r="W27" i="40"/>
  <c r="S36" i="40"/>
  <c r="W37" i="40"/>
  <c r="AC14" i="40"/>
  <c r="S13" i="40"/>
  <c r="S33" i="40"/>
  <c r="AA15" i="40"/>
  <c r="U11" i="40"/>
  <c r="S31" i="40"/>
  <c r="AB13" i="40"/>
  <c r="U15" i="40"/>
  <c r="AB17" i="40"/>
  <c r="U8" i="40"/>
  <c r="S8" i="40"/>
  <c r="AB43" i="39"/>
  <c r="W17" i="39"/>
  <c r="AA45" i="39"/>
  <c r="S8" i="39"/>
  <c r="S20" i="36"/>
  <c r="AC25" i="36"/>
  <c r="S28" i="36"/>
  <c r="U32" i="36"/>
  <c r="W29" i="36"/>
  <c r="AC20" i="36"/>
  <c r="U25" i="36"/>
  <c r="AB28" i="36"/>
  <c r="AA13" i="36"/>
  <c r="W9" i="36"/>
  <c r="W22" i="36"/>
  <c r="W23" i="36"/>
  <c r="S9" i="36"/>
  <c r="AB20" i="35"/>
  <c r="AC25" i="35"/>
  <c r="U25" i="35"/>
  <c r="S24" i="35"/>
  <c r="W33" i="35"/>
  <c r="AA30" i="35"/>
  <c r="U24" i="35"/>
  <c r="S35" i="35"/>
  <c r="W35" i="35"/>
  <c r="AA16" i="35"/>
  <c r="AA35" i="37"/>
  <c r="W36" i="37"/>
  <c r="S27" i="37"/>
  <c r="S28" i="37"/>
  <c r="W32" i="37"/>
  <c r="U36" i="37"/>
  <c r="S40" i="37"/>
  <c r="U38" i="37"/>
  <c r="AB37" i="37"/>
  <c r="S33" i="37"/>
  <c r="AC34" i="37"/>
  <c r="AB35" i="37"/>
  <c r="AA11" i="37"/>
  <c r="AA31" i="37"/>
  <c r="U19" i="37"/>
  <c r="AA29" i="37"/>
  <c r="AA8" i="37"/>
  <c r="U8" i="37"/>
  <c r="AA40" i="34"/>
  <c r="AB40" i="34"/>
  <c r="U19" i="34"/>
  <c r="W19" i="34"/>
  <c r="AB33" i="34"/>
  <c r="AC45" i="34"/>
  <c r="AA31" i="34"/>
  <c r="AA30" i="34"/>
  <c r="AB45" i="34"/>
  <c r="AB47" i="34"/>
  <c r="U25" i="34"/>
  <c r="AB36" i="34"/>
  <c r="W33" i="34"/>
  <c r="AC14" i="34"/>
  <c r="AC32" i="34"/>
  <c r="AC29" i="34"/>
  <c r="W29" i="34"/>
  <c r="W46" i="34"/>
  <c r="AC46" i="34"/>
  <c r="S32" i="34"/>
  <c r="AA32" i="34"/>
  <c r="U30" i="34"/>
  <c r="AB30" i="34"/>
  <c r="S37" i="34"/>
  <c r="U38" i="34"/>
  <c r="AC40" i="34"/>
  <c r="W40" i="34"/>
  <c r="AA19" i="34"/>
  <c r="S19" i="34"/>
  <c r="AA36" i="34"/>
  <c r="S36" i="34"/>
  <c r="AA8" i="34"/>
  <c r="S8" i="34"/>
  <c r="AB9" i="34"/>
  <c r="U9" i="34"/>
  <c r="S46" i="34"/>
  <c r="AA46" i="34"/>
  <c r="U32" i="34"/>
  <c r="AB32" i="34"/>
  <c r="U14" i="34"/>
  <c r="AB14" i="34"/>
  <c r="AC43" i="34"/>
  <c r="W43" i="34"/>
  <c r="AA11" i="34"/>
  <c r="W23" i="34"/>
  <c r="AC23" i="34"/>
  <c r="AC35" i="34"/>
  <c r="W35" i="34"/>
  <c r="U12" i="34"/>
  <c r="AB12" i="34"/>
  <c r="AB28" i="33"/>
  <c r="AC37" i="33"/>
  <c r="W46" i="33"/>
  <c r="U39" i="33"/>
  <c r="U38" i="33"/>
  <c r="S33" i="33"/>
  <c r="AB34" i="33"/>
  <c r="U44" i="33"/>
  <c r="AB44" i="33"/>
  <c r="S30" i="33"/>
  <c r="AA30" i="33"/>
  <c r="AC14" i="33"/>
  <c r="W14" i="33"/>
  <c r="AC30" i="33"/>
  <c r="W30" i="33"/>
  <c r="S31" i="33"/>
  <c r="AA31" i="33"/>
  <c r="W13" i="33"/>
  <c r="AC13" i="33"/>
  <c r="U15" i="33"/>
  <c r="S11" i="33"/>
  <c r="U37" i="33"/>
  <c r="AC28" i="33"/>
  <c r="S28" i="33"/>
  <c r="W9" i="33"/>
  <c r="W8" i="33"/>
  <c r="S44" i="21"/>
  <c r="AB42" i="21"/>
  <c r="U28" i="21"/>
  <c r="AA11" i="21"/>
  <c r="S45" i="21"/>
  <c r="I101" i="21"/>
  <c r="J101" i="21"/>
  <c r="K101" i="21"/>
  <c r="L101" i="21"/>
  <c r="M101" i="21"/>
  <c r="F33" i="21"/>
  <c r="J33" i="21"/>
  <c r="H33" i="21"/>
  <c r="AB33" i="21"/>
  <c r="F37" i="21"/>
  <c r="AA37" i="21"/>
  <c r="AA26" i="21"/>
  <c r="AB14" i="21"/>
  <c r="AB46" i="21"/>
  <c r="U40" i="21"/>
  <c r="AB31" i="21"/>
  <c r="U31" i="21"/>
  <c r="AC15" i="21"/>
  <c r="U13" i="21"/>
  <c r="AB13" i="21"/>
  <c r="W8" i="21"/>
  <c r="S35" i="21"/>
  <c r="AB37" i="21"/>
  <c r="J37" i="21"/>
  <c r="W37" i="21"/>
  <c r="H15" i="21"/>
  <c r="U15" i="21"/>
  <c r="J17" i="21"/>
  <c r="AC17" i="21"/>
  <c r="AC19" i="21"/>
  <c r="W39" i="21"/>
  <c r="AC14" i="21"/>
  <c r="W30" i="21"/>
  <c r="S46" i="21"/>
  <c r="H45" i="21"/>
  <c r="U45" i="21"/>
  <c r="F29" i="21"/>
  <c r="S29" i="21"/>
  <c r="F13" i="21"/>
  <c r="AA13" i="21"/>
  <c r="AC38" i="21"/>
  <c r="H32" i="21"/>
  <c r="H9" i="21"/>
  <c r="J9" i="21"/>
  <c r="J32" i="21"/>
  <c r="F32" i="21"/>
  <c r="AA31" i="21"/>
  <c r="U17" i="21"/>
  <c r="W29" i="21"/>
  <c r="S19" i="21"/>
  <c r="S9" i="21"/>
  <c r="AA9" i="21"/>
  <c r="K141" i="21"/>
  <c r="K144" i="21"/>
  <c r="K143" i="21"/>
  <c r="U27" i="21"/>
  <c r="AB25" i="21"/>
  <c r="AB44" i="21"/>
  <c r="AA30" i="21"/>
  <c r="W13" i="21"/>
  <c r="W42" i="21"/>
  <c r="AC45" i="21"/>
  <c r="F10" i="21"/>
  <c r="K145" i="21"/>
  <c r="W17" i="21"/>
  <c r="W25" i="21"/>
  <c r="AA29" i="21"/>
  <c r="W31" i="21"/>
  <c r="S27" i="21"/>
  <c r="S17" i="21"/>
  <c r="AA15" i="21"/>
  <c r="AC27" i="21"/>
  <c r="AC26" i="21"/>
  <c r="AB29" i="21"/>
  <c r="S28" i="21"/>
  <c r="AC34" i="21"/>
  <c r="W10" i="21"/>
  <c r="W12" i="21"/>
  <c r="AB36" i="21"/>
  <c r="W30" i="40"/>
  <c r="C19" i="39"/>
  <c r="C15" i="40"/>
  <c r="C17" i="40"/>
  <c r="C23" i="40"/>
  <c r="C21" i="40"/>
  <c r="U30" i="40"/>
  <c r="B65" i="43"/>
  <c r="B56" i="43"/>
  <c r="B60" i="43"/>
  <c r="B63" i="43"/>
  <c r="B67" i="43"/>
  <c r="D23" i="15"/>
  <c r="E4" i="4"/>
  <c r="B5" i="62" s="1"/>
  <c r="B73" i="72" s="1"/>
  <c r="C4" i="4"/>
  <c r="O6" i="1"/>
  <c r="P6" i="1"/>
  <c r="E7" i="70"/>
  <c r="AA39" i="40"/>
  <c r="S39" i="40"/>
  <c r="S12" i="33"/>
  <c r="AA12" i="33"/>
  <c r="S26" i="35"/>
  <c r="U9" i="35"/>
  <c r="AB9" i="35"/>
  <c r="AA9" i="35"/>
  <c r="S9" i="35"/>
  <c r="AC26" i="35"/>
  <c r="W26" i="35"/>
  <c r="AB26" i="35"/>
  <c r="U26" i="35"/>
  <c r="AC17" i="37"/>
  <c r="S17" i="37"/>
  <c r="J19" i="37"/>
  <c r="G75" i="37"/>
  <c r="S19" i="37"/>
  <c r="AA19" i="37"/>
  <c r="AA23" i="37"/>
  <c r="J23" i="37"/>
  <c r="G79" i="37"/>
  <c r="J10" i="37"/>
  <c r="I60" i="37"/>
  <c r="G63" i="37"/>
  <c r="H11" i="37"/>
  <c r="AB10" i="37"/>
  <c r="U10" i="37"/>
  <c r="G70" i="34"/>
  <c r="H11" i="34"/>
  <c r="AB10" i="34"/>
  <c r="U10" i="34"/>
  <c r="J10" i="34"/>
  <c r="I67" i="34"/>
  <c r="AB41" i="33"/>
  <c r="U41" i="33"/>
  <c r="W35" i="33"/>
  <c r="AC35" i="33"/>
  <c r="H111" i="33"/>
  <c r="I111" i="33"/>
  <c r="J111" i="33"/>
  <c r="K111" i="33"/>
  <c r="L111" i="33"/>
  <c r="M111" i="33"/>
  <c r="J36" i="33"/>
  <c r="H36" i="33"/>
  <c r="S36" i="33"/>
  <c r="AA36" i="33"/>
  <c r="AC32" i="33"/>
  <c r="W32" i="33"/>
  <c r="U27" i="33"/>
  <c r="AB27" i="33"/>
  <c r="G91" i="33"/>
  <c r="H91" i="33"/>
  <c r="I91" i="33"/>
  <c r="J91" i="33"/>
  <c r="K91" i="33"/>
  <c r="L91" i="33"/>
  <c r="M91" i="33"/>
  <c r="J27" i="33"/>
  <c r="U25" i="33"/>
  <c r="AB25" i="33"/>
  <c r="S25" i="33"/>
  <c r="AA25" i="33"/>
  <c r="G87" i="33"/>
  <c r="H87" i="33"/>
  <c r="I87" i="33"/>
  <c r="J87" i="33"/>
  <c r="K87" i="33"/>
  <c r="L87" i="33"/>
  <c r="M87" i="33"/>
  <c r="J25" i="33"/>
  <c r="AB23" i="33"/>
  <c r="U23" i="33"/>
  <c r="F23" i="33"/>
  <c r="G85" i="33"/>
  <c r="AC23" i="33"/>
  <c r="W23" i="33"/>
  <c r="AA19" i="33"/>
  <c r="H19" i="33"/>
  <c r="G81" i="33"/>
  <c r="G79" i="33"/>
  <c r="H17" i="33"/>
  <c r="F17" i="33"/>
  <c r="W17" i="33"/>
  <c r="AC17" i="33"/>
  <c r="U10" i="33"/>
  <c r="AB10" i="33"/>
  <c r="AC10" i="33"/>
  <c r="W10" i="33"/>
  <c r="AC37" i="21"/>
  <c r="U33" i="21"/>
  <c r="S37" i="21"/>
  <c r="AA23" i="21"/>
  <c r="AB15" i="21"/>
  <c r="J23" i="21"/>
  <c r="F85" i="21"/>
  <c r="G85" i="21"/>
  <c r="H23" i="21"/>
  <c r="S13" i="21"/>
  <c r="D6" i="52"/>
  <c r="O14" i="1"/>
  <c r="P14" i="1"/>
  <c r="R22" i="31"/>
  <c r="AP7" i="1"/>
  <c r="O7" i="1"/>
  <c r="AB45" i="21"/>
  <c r="AC33" i="21"/>
  <c r="W33" i="21"/>
  <c r="S33" i="21"/>
  <c r="AA33" i="21"/>
  <c r="W32" i="21"/>
  <c r="AC32" i="21"/>
  <c r="AB9" i="21"/>
  <c r="U9" i="21"/>
  <c r="AA32" i="21"/>
  <c r="S32" i="21"/>
  <c r="W9" i="21"/>
  <c r="AC9" i="21"/>
  <c r="AB32" i="21"/>
  <c r="U32" i="21"/>
  <c r="AA10" i="21"/>
  <c r="S10" i="21"/>
  <c r="A18" i="62"/>
  <c r="B64" i="72"/>
  <c r="W19" i="37"/>
  <c r="AC19" i="37"/>
  <c r="W23" i="37"/>
  <c r="AC23" i="37"/>
  <c r="AB11" i="37"/>
  <c r="U11" i="37"/>
  <c r="H63" i="37"/>
  <c r="I63" i="37"/>
  <c r="J63" i="37"/>
  <c r="K63" i="37"/>
  <c r="L63" i="37"/>
  <c r="M63" i="37"/>
  <c r="J11" i="37"/>
  <c r="W10" i="37"/>
  <c r="AC10" i="37"/>
  <c r="U11" i="34"/>
  <c r="AB11" i="34"/>
  <c r="AC10" i="34"/>
  <c r="W10" i="34"/>
  <c r="H70" i="34"/>
  <c r="I70" i="34"/>
  <c r="J70" i="34"/>
  <c r="K70" i="34"/>
  <c r="L70" i="34"/>
  <c r="M70" i="34"/>
  <c r="J11" i="34"/>
  <c r="AC36" i="33"/>
  <c r="W36" i="33"/>
  <c r="U36" i="33"/>
  <c r="AB36" i="33"/>
  <c r="W27" i="33"/>
  <c r="AC27" i="33"/>
  <c r="W25" i="33"/>
  <c r="AC25" i="33"/>
  <c r="AA23" i="33"/>
  <c r="S23" i="33"/>
  <c r="AB19" i="33"/>
  <c r="U19" i="33"/>
  <c r="AA17" i="33"/>
  <c r="S17" i="33"/>
  <c r="U17" i="33"/>
  <c r="AB17" i="33"/>
  <c r="U23" i="21"/>
  <c r="AB23" i="21"/>
  <c r="AC23" i="21"/>
  <c r="W23" i="21"/>
  <c r="P7" i="1"/>
  <c r="AC11" i="37"/>
  <c r="W11" i="37"/>
  <c r="W11" i="34"/>
  <c r="AC11" i="34"/>
  <c r="AE7" i="1"/>
  <c r="AE8" i="1"/>
  <c r="AG6" i="1"/>
  <c r="H109" i="9"/>
  <c r="H110" i="9"/>
  <c r="D18" i="53" s="1"/>
  <c r="B35" i="72" s="1"/>
  <c r="D124" i="9"/>
  <c r="D16" i="53"/>
  <c r="B34" i="72"/>
  <c r="D10" i="52"/>
  <c r="H14" i="74"/>
  <c r="D17" i="53"/>
  <c r="B36" i="72"/>
  <c r="D125" i="9"/>
  <c r="D11" i="52"/>
  <c r="B7" i="74"/>
  <c r="H112" i="9"/>
  <c r="D21" i="53"/>
  <c r="B39" i="72"/>
  <c r="H111" i="9"/>
  <c r="D126" i="9"/>
  <c r="D19" i="53"/>
  <c r="B38" i="72"/>
  <c r="D20" i="53"/>
  <c r="B40" i="72"/>
  <c r="I14" i="74"/>
  <c r="B8" i="74"/>
  <c r="D127" i="9"/>
  <c r="D13" i="52"/>
  <c r="D12" i="52"/>
  <c r="AD3" i="71"/>
  <c r="J1" i="73"/>
  <c r="C77" i="9"/>
  <c r="C74" i="9" s="1"/>
  <c r="H51" i="43"/>
  <c r="H67" i="43"/>
  <c r="H59" i="43"/>
  <c r="H60" i="43"/>
  <c r="H61" i="43"/>
  <c r="M4" i="43"/>
  <c r="M5" i="43"/>
  <c r="N12" i="43"/>
  <c r="N11" i="43"/>
  <c r="M10" i="43"/>
  <c r="M2" i="43"/>
  <c r="C6" i="43" s="1"/>
  <c r="M7" i="43"/>
  <c r="H54" i="43"/>
  <c r="N9" i="43"/>
  <c r="M8" i="43"/>
  <c r="N10" i="43"/>
  <c r="H48" i="43"/>
  <c r="M6" i="43"/>
  <c r="N7" i="43"/>
  <c r="N4" i="43"/>
  <c r="N2" i="43"/>
  <c r="F70" i="43" s="1"/>
  <c r="H49" i="43"/>
  <c r="N17" i="43"/>
  <c r="L17" i="43"/>
  <c r="O17" i="43"/>
  <c r="M17" i="43"/>
  <c r="E17" i="43"/>
  <c r="C15" i="71"/>
  <c r="D15" i="71"/>
  <c r="D16" i="71"/>
  <c r="D17" i="71"/>
  <c r="U17" i="71"/>
  <c r="S17" i="71"/>
  <c r="T17" i="71"/>
  <c r="AB15" i="71"/>
  <c r="X13" i="71"/>
  <c r="X12" i="71"/>
  <c r="AA13" i="71"/>
  <c r="AA12" i="71"/>
  <c r="X16" i="71"/>
  <c r="Z11" i="71"/>
  <c r="Y12" i="71"/>
  <c r="Z12" i="71"/>
  <c r="AB13" i="71"/>
  <c r="AB12" i="71"/>
  <c r="S13" i="71"/>
  <c r="C94" i="9"/>
  <c r="C92" i="9"/>
  <c r="F14" i="71"/>
  <c r="F13" i="71"/>
  <c r="Y13" i="71"/>
  <c r="Z13" i="71"/>
  <c r="X3" i="71"/>
  <c r="C14" i="71"/>
  <c r="E14" i="71"/>
  <c r="E13" i="71"/>
  <c r="V13" i="71"/>
  <c r="C13" i="71"/>
  <c r="D14" i="71"/>
  <c r="D11" i="71"/>
  <c r="T13" i="71"/>
  <c r="D12" i="71"/>
  <c r="D13" i="71"/>
  <c r="U13" i="71"/>
  <c r="K4" i="4"/>
  <c r="B46" i="48" s="1"/>
  <c r="B4" i="72" s="1"/>
  <c r="B4" i="62"/>
  <c r="B71" i="72"/>
  <c r="D9" i="53"/>
  <c r="B25" i="72"/>
  <c r="B24" i="72"/>
  <c r="K120" i="9"/>
  <c r="D8" i="71"/>
  <c r="C7" i="71"/>
  <c r="Y9" i="71"/>
  <c r="Z9" i="71"/>
  <c r="Y8" i="71"/>
  <c r="AA9" i="71"/>
  <c r="AB3" i="71"/>
  <c r="B9" i="71"/>
  <c r="B8" i="71"/>
  <c r="B7" i="71"/>
  <c r="B6" i="71"/>
  <c r="B5" i="71"/>
  <c r="X9" i="71"/>
  <c r="AB9" i="71"/>
  <c r="Z8" i="71"/>
  <c r="Y3" i="71"/>
  <c r="Z3" i="71"/>
  <c r="D9" i="71"/>
  <c r="F9" i="71"/>
  <c r="F8" i="71"/>
  <c r="F7" i="71"/>
  <c r="F6" i="71"/>
  <c r="F5" i="71"/>
  <c r="AF3" i="71"/>
  <c r="D7" i="71"/>
  <c r="C6" i="71"/>
  <c r="P23" i="43"/>
  <c r="B71" i="39" s="1"/>
  <c r="D6" i="71"/>
  <c r="C5" i="71"/>
  <c r="D5" i="71"/>
  <c r="F34" i="68"/>
  <c r="E12" i="76"/>
  <c r="F7" i="15"/>
  <c r="B13" i="76"/>
  <c r="B12" i="76"/>
  <c r="F6" i="73"/>
  <c r="F8" i="67"/>
  <c r="M6" i="67"/>
  <c r="M28" i="67"/>
  <c r="F7" i="73"/>
  <c r="AO12" i="1"/>
  <c r="M26" i="15"/>
  <c r="F40" i="15"/>
  <c r="D35" i="9"/>
  <c r="F38" i="15"/>
  <c r="M24" i="15"/>
  <c r="F43" i="15"/>
  <c r="F27" i="68"/>
  <c r="F37" i="15"/>
  <c r="E13" i="76"/>
  <c r="AO11" i="1"/>
  <c r="F20" i="31"/>
  <c r="C76" i="67"/>
  <c r="F4" i="73"/>
  <c r="D9" i="68"/>
  <c r="E10" i="76"/>
  <c r="L47" i="67"/>
  <c r="F26" i="67"/>
  <c r="F38" i="67"/>
  <c r="D34" i="9"/>
  <c r="D2" i="33"/>
  <c r="M26" i="67"/>
  <c r="M8" i="67"/>
  <c r="F8" i="15"/>
  <c r="M27" i="67"/>
  <c r="L47" i="15"/>
  <c r="J15" i="67"/>
  <c r="M24" i="67"/>
  <c r="L48" i="67"/>
  <c r="F42" i="15"/>
  <c r="D2" i="37"/>
  <c r="M6" i="15"/>
  <c r="F7" i="67"/>
  <c r="E2" i="68"/>
  <c r="M9" i="67"/>
  <c r="F36" i="15"/>
  <c r="E8" i="76"/>
  <c r="M23" i="15"/>
  <c r="D6" i="73"/>
  <c r="AO7" i="1"/>
  <c r="F3" i="73"/>
  <c r="F9" i="67"/>
  <c r="F36" i="67"/>
  <c r="M29" i="15"/>
  <c r="F9" i="15"/>
  <c r="F16" i="67"/>
  <c r="E2" i="69"/>
  <c r="F40" i="67"/>
  <c r="B9" i="76"/>
  <c r="C76" i="15"/>
  <c r="B11" i="76"/>
  <c r="M27" i="15"/>
  <c r="F26" i="15"/>
  <c r="D2" i="35"/>
  <c r="D3" i="73"/>
  <c r="M23" i="67"/>
  <c r="F37" i="67"/>
  <c r="C36" i="68"/>
  <c r="F13" i="67"/>
  <c r="F43" i="67"/>
  <c r="AO8" i="1"/>
  <c r="D2" i="21"/>
  <c r="M22" i="67"/>
  <c r="B7" i="76"/>
  <c r="M22" i="15"/>
  <c r="B10" i="76"/>
  <c r="M8" i="15"/>
  <c r="F42" i="67"/>
  <c r="J15" i="15"/>
  <c r="M28" i="15"/>
  <c r="D5" i="73"/>
  <c r="M29" i="67"/>
  <c r="L48" i="15"/>
  <c r="F6" i="15"/>
  <c r="F13" i="15"/>
  <c r="E9" i="76"/>
  <c r="F5" i="73"/>
  <c r="B8" i="76"/>
  <c r="F16" i="15"/>
  <c r="M9" i="15"/>
  <c r="D4" i="73"/>
  <c r="AO13" i="1"/>
  <c r="AO9" i="1"/>
  <c r="E7" i="76"/>
  <c r="AO10" i="1"/>
  <c r="D2" i="34"/>
  <c r="D2" i="36"/>
  <c r="D7" i="73"/>
  <c r="E11" i="76"/>
  <c r="F6" i="67"/>
  <c r="I54" i="15" l="1"/>
  <c r="U13" i="39"/>
  <c r="S9" i="39"/>
  <c r="U19" i="39"/>
  <c r="S37" i="39"/>
  <c r="W9" i="39"/>
  <c r="F15" i="39"/>
  <c r="AA15" i="39" s="1"/>
  <c r="U45" i="39"/>
  <c r="F13" i="39"/>
  <c r="J40" i="39"/>
  <c r="AC40" i="39" s="1"/>
  <c r="W13" i="39"/>
  <c r="AC13" i="39"/>
  <c r="W34" i="39"/>
  <c r="S17" i="39"/>
  <c r="W39" i="39"/>
  <c r="E97" i="39"/>
  <c r="F97" i="39" s="1"/>
  <c r="G97" i="39" s="1"/>
  <c r="F39" i="39"/>
  <c r="W8" i="39"/>
  <c r="AB34" i="39"/>
  <c r="H15" i="39"/>
  <c r="U15" i="39" s="1"/>
  <c r="W37" i="39"/>
  <c r="AB44" i="39"/>
  <c r="AC43" i="39"/>
  <c r="AA36" i="39"/>
  <c r="U36" i="39"/>
  <c r="AB8" i="39"/>
  <c r="J27" i="39"/>
  <c r="AC27" i="39" s="1"/>
  <c r="S14" i="39"/>
  <c r="AA14" i="39"/>
  <c r="U27" i="39"/>
  <c r="AB27" i="39"/>
  <c r="AC23" i="39"/>
  <c r="W23" i="39"/>
  <c r="AC35" i="39"/>
  <c r="W35" i="39"/>
  <c r="AB23" i="39"/>
  <c r="U14" i="39"/>
  <c r="S43" i="39"/>
  <c r="W42" i="39"/>
  <c r="S19" i="39"/>
  <c r="W14" i="39"/>
  <c r="F12" i="39"/>
  <c r="F27" i="39"/>
  <c r="S34" i="39"/>
  <c r="F35" i="39"/>
  <c r="AC12" i="39"/>
  <c r="W12" i="39"/>
  <c r="F117" i="39"/>
  <c r="E116" i="39" s="1"/>
  <c r="D116" i="39"/>
  <c r="AB15" i="39"/>
  <c r="U37" i="39"/>
  <c r="I20" i="43"/>
  <c r="G6" i="1"/>
  <c r="P21" i="43"/>
  <c r="F48" i="9"/>
  <c r="O52" i="9" s="1"/>
  <c r="F31" i="12"/>
  <c r="C31" i="12" s="1"/>
  <c r="F52" i="9"/>
  <c r="F32" i="67"/>
  <c r="F60" i="67" s="1"/>
  <c r="F32" i="15"/>
  <c r="F60" i="15" s="1"/>
  <c r="M18" i="15"/>
  <c r="F54" i="9"/>
  <c r="F53" i="9"/>
  <c r="F30" i="11"/>
  <c r="F28" i="67"/>
  <c r="M18" i="67"/>
  <c r="F28" i="15"/>
  <c r="D68" i="9"/>
  <c r="F30" i="69"/>
  <c r="F48" i="69" s="1"/>
  <c r="F30" i="68"/>
  <c r="F48" i="68" s="1"/>
  <c r="C30" i="69"/>
  <c r="H73" i="43"/>
  <c r="H75" i="43"/>
  <c r="H71" i="43"/>
  <c r="H72" i="43"/>
  <c r="H76" i="43"/>
  <c r="H78" i="43"/>
  <c r="H77" i="43"/>
  <c r="H70" i="43"/>
  <c r="H74" i="43"/>
  <c r="G17" i="43"/>
  <c r="C16" i="43" s="1"/>
  <c r="C5" i="43" s="1"/>
  <c r="G9" i="1"/>
  <c r="D23" i="67"/>
  <c r="G13" i="1"/>
  <c r="F3" i="35"/>
  <c r="BA13" i="3"/>
  <c r="F28" i="6"/>
  <c r="F29" i="6"/>
  <c r="BL13" i="3"/>
  <c r="G13" i="3"/>
  <c r="H16" i="1"/>
  <c r="G28" i="6"/>
  <c r="AZ16" i="3"/>
  <c r="BL15" i="3"/>
  <c r="T13" i="1"/>
  <c r="AR11" i="1"/>
  <c r="BA14" i="3"/>
  <c r="BA5" i="3" s="1"/>
  <c r="H50" i="43"/>
  <c r="M20" i="43"/>
  <c r="P25" i="43"/>
  <c r="P24" i="43"/>
  <c r="B66" i="40" s="1"/>
  <c r="P22" i="43"/>
  <c r="C24" i="12"/>
  <c r="C30" i="68"/>
  <c r="C13" i="12"/>
  <c r="C28" i="15"/>
  <c r="C48" i="69"/>
  <c r="D68" i="39"/>
  <c r="C48" i="68"/>
  <c r="C28" i="67"/>
  <c r="Q16" i="1"/>
  <c r="F27" i="69" s="1"/>
  <c r="C47" i="69" s="1"/>
  <c r="D45" i="69" s="1"/>
  <c r="M7" i="1"/>
  <c r="E56" i="40"/>
  <c r="S23" i="39"/>
  <c r="D22" i="67"/>
  <c r="H81" i="39"/>
  <c r="H11" i="39"/>
  <c r="J11" i="39"/>
  <c r="K1" i="73"/>
  <c r="D22" i="15"/>
  <c r="G25" i="12"/>
  <c r="G41" i="11"/>
  <c r="G27" i="12"/>
  <c r="G41" i="68"/>
  <c r="F21" i="39"/>
  <c r="S21" i="39" s="1"/>
  <c r="F95" i="39"/>
  <c r="G95" i="39" s="1"/>
  <c r="AC21" i="39"/>
  <c r="H21" i="39"/>
  <c r="AB21" i="39" s="1"/>
  <c r="U12" i="39"/>
  <c r="W27" i="39"/>
  <c r="H25" i="39"/>
  <c r="F99" i="39"/>
  <c r="G99" i="39" s="1"/>
  <c r="J25" i="39"/>
  <c r="U21" i="39"/>
  <c r="J41" i="39"/>
  <c r="F124" i="39"/>
  <c r="G124" i="39" s="1"/>
  <c r="H124" i="39" s="1"/>
  <c r="I124" i="39" s="1"/>
  <c r="J124" i="39" s="1"/>
  <c r="K124" i="39" s="1"/>
  <c r="L124" i="39" s="1"/>
  <c r="M124" i="39" s="1"/>
  <c r="H41" i="39"/>
  <c r="AA41" i="39"/>
  <c r="H39" i="39"/>
  <c r="U40" i="39"/>
  <c r="G107" i="39"/>
  <c r="H32" i="39" s="1"/>
  <c r="F105" i="39"/>
  <c r="G105" i="39" s="1"/>
  <c r="H105" i="39" s="1"/>
  <c r="I105" i="39" s="1"/>
  <c r="J105" i="39" s="1"/>
  <c r="K105" i="39" s="1"/>
  <c r="L105" i="39" s="1"/>
  <c r="M105" i="39" s="1"/>
  <c r="F31" i="39"/>
  <c r="AA31" i="39" s="1"/>
  <c r="H31" i="39"/>
  <c r="AB31" i="39" s="1"/>
  <c r="J31" i="39"/>
  <c r="U42" i="39"/>
  <c r="S42" i="39"/>
  <c r="S40" i="39"/>
  <c r="W40" i="39"/>
  <c r="W29" i="39"/>
  <c r="U29" i="39"/>
  <c r="S29" i="39"/>
  <c r="U9" i="39"/>
  <c r="B52" i="43"/>
  <c r="B54" i="43"/>
  <c r="C21" i="39"/>
  <c r="B49" i="43"/>
  <c r="C15" i="39"/>
  <c r="P16" i="1"/>
  <c r="C11" i="12" s="1"/>
  <c r="C12" i="12" s="1"/>
  <c r="C36" i="69"/>
  <c r="E13" i="6"/>
  <c r="E15" i="6"/>
  <c r="O16" i="1"/>
  <c r="AQ12" i="1"/>
  <c r="T11" i="1"/>
  <c r="AQ13" i="1"/>
  <c r="T10" i="1"/>
  <c r="T12" i="1"/>
  <c r="E12" i="6"/>
  <c r="E29" i="6"/>
  <c r="K15" i="1" s="1"/>
  <c r="F30" i="6"/>
  <c r="L19" i="6"/>
  <c r="L27" i="6" s="1"/>
  <c r="AZ14" i="3"/>
  <c r="G14" i="3"/>
  <c r="G5" i="3" s="1"/>
  <c r="B3" i="3" s="1"/>
  <c r="G30" i="6"/>
  <c r="G31" i="6" s="1"/>
  <c r="E28" i="6"/>
  <c r="AZ15" i="3"/>
  <c r="BL5" i="3"/>
  <c r="F27" i="11"/>
  <c r="B113" i="43"/>
  <c r="G101" i="43"/>
  <c r="J101" i="43"/>
  <c r="L101" i="43"/>
  <c r="L109" i="43" s="1"/>
  <c r="D101" i="43"/>
  <c r="M101" i="43"/>
  <c r="I101" i="43"/>
  <c r="E101" i="43"/>
  <c r="AJ11" i="43"/>
  <c r="AJ13" i="43" s="1"/>
  <c r="AF11" i="43"/>
  <c r="AF13" i="43" s="1"/>
  <c r="AB11" i="43"/>
  <c r="AB13" i="43" s="1"/>
  <c r="Z7" i="43"/>
  <c r="AG11" i="43"/>
  <c r="AG13" i="43" s="1"/>
  <c r="AC11" i="43"/>
  <c r="AC13" i="43" s="1"/>
  <c r="Y11" i="43"/>
  <c r="Y13" i="43" s="1"/>
  <c r="J22" i="43"/>
  <c r="F22" i="43"/>
  <c r="K101" i="43"/>
  <c r="F101" i="43"/>
  <c r="N101" i="43"/>
  <c r="E22" i="43"/>
  <c r="C101" i="43"/>
  <c r="N104" i="46"/>
  <c r="H22" i="43"/>
  <c r="H101" i="43"/>
  <c r="H109" i="43" s="1"/>
  <c r="G22" i="43"/>
  <c r="AH11" i="43"/>
  <c r="AH13" i="43" s="1"/>
  <c r="AD11" i="43"/>
  <c r="AD13" i="43" s="1"/>
  <c r="Z11" i="43"/>
  <c r="Z13" i="43" s="1"/>
  <c r="AI11" i="43"/>
  <c r="AI13" i="43" s="1"/>
  <c r="AE11" i="43"/>
  <c r="AE13" i="43" s="1"/>
  <c r="AA11" i="43"/>
  <c r="AA13" i="43" s="1"/>
  <c r="D9" i="11"/>
  <c r="C9" i="11" s="1"/>
  <c r="D9" i="69"/>
  <c r="C9" i="69" s="1"/>
  <c r="D19" i="12"/>
  <c r="C19" i="12" s="1"/>
  <c r="L102" i="43"/>
  <c r="L107" i="43"/>
  <c r="E64" i="39"/>
  <c r="E59" i="40"/>
  <c r="F27" i="6"/>
  <c r="F31" i="6" s="1"/>
  <c r="E51" i="40"/>
  <c r="T9" i="1"/>
  <c r="AQ9" i="1"/>
  <c r="E59" i="34"/>
  <c r="F59" i="34" s="1"/>
  <c r="G59" i="34" s="1"/>
  <c r="H59" i="34" s="1"/>
  <c r="I59" i="34" s="1"/>
  <c r="J59" i="34" s="1"/>
  <c r="K59" i="34" s="1"/>
  <c r="L59" i="34" s="1"/>
  <c r="M59" i="34" s="1"/>
  <c r="N59" i="34" s="1"/>
  <c r="O59" i="34" s="1"/>
  <c r="C65" i="40"/>
  <c r="D63" i="40"/>
  <c r="E58" i="33"/>
  <c r="D48" i="35"/>
  <c r="E48" i="35" s="1"/>
  <c r="F48" i="35" s="1"/>
  <c r="G48" i="35" s="1"/>
  <c r="H48" i="35" s="1"/>
  <c r="I48" i="35" s="1"/>
  <c r="J48" i="35" s="1"/>
  <c r="K48" i="35" s="1"/>
  <c r="L48" i="35" s="1"/>
  <c r="M48" i="35" s="1"/>
  <c r="N48" i="35" s="1"/>
  <c r="O48" i="35" s="1"/>
  <c r="F52" i="37"/>
  <c r="E46" i="36"/>
  <c r="D58" i="21"/>
  <c r="E58" i="21" s="1"/>
  <c r="F58" i="21" s="1"/>
  <c r="G58" i="21" s="1"/>
  <c r="H58" i="21" s="1"/>
  <c r="I58" i="21" s="1"/>
  <c r="J58" i="21" s="1"/>
  <c r="K58" i="21" s="1"/>
  <c r="L58" i="21" s="1"/>
  <c r="M58" i="21" s="1"/>
  <c r="N58" i="21" s="1"/>
  <c r="O58" i="21" s="1"/>
  <c r="F7" i="49"/>
  <c r="H7" i="49" s="1"/>
  <c r="B6" i="49"/>
  <c r="D6" i="49" s="1"/>
  <c r="F11" i="49"/>
  <c r="H11" i="49" s="1"/>
  <c r="B14" i="49"/>
  <c r="D14" i="49" s="1"/>
  <c r="B9" i="49"/>
  <c r="D9" i="49" s="1"/>
  <c r="F13" i="49"/>
  <c r="H13" i="49" s="1"/>
  <c r="F9" i="49"/>
  <c r="H9" i="49" s="1"/>
  <c r="F5" i="49"/>
  <c r="H5" i="49" s="1"/>
  <c r="B10" i="49"/>
  <c r="D10" i="49" s="1"/>
  <c r="B13" i="49"/>
  <c r="D13" i="49" s="1"/>
  <c r="B5" i="49"/>
  <c r="D5" i="49" s="1"/>
  <c r="F14" i="49"/>
  <c r="H14" i="49" s="1"/>
  <c r="F12" i="49"/>
  <c r="H12" i="49" s="1"/>
  <c r="F10" i="49"/>
  <c r="H10" i="49" s="1"/>
  <c r="F8" i="49"/>
  <c r="H8" i="49" s="1"/>
  <c r="F6" i="49"/>
  <c r="H6" i="49" s="1"/>
  <c r="F4" i="49"/>
  <c r="H4" i="49" s="1"/>
  <c r="B12" i="49"/>
  <c r="D12" i="49" s="1"/>
  <c r="B8" i="49"/>
  <c r="D8" i="49" s="1"/>
  <c r="B4" i="49"/>
  <c r="D4" i="49" s="1"/>
  <c r="B11" i="49"/>
  <c r="D11" i="49" s="1"/>
  <c r="B7" i="49"/>
  <c r="D7" i="49" s="1"/>
  <c r="E20" i="43"/>
  <c r="B8" i="70"/>
  <c r="M7" i="67"/>
  <c r="J6" i="67" s="1"/>
  <c r="F50" i="67"/>
  <c r="N59" i="67"/>
  <c r="L58" i="67"/>
  <c r="L59" i="67"/>
  <c r="M59" i="67"/>
  <c r="F31" i="67"/>
  <c r="C6" i="67"/>
  <c r="B11" i="70"/>
  <c r="B9" i="70"/>
  <c r="C27" i="67"/>
  <c r="B12" i="70"/>
  <c r="B7" i="70"/>
  <c r="F65" i="67"/>
  <c r="B20" i="31"/>
  <c r="B21" i="31" s="1"/>
  <c r="F66" i="15"/>
  <c r="F65" i="15"/>
  <c r="F64" i="15"/>
  <c r="F71" i="15"/>
  <c r="F51" i="15"/>
  <c r="B13" i="70"/>
  <c r="C9" i="68"/>
  <c r="F71" i="67"/>
  <c r="F51" i="67"/>
  <c r="F64" i="67"/>
  <c r="F70" i="67"/>
  <c r="Q71" i="15"/>
  <c r="L59" i="15"/>
  <c r="L58" i="15"/>
  <c r="N59" i="15"/>
  <c r="M59" i="15"/>
  <c r="F66" i="67"/>
  <c r="F68" i="67"/>
  <c r="Q71" i="67"/>
  <c r="J53" i="67"/>
  <c r="I54" i="67"/>
  <c r="J57" i="67"/>
  <c r="J55" i="67" s="1"/>
  <c r="J58" i="67" s="1"/>
  <c r="Q50" i="67" s="1"/>
  <c r="L56" i="67"/>
  <c r="B10" i="70"/>
  <c r="F68" i="15"/>
  <c r="C27" i="15"/>
  <c r="I1" i="73"/>
  <c r="B39" i="1" s="1"/>
  <c r="M7" i="15"/>
  <c r="M17" i="15" s="1"/>
  <c r="F50" i="15"/>
  <c r="C6" i="15"/>
  <c r="F31" i="15"/>
  <c r="J53" i="15"/>
  <c r="L56" i="15" s="1"/>
  <c r="J57" i="15"/>
  <c r="J55" i="15" s="1"/>
  <c r="J58" i="15" s="1"/>
  <c r="Q50" i="15" s="1"/>
  <c r="C29" i="68"/>
  <c r="D27" i="68" s="1"/>
  <c r="C47" i="68"/>
  <c r="D45" i="68" s="1"/>
  <c r="F45" i="68"/>
  <c r="C16" i="15"/>
  <c r="C16" i="67"/>
  <c r="G1" i="73"/>
  <c r="F7" i="34" l="1"/>
  <c r="S15" i="39"/>
  <c r="S13" i="39"/>
  <c r="AA13" i="39"/>
  <c r="S39" i="39"/>
  <c r="AA39" i="39"/>
  <c r="AA35" i="39"/>
  <c r="S35" i="39"/>
  <c r="AA27" i="39"/>
  <c r="S27" i="39"/>
  <c r="S12" i="39"/>
  <c r="AA12" i="39"/>
  <c r="AB32" i="39"/>
  <c r="U32" i="39"/>
  <c r="AA21" i="39"/>
  <c r="G117" i="39"/>
  <c r="F116" i="39" s="1"/>
  <c r="G16" i="1"/>
  <c r="AZ13" i="3"/>
  <c r="C29" i="69"/>
  <c r="D27" i="69" s="1"/>
  <c r="J7" i="35"/>
  <c r="C48" i="11"/>
  <c r="C30" i="11"/>
  <c r="D5" i="43"/>
  <c r="C15" i="12"/>
  <c r="F28" i="12"/>
  <c r="C29" i="12" s="1"/>
  <c r="D28" i="12" s="1"/>
  <c r="AZ5" i="3"/>
  <c r="E3" i="6" s="1"/>
  <c r="F7" i="21"/>
  <c r="J7" i="21"/>
  <c r="F7" i="35"/>
  <c r="H7" i="35"/>
  <c r="E68" i="39"/>
  <c r="D70" i="39"/>
  <c r="F45" i="69"/>
  <c r="E16" i="6"/>
  <c r="AT6" i="3"/>
  <c r="E501" i="3"/>
  <c r="D22" i="43"/>
  <c r="L106" i="43"/>
  <c r="E426" i="3"/>
  <c r="E53" i="3"/>
  <c r="S31" i="39"/>
  <c r="U11" i="39"/>
  <c r="AB11" i="39"/>
  <c r="W11" i="39"/>
  <c r="AC11" i="39"/>
  <c r="F11" i="39"/>
  <c r="I81" i="39"/>
  <c r="J81" i="39" s="1"/>
  <c r="K81" i="39" s="1"/>
  <c r="L81" i="39" s="1"/>
  <c r="M81" i="39" s="1"/>
  <c r="F25" i="39"/>
  <c r="S25" i="39" s="1"/>
  <c r="C49" i="67"/>
  <c r="B40" i="1"/>
  <c r="F22" i="68" s="1"/>
  <c r="U31" i="39"/>
  <c r="AC25" i="39"/>
  <c r="W25" i="39"/>
  <c r="AA25" i="39"/>
  <c r="AB25" i="39"/>
  <c r="U25" i="39"/>
  <c r="AB41" i="39"/>
  <c r="U41" i="39"/>
  <c r="W41" i="39"/>
  <c r="AC41" i="39"/>
  <c r="U39" i="39"/>
  <c r="AB39" i="39"/>
  <c r="F32" i="39"/>
  <c r="H107" i="39"/>
  <c r="I107" i="39" s="1"/>
  <c r="J107" i="39" s="1"/>
  <c r="K107" i="39" s="1"/>
  <c r="L107" i="39" s="1"/>
  <c r="M107" i="39" s="1"/>
  <c r="J32" i="39"/>
  <c r="AC31" i="39"/>
  <c r="W31" i="39"/>
  <c r="E60" i="40"/>
  <c r="E65" i="39"/>
  <c r="E328" i="3"/>
  <c r="E153" i="3"/>
  <c r="E319" i="3"/>
  <c r="H103" i="43"/>
  <c r="E58" i="40"/>
  <c r="E63" i="39"/>
  <c r="E57" i="40"/>
  <c r="E62" i="39"/>
  <c r="E66" i="39" s="1"/>
  <c r="E508" i="3"/>
  <c r="E305" i="3"/>
  <c r="E343" i="3"/>
  <c r="E530" i="3"/>
  <c r="E175" i="3"/>
  <c r="H105" i="43"/>
  <c r="H102" i="43"/>
  <c r="E27" i="6"/>
  <c r="K20" i="6" s="1"/>
  <c r="AY6" i="3"/>
  <c r="K14" i="1"/>
  <c r="K21" i="6"/>
  <c r="K26" i="6"/>
  <c r="M26" i="6" s="1"/>
  <c r="I26" i="6" s="1"/>
  <c r="S26" i="6" s="1"/>
  <c r="K19" i="6"/>
  <c r="E30" i="6"/>
  <c r="E31" i="6" s="1"/>
  <c r="K22" i="6"/>
  <c r="M22" i="6" s="1"/>
  <c r="I22" i="6" s="1"/>
  <c r="S22" i="6" s="1"/>
  <c r="K25" i="6"/>
  <c r="M25" i="6" s="1"/>
  <c r="I25" i="6" s="1"/>
  <c r="S25" i="6" s="1"/>
  <c r="K23" i="6"/>
  <c r="M23" i="6" s="1"/>
  <c r="I23" i="6" s="1"/>
  <c r="S23" i="6" s="1"/>
  <c r="AJ6" i="3"/>
  <c r="N6" i="3"/>
  <c r="E322" i="3"/>
  <c r="E282" i="3"/>
  <c r="E268" i="3"/>
  <c r="E553" i="3"/>
  <c r="E526" i="3"/>
  <c r="E366" i="3"/>
  <c r="E217" i="3"/>
  <c r="E125" i="3"/>
  <c r="H106" i="43"/>
  <c r="H104" i="43"/>
  <c r="H107" i="43"/>
  <c r="C29" i="11"/>
  <c r="D27" i="11" s="1"/>
  <c r="C47" i="11"/>
  <c r="D45" i="11" s="1"/>
  <c r="E69" i="3"/>
  <c r="E114" i="3"/>
  <c r="E278" i="3"/>
  <c r="E415" i="3"/>
  <c r="E563" i="3"/>
  <c r="E395" i="3"/>
  <c r="E172" i="3"/>
  <c r="E260" i="3"/>
  <c r="E445" i="3"/>
  <c r="E550" i="3"/>
  <c r="E535" i="3"/>
  <c r="E329" i="3"/>
  <c r="E347" i="3"/>
  <c r="E539" i="3"/>
  <c r="E583" i="3"/>
  <c r="E545" i="3"/>
  <c r="AA6" i="3"/>
  <c r="E237" i="3"/>
  <c r="E261" i="3"/>
  <c r="E304" i="3"/>
  <c r="E528" i="3"/>
  <c r="E565" i="3"/>
  <c r="E183" i="3"/>
  <c r="E213" i="3"/>
  <c r="E361" i="3"/>
  <c r="E17" i="3"/>
  <c r="E503" i="3"/>
  <c r="E302" i="3"/>
  <c r="E239" i="3"/>
  <c r="E509" i="3"/>
  <c r="E516" i="3"/>
  <c r="E579" i="3"/>
  <c r="E574" i="3"/>
  <c r="E569" i="3"/>
  <c r="E410" i="3"/>
  <c r="E431" i="3"/>
  <c r="E359" i="3"/>
  <c r="E396" i="3"/>
  <c r="E337" i="3"/>
  <c r="E247" i="3"/>
  <c r="E285" i="3"/>
  <c r="E229" i="3"/>
  <c r="E143" i="3"/>
  <c r="E201" i="3"/>
  <c r="E97" i="3"/>
  <c r="E151" i="3"/>
  <c r="E270" i="3"/>
  <c r="E311" i="3"/>
  <c r="E390" i="3"/>
  <c r="E358" i="3"/>
  <c r="E533" i="3"/>
  <c r="E514" i="3"/>
  <c r="S6" i="3"/>
  <c r="E559" i="3"/>
  <c r="AR6" i="3"/>
  <c r="E570" i="3"/>
  <c r="E523" i="3"/>
  <c r="E551" i="3"/>
  <c r="E561" i="3"/>
  <c r="M6" i="3"/>
  <c r="E506" i="3"/>
  <c r="V6" i="3"/>
  <c r="E538" i="3"/>
  <c r="AB6" i="3"/>
  <c r="E418" i="3"/>
  <c r="E407" i="3"/>
  <c r="E439" i="3"/>
  <c r="E387" i="3"/>
  <c r="E338" i="3"/>
  <c r="E320" i="3"/>
  <c r="E380" i="3"/>
  <c r="E335" i="3"/>
  <c r="E321" i="3"/>
  <c r="E294" i="3"/>
  <c r="E231" i="3"/>
  <c r="E215" i="3"/>
  <c r="E298" i="3"/>
  <c r="E230" i="3"/>
  <c r="E216" i="3"/>
  <c r="E189" i="3"/>
  <c r="E169" i="3"/>
  <c r="E130" i="3"/>
  <c r="E185" i="3"/>
  <c r="E134" i="3"/>
  <c r="E61" i="3"/>
  <c r="E254" i="3"/>
  <c r="E135" i="3"/>
  <c r="E91" i="3"/>
  <c r="E290" i="3"/>
  <c r="E221" i="3"/>
  <c r="E161" i="3"/>
  <c r="E180" i="3"/>
  <c r="E117" i="3"/>
  <c r="E149" i="3"/>
  <c r="E207" i="3"/>
  <c r="E77" i="3"/>
  <c r="E252" i="3"/>
  <c r="E212" i="3"/>
  <c r="E271" i="3"/>
  <c r="E253" i="3"/>
  <c r="E204" i="3"/>
  <c r="E167" i="3"/>
  <c r="E145" i="3"/>
  <c r="E199" i="3"/>
  <c r="E164" i="3"/>
  <c r="E141" i="3"/>
  <c r="E107" i="3"/>
  <c r="E286" i="3"/>
  <c r="E327" i="3"/>
  <c r="E312" i="3"/>
  <c r="E379" i="3"/>
  <c r="E575" i="3"/>
  <c r="E576" i="3"/>
  <c r="AD6" i="3"/>
  <c r="E585" i="3"/>
  <c r="E499" i="3"/>
  <c r="Z6" i="3"/>
  <c r="E542" i="3"/>
  <c r="U6" i="3"/>
  <c r="R6" i="3"/>
  <c r="AG6" i="3"/>
  <c r="E552" i="3"/>
  <c r="E515" i="3"/>
  <c r="E502" i="3"/>
  <c r="AO6" i="3"/>
  <c r="E421" i="3"/>
  <c r="E411" i="3"/>
  <c r="E442" i="3"/>
  <c r="E448" i="3"/>
  <c r="E464" i="3"/>
  <c r="E478" i="3"/>
  <c r="E466" i="3"/>
  <c r="E485" i="3"/>
  <c r="E487" i="3"/>
  <c r="E548" i="3"/>
  <c r="E541" i="3"/>
  <c r="P6" i="3"/>
  <c r="E398" i="3"/>
  <c r="E414" i="3"/>
  <c r="E430" i="3"/>
  <c r="E400" i="3"/>
  <c r="E416" i="3"/>
  <c r="E432" i="3"/>
  <c r="E449" i="3"/>
  <c r="E443" i="3"/>
  <c r="E459" i="3"/>
  <c r="E477" i="3"/>
  <c r="E255" i="3"/>
  <c r="E345" i="3"/>
  <c r="E374" i="3"/>
  <c r="E367" i="3"/>
  <c r="I3" i="6"/>
  <c r="E558" i="3"/>
  <c r="E566" i="3"/>
  <c r="E505" i="3"/>
  <c r="AP6" i="3"/>
  <c r="E557" i="3"/>
  <c r="E500" i="3"/>
  <c r="E547" i="3"/>
  <c r="E554" i="3"/>
  <c r="E581" i="3"/>
  <c r="E582" i="3"/>
  <c r="AS6" i="3"/>
  <c r="E517" i="3"/>
  <c r="E531" i="3"/>
  <c r="E413" i="3"/>
  <c r="E403" i="3"/>
  <c r="E435" i="3"/>
  <c r="E444" i="3"/>
  <c r="E460" i="3"/>
  <c r="E476" i="3"/>
  <c r="E491" i="3"/>
  <c r="E489" i="3"/>
  <c r="E520" i="3"/>
  <c r="E546" i="3"/>
  <c r="E417" i="3"/>
  <c r="E404" i="3"/>
  <c r="E436" i="3"/>
  <c r="E447" i="3"/>
  <c r="E479" i="3"/>
  <c r="E28" i="3"/>
  <c r="E39" i="3"/>
  <c r="E71" i="3"/>
  <c r="E56" i="3"/>
  <c r="E88" i="3"/>
  <c r="E90" i="3"/>
  <c r="E27" i="3"/>
  <c r="E37" i="3"/>
  <c r="E70" i="3"/>
  <c r="E388" i="3"/>
  <c r="O6" i="3"/>
  <c r="E555" i="3"/>
  <c r="E567" i="3"/>
  <c r="X6" i="3"/>
  <c r="E510" i="3"/>
  <c r="E399" i="3"/>
  <c r="E461" i="3"/>
  <c r="E336" i="3"/>
  <c r="E352" i="3"/>
  <c r="E280" i="3"/>
  <c r="E227" i="3"/>
  <c r="E246" i="3"/>
  <c r="E205" i="3"/>
  <c r="E124" i="3"/>
  <c r="E165" i="3"/>
  <c r="E293" i="3"/>
  <c r="E128" i="3"/>
  <c r="E397" i="3"/>
  <c r="E353" i="3"/>
  <c r="E314" i="3"/>
  <c r="E385" i="3"/>
  <c r="E568" i="3"/>
  <c r="E495" i="3"/>
  <c r="E511" i="3"/>
  <c r="E518" i="3"/>
  <c r="I6" i="3"/>
  <c r="AN6" i="3"/>
  <c r="E16" i="3"/>
  <c r="AI6" i="3"/>
  <c r="E536" i="3"/>
  <c r="E586" i="3"/>
  <c r="AK6" i="3"/>
  <c r="E578" i="3"/>
  <c r="E549" i="3"/>
  <c r="E402" i="3"/>
  <c r="E434" i="3"/>
  <c r="E423" i="3"/>
  <c r="E453" i="3"/>
  <c r="E350" i="3"/>
  <c r="E306" i="3"/>
  <c r="E382" i="3"/>
  <c r="E368" i="3"/>
  <c r="E303" i="3"/>
  <c r="E296" i="3"/>
  <c r="E263" i="3"/>
  <c r="E244" i="3"/>
  <c r="E301" i="3"/>
  <c r="E262" i="3"/>
  <c r="E245" i="3"/>
  <c r="E196" i="3"/>
  <c r="E159" i="3"/>
  <c r="E136" i="3"/>
  <c r="E191" i="3"/>
  <c r="E156" i="3"/>
  <c r="E99" i="3"/>
  <c r="E236" i="3"/>
  <c r="E188" i="3"/>
  <c r="E148" i="3"/>
  <c r="E228" i="3"/>
  <c r="E269" i="3"/>
  <c r="E181" i="3"/>
  <c r="E122" i="3"/>
  <c r="E157" i="3"/>
  <c r="E89" i="3"/>
  <c r="E140" i="3"/>
  <c r="E120" i="3"/>
  <c r="E85" i="3"/>
  <c r="E45" i="3"/>
  <c r="E223" i="3"/>
  <c r="E277" i="3"/>
  <c r="E238" i="3"/>
  <c r="E224" i="3"/>
  <c r="E197" i="3"/>
  <c r="E177" i="3"/>
  <c r="E116" i="3"/>
  <c r="E193" i="3"/>
  <c r="E173" i="3"/>
  <c r="E133" i="3"/>
  <c r="E105" i="3"/>
  <c r="E313" i="3"/>
  <c r="E369" i="3"/>
  <c r="E330" i="3"/>
  <c r="E519" i="3"/>
  <c r="K6" i="3"/>
  <c r="E532" i="3"/>
  <c r="Q6" i="3"/>
  <c r="E573" i="3"/>
  <c r="E560" i="3"/>
  <c r="E529" i="3"/>
  <c r="E437" i="3"/>
  <c r="E458" i="3"/>
  <c r="E472" i="3"/>
  <c r="E474" i="3"/>
  <c r="E481" i="3"/>
  <c r="E527" i="3"/>
  <c r="E406" i="3"/>
  <c r="E438" i="3"/>
  <c r="E424" i="3"/>
  <c r="E457" i="3"/>
  <c r="E465" i="3"/>
  <c r="E288" i="3"/>
  <c r="E344" i="3"/>
  <c r="E562" i="3"/>
  <c r="E587" i="3"/>
  <c r="W6" i="3"/>
  <c r="AE6" i="3"/>
  <c r="E571" i="3"/>
  <c r="E577" i="3"/>
  <c r="E537" i="3"/>
  <c r="E429" i="3"/>
  <c r="E450" i="3"/>
  <c r="E468" i="3"/>
  <c r="E471" i="3"/>
  <c r="E496" i="3"/>
  <c r="E433" i="3"/>
  <c r="E454" i="3"/>
  <c r="E475" i="3"/>
  <c r="E55" i="3"/>
  <c r="E72" i="3"/>
  <c r="E106" i="3"/>
  <c r="E54" i="3"/>
  <c r="E57" i="3"/>
  <c r="E92" i="3"/>
  <c r="E95" i="3"/>
  <c r="E121" i="3"/>
  <c r="E131" i="3"/>
  <c r="E162" i="3"/>
  <c r="E152" i="3"/>
  <c r="E182" i="3"/>
  <c r="E187" i="3"/>
  <c r="E126" i="3"/>
  <c r="E132" i="3"/>
  <c r="E166" i="3"/>
  <c r="E155" i="3"/>
  <c r="E186" i="3"/>
  <c r="E192" i="3"/>
  <c r="E211" i="3"/>
  <c r="E240" i="3"/>
  <c r="E272" i="3"/>
  <c r="E258" i="3"/>
  <c r="E295" i="3"/>
  <c r="E297" i="3"/>
  <c r="E210" i="3"/>
  <c r="E241" i="3"/>
  <c r="E273" i="3"/>
  <c r="E259" i="3"/>
  <c r="E291" i="3"/>
  <c r="E292" i="3"/>
  <c r="E316" i="3"/>
  <c r="E348" i="3"/>
  <c r="E331" i="3"/>
  <c r="E363" i="3"/>
  <c r="E377" i="3"/>
  <c r="E378" i="3"/>
  <c r="E317" i="3"/>
  <c r="E349" i="3"/>
  <c r="E334" i="3"/>
  <c r="E375" i="3"/>
  <c r="E384" i="3"/>
  <c r="E389" i="3"/>
  <c r="E572" i="3"/>
  <c r="E504" i="3"/>
  <c r="AM6" i="3"/>
  <c r="E544" i="3"/>
  <c r="E30" i="3"/>
  <c r="E58" i="3"/>
  <c r="E44" i="3"/>
  <c r="E76" i="3"/>
  <c r="E109" i="3"/>
  <c r="E110" i="3"/>
  <c r="E29" i="3"/>
  <c r="E59" i="3"/>
  <c r="E480" i="3"/>
  <c r="E540" i="3"/>
  <c r="E441" i="3"/>
  <c r="E462" i="3"/>
  <c r="E484" i="3"/>
  <c r="E521" i="3"/>
  <c r="E425" i="3"/>
  <c r="E446" i="3"/>
  <c r="E467" i="3"/>
  <c r="E47" i="3"/>
  <c r="E64" i="3"/>
  <c r="E98" i="3"/>
  <c r="E46" i="3"/>
  <c r="E65" i="3"/>
  <c r="E103" i="3"/>
  <c r="E138" i="3"/>
  <c r="E160" i="3"/>
  <c r="E195" i="3"/>
  <c r="E142" i="3"/>
  <c r="E163" i="3"/>
  <c r="E200" i="3"/>
  <c r="E248" i="3"/>
  <c r="E267" i="3"/>
  <c r="E209" i="3"/>
  <c r="E249" i="3"/>
  <c r="E266" i="3"/>
  <c r="E300" i="3"/>
  <c r="E307" i="3"/>
  <c r="E371" i="3"/>
  <c r="E386" i="3"/>
  <c r="E310" i="3"/>
  <c r="E354" i="3"/>
  <c r="E492" i="3"/>
  <c r="E584" i="3"/>
  <c r="E23" i="3"/>
  <c r="E66" i="3"/>
  <c r="E84" i="3"/>
  <c r="E24" i="3"/>
  <c r="E67" i="3"/>
  <c r="E48" i="3"/>
  <c r="E33" i="3"/>
  <c r="E87" i="3"/>
  <c r="E144" i="3"/>
  <c r="E127" i="3"/>
  <c r="E184" i="3"/>
  <c r="E250" i="3"/>
  <c r="E233" i="3"/>
  <c r="E284" i="3"/>
  <c r="E355" i="3"/>
  <c r="E341" i="3"/>
  <c r="E381" i="3"/>
  <c r="Y6" i="3"/>
  <c r="E68" i="3"/>
  <c r="E51" i="3"/>
  <c r="E63" i="3"/>
  <c r="E19" i="3"/>
  <c r="E81" i="3"/>
  <c r="E154" i="3"/>
  <c r="E118" i="3"/>
  <c r="E179" i="3"/>
  <c r="E264" i="3"/>
  <c r="E222" i="3"/>
  <c r="E283" i="3"/>
  <c r="E323" i="3"/>
  <c r="E309" i="3"/>
  <c r="E373" i="3"/>
  <c r="E513" i="3"/>
  <c r="E82" i="3"/>
  <c r="E21" i="3"/>
  <c r="E393" i="3"/>
  <c r="E525" i="3"/>
  <c r="E493" i="3"/>
  <c r="E534" i="3"/>
  <c r="E564" i="3"/>
  <c r="T6" i="3"/>
  <c r="E543" i="3"/>
  <c r="E405" i="3"/>
  <c r="E427" i="3"/>
  <c r="E456" i="3"/>
  <c r="E486" i="3"/>
  <c r="E469" i="3"/>
  <c r="E507" i="3"/>
  <c r="E512" i="3"/>
  <c r="E422" i="3"/>
  <c r="E408" i="3"/>
  <c r="E440" i="3"/>
  <c r="E451" i="3"/>
  <c r="E490" i="3"/>
  <c r="E360" i="3"/>
  <c r="E376" i="3"/>
  <c r="E556" i="3"/>
  <c r="AH6" i="3"/>
  <c r="E497" i="3"/>
  <c r="J6" i="3"/>
  <c r="E13" i="3"/>
  <c r="E498" i="3"/>
  <c r="E494" i="3"/>
  <c r="E419" i="3"/>
  <c r="E452" i="3"/>
  <c r="E483" i="3"/>
  <c r="E470" i="3"/>
  <c r="E401" i="3"/>
  <c r="E420" i="3"/>
  <c r="E463" i="3"/>
  <c r="E26" i="3"/>
  <c r="E40" i="3"/>
  <c r="E104" i="3"/>
  <c r="E25" i="3"/>
  <c r="E41" i="3"/>
  <c r="E73" i="3"/>
  <c r="E108" i="3"/>
  <c r="E111" i="3"/>
  <c r="E115" i="3"/>
  <c r="E146" i="3"/>
  <c r="E178" i="3"/>
  <c r="E168" i="3"/>
  <c r="E198" i="3"/>
  <c r="E203" i="3"/>
  <c r="E119" i="3"/>
  <c r="E150" i="3"/>
  <c r="E139" i="3"/>
  <c r="E171" i="3"/>
  <c r="E202" i="3"/>
  <c r="E208" i="3"/>
  <c r="E225" i="3"/>
  <c r="E256" i="3"/>
  <c r="E242" i="3"/>
  <c r="E279" i="3"/>
  <c r="E281" i="3"/>
  <c r="E214" i="3"/>
  <c r="E226" i="3"/>
  <c r="E257" i="3"/>
  <c r="E243" i="3"/>
  <c r="E274" i="3"/>
  <c r="E276" i="3"/>
  <c r="E351" i="3"/>
  <c r="E332" i="3"/>
  <c r="E315" i="3"/>
  <c r="E346" i="3"/>
  <c r="E357" i="3"/>
  <c r="E391" i="3"/>
  <c r="E394" i="3"/>
  <c r="E333" i="3"/>
  <c r="E318" i="3"/>
  <c r="E356" i="3"/>
  <c r="E362" i="3"/>
  <c r="E372" i="3"/>
  <c r="E14" i="3"/>
  <c r="AL6" i="3"/>
  <c r="E580" i="3"/>
  <c r="L6" i="3"/>
  <c r="E31" i="3"/>
  <c r="E42" i="3"/>
  <c r="E74" i="3"/>
  <c r="E60" i="3"/>
  <c r="E93" i="3"/>
  <c r="E94" i="3"/>
  <c r="E32" i="3"/>
  <c r="E43" i="3"/>
  <c r="E75" i="3"/>
  <c r="E488" i="3"/>
  <c r="E409" i="3"/>
  <c r="E428" i="3"/>
  <c r="E473" i="3"/>
  <c r="E482" i="3"/>
  <c r="E15" i="3"/>
  <c r="E412" i="3"/>
  <c r="E455" i="3"/>
  <c r="E18" i="3"/>
  <c r="E79" i="3"/>
  <c r="E96" i="3"/>
  <c r="E38" i="3"/>
  <c r="E78" i="3"/>
  <c r="E100" i="3"/>
  <c r="E129" i="3"/>
  <c r="E170" i="3"/>
  <c r="E190" i="3"/>
  <c r="E137" i="3"/>
  <c r="E174" i="3"/>
  <c r="E194" i="3"/>
  <c r="E220" i="3"/>
  <c r="E234" i="3"/>
  <c r="E275" i="3"/>
  <c r="E219" i="3"/>
  <c r="E235" i="3"/>
  <c r="E299" i="3"/>
  <c r="E324" i="3"/>
  <c r="E339" i="3"/>
  <c r="E383" i="3"/>
  <c r="E325" i="3"/>
  <c r="E342" i="3"/>
  <c r="E392" i="3"/>
  <c r="E522" i="3"/>
  <c r="AQ6" i="3"/>
  <c r="E35" i="3"/>
  <c r="E52" i="3"/>
  <c r="E86" i="3"/>
  <c r="E36" i="3"/>
  <c r="E34" i="3"/>
  <c r="E112" i="3"/>
  <c r="E49" i="3"/>
  <c r="E123" i="3"/>
  <c r="E206" i="3"/>
  <c r="E147" i="3"/>
  <c r="E232" i="3"/>
  <c r="E289" i="3"/>
  <c r="E251" i="3"/>
  <c r="E340" i="3"/>
  <c r="E370" i="3"/>
  <c r="E364" i="3"/>
  <c r="AF6" i="3"/>
  <c r="E50" i="3"/>
  <c r="E102" i="3"/>
  <c r="E20" i="3"/>
  <c r="E80" i="3"/>
  <c r="E62" i="3"/>
  <c r="E113" i="3"/>
  <c r="E176" i="3"/>
  <c r="E158" i="3"/>
  <c r="E218" i="3"/>
  <c r="E287" i="3"/>
  <c r="E265" i="3"/>
  <c r="E308" i="3"/>
  <c r="E365" i="3"/>
  <c r="E326" i="3"/>
  <c r="E524" i="3"/>
  <c r="E22" i="3"/>
  <c r="E101" i="3"/>
  <c r="E83" i="3"/>
  <c r="F104" i="43"/>
  <c r="F107" i="43"/>
  <c r="F106" i="43"/>
  <c r="F102" i="43"/>
  <c r="F103" i="43"/>
  <c r="F105" i="43"/>
  <c r="F109" i="43"/>
  <c r="I103" i="43"/>
  <c r="I105" i="43"/>
  <c r="I107" i="43"/>
  <c r="I109" i="43"/>
  <c r="I102" i="43"/>
  <c r="I104" i="43"/>
  <c r="I106" i="43"/>
  <c r="D107" i="43"/>
  <c r="D109" i="43"/>
  <c r="D102" i="43"/>
  <c r="D103" i="43"/>
  <c r="D104" i="43"/>
  <c r="D105" i="43"/>
  <c r="D106" i="43"/>
  <c r="J104" i="43"/>
  <c r="J105" i="43"/>
  <c r="J103" i="43"/>
  <c r="J106" i="43"/>
  <c r="J107" i="43"/>
  <c r="J102" i="43"/>
  <c r="J109" i="43"/>
  <c r="B115" i="43"/>
  <c r="I118" i="43"/>
  <c r="J118" i="43" s="1"/>
  <c r="K118" i="43" s="1"/>
  <c r="L118" i="43" s="1"/>
  <c r="M118" i="43" s="1"/>
  <c r="G118" i="43"/>
  <c r="H118" i="43" s="1"/>
  <c r="B116" i="43"/>
  <c r="C116" i="43" s="1"/>
  <c r="B118" i="43"/>
  <c r="C118" i="43" s="1"/>
  <c r="I117" i="43"/>
  <c r="J117" i="43" s="1"/>
  <c r="K117" i="43" s="1"/>
  <c r="L117" i="43" s="1"/>
  <c r="M117" i="43" s="1"/>
  <c r="B117" i="43"/>
  <c r="C117" i="43" s="1"/>
  <c r="I116" i="43"/>
  <c r="J116" i="43" s="1"/>
  <c r="K116" i="43" s="1"/>
  <c r="L116" i="43" s="1"/>
  <c r="M116" i="43" s="1"/>
  <c r="D117" i="43"/>
  <c r="E117" i="43" s="1"/>
  <c r="F117" i="43" s="1"/>
  <c r="G117" i="43" s="1"/>
  <c r="H117" i="43" s="1"/>
  <c r="I115" i="43"/>
  <c r="J115" i="43" s="1"/>
  <c r="K115" i="43" s="1"/>
  <c r="L115" i="43" s="1"/>
  <c r="M115" i="43" s="1"/>
  <c r="D116" i="43"/>
  <c r="E116" i="43" s="1"/>
  <c r="F116" i="43" s="1"/>
  <c r="G116" i="43" s="1"/>
  <c r="H116" i="43" s="1"/>
  <c r="D118" i="43"/>
  <c r="E118" i="43" s="1"/>
  <c r="F118" i="43" s="1"/>
  <c r="D115" i="43"/>
  <c r="E115" i="43" s="1"/>
  <c r="F115" i="43" s="1"/>
  <c r="G115" i="43" s="1"/>
  <c r="H115" i="43" s="1"/>
  <c r="C104" i="43"/>
  <c r="C105" i="43"/>
  <c r="C102" i="43"/>
  <c r="C109" i="43"/>
  <c r="C106" i="43"/>
  <c r="C107" i="43"/>
  <c r="C103" i="43"/>
  <c r="N102" i="43"/>
  <c r="N103" i="43"/>
  <c r="N106" i="43"/>
  <c r="N104" i="43"/>
  <c r="N107" i="43"/>
  <c r="N109" i="43"/>
  <c r="N105" i="43"/>
  <c r="K103" i="43"/>
  <c r="K107" i="43"/>
  <c r="K104" i="43"/>
  <c r="K106" i="43"/>
  <c r="K102" i="43"/>
  <c r="K105" i="43"/>
  <c r="K109" i="43"/>
  <c r="E102" i="43"/>
  <c r="E103" i="43"/>
  <c r="E104" i="43"/>
  <c r="E105" i="43"/>
  <c r="E106" i="43"/>
  <c r="E107" i="43"/>
  <c r="E109" i="43"/>
  <c r="M102" i="43"/>
  <c r="M103" i="43"/>
  <c r="M105" i="43"/>
  <c r="M109" i="43"/>
  <c r="M104" i="43"/>
  <c r="M106" i="43"/>
  <c r="M107" i="43"/>
  <c r="L104" i="43"/>
  <c r="L103" i="43"/>
  <c r="L105" i="43"/>
  <c r="G105" i="43"/>
  <c r="G103" i="43"/>
  <c r="G102" i="43"/>
  <c r="G107" i="43"/>
  <c r="G104" i="43"/>
  <c r="G106" i="43"/>
  <c r="G109" i="43"/>
  <c r="D3" i="6"/>
  <c r="AY87" i="3"/>
  <c r="AY83" i="3"/>
  <c r="AY51" i="3"/>
  <c r="AY66" i="3"/>
  <c r="AY34" i="3"/>
  <c r="AY23" i="3"/>
  <c r="AY207" i="3"/>
  <c r="AY176" i="3"/>
  <c r="AY144" i="3"/>
  <c r="AY155" i="3"/>
  <c r="AY124" i="3"/>
  <c r="AY115" i="3"/>
  <c r="AY95" i="3"/>
  <c r="AY59" i="3"/>
  <c r="AY42" i="3"/>
  <c r="AY188" i="3"/>
  <c r="AY152" i="3"/>
  <c r="AY131" i="3"/>
  <c r="AY281" i="3"/>
  <c r="AY276" i="3"/>
  <c r="AY111" i="3"/>
  <c r="AY58" i="3"/>
  <c r="AY168" i="3"/>
  <c r="AY297" i="3"/>
  <c r="AY253" i="3"/>
  <c r="AY268" i="3"/>
  <c r="AY236" i="3"/>
  <c r="AY225" i="3"/>
  <c r="AY382" i="3"/>
  <c r="AY371" i="3"/>
  <c r="AY366" i="3"/>
  <c r="AY335" i="3"/>
  <c r="AY303" i="3"/>
  <c r="AY318" i="3"/>
  <c r="AY473" i="3"/>
  <c r="AY470" i="3"/>
  <c r="AY460" i="3"/>
  <c r="AY428" i="3"/>
  <c r="AY441" i="3"/>
  <c r="AY409" i="3"/>
  <c r="AY529" i="3"/>
  <c r="AY106" i="3"/>
  <c r="AY26" i="3"/>
  <c r="AY180" i="3"/>
  <c r="AY300" i="3"/>
  <c r="AY245" i="3"/>
  <c r="AY260" i="3"/>
  <c r="AY228" i="3"/>
  <c r="AY217" i="3"/>
  <c r="AY395" i="3"/>
  <c r="AY372" i="3"/>
  <c r="AY358" i="3"/>
  <c r="AY327" i="3"/>
  <c r="AY342" i="3"/>
  <c r="AY310" i="3"/>
  <c r="AY465" i="3"/>
  <c r="AY463" i="3"/>
  <c r="AY452" i="3"/>
  <c r="AY420" i="3"/>
  <c r="AY433" i="3"/>
  <c r="AY401" i="3"/>
  <c r="AY513" i="3"/>
  <c r="AY549" i="3"/>
  <c r="BK6" i="3"/>
  <c r="AY544" i="3"/>
  <c r="AY569" i="3"/>
  <c r="AY533" i="3"/>
  <c r="AY541" i="3"/>
  <c r="BE6" i="3"/>
  <c r="AY553" i="3"/>
  <c r="AY97" i="3"/>
  <c r="AY108" i="3"/>
  <c r="AY92" i="3"/>
  <c r="AY77" i="3"/>
  <c r="AY61" i="3"/>
  <c r="AY45" i="3"/>
  <c r="AY76" i="3"/>
  <c r="AY60" i="3"/>
  <c r="AY44" i="3"/>
  <c r="AY28" i="3"/>
  <c r="AY33" i="3"/>
  <c r="AY206" i="3"/>
  <c r="AY190" i="3"/>
  <c r="AY201" i="3"/>
  <c r="AY185" i="3"/>
  <c r="AY170" i="3"/>
  <c r="AY154" i="3"/>
  <c r="AY138" i="3"/>
  <c r="AY165" i="3"/>
  <c r="AY149" i="3"/>
  <c r="AY133" i="3"/>
  <c r="AY118" i="3"/>
  <c r="AY125" i="3"/>
  <c r="AY299" i="3"/>
  <c r="AY283" i="3"/>
  <c r="AY294" i="3"/>
  <c r="AY278" i="3"/>
  <c r="AY263" i="3"/>
  <c r="AY247" i="3"/>
  <c r="AY231" i="3"/>
  <c r="AY262" i="3"/>
  <c r="AY246" i="3"/>
  <c r="AY230" i="3"/>
  <c r="AY214" i="3"/>
  <c r="AY219" i="3"/>
  <c r="AY392" i="3"/>
  <c r="AY397" i="3"/>
  <c r="AY381" i="3"/>
  <c r="AY374" i="3"/>
  <c r="AY357" i="3"/>
  <c r="AY360" i="3"/>
  <c r="AY554" i="3"/>
  <c r="BH6" i="3"/>
  <c r="BJ6" i="3"/>
  <c r="AY109" i="3"/>
  <c r="AY104" i="3"/>
  <c r="AY73" i="3"/>
  <c r="AY41" i="3"/>
  <c r="AY56" i="3"/>
  <c r="AY24" i="3"/>
  <c r="AY202" i="3"/>
  <c r="AY197" i="3"/>
  <c r="AY166" i="3"/>
  <c r="AY177" i="3"/>
  <c r="AY145" i="3"/>
  <c r="AY114" i="3"/>
  <c r="AY295" i="3"/>
  <c r="AY290" i="3"/>
  <c r="AY103" i="3"/>
  <c r="AY67" i="3"/>
  <c r="AY50" i="3"/>
  <c r="AY196" i="3"/>
  <c r="AY160" i="3"/>
  <c r="AY139" i="3"/>
  <c r="AY289" i="3"/>
  <c r="AY74" i="3"/>
  <c r="AY183" i="3"/>
  <c r="AY123" i="3"/>
  <c r="AY261" i="3"/>
  <c r="AY204" i="3"/>
  <c r="AY284" i="3"/>
  <c r="AY252" i="3"/>
  <c r="AY209" i="3"/>
  <c r="AY363" i="3"/>
  <c r="AY319" i="3"/>
  <c r="AY489" i="3"/>
  <c r="AY455" i="3"/>
  <c r="AY412" i="3"/>
  <c r="AY497" i="3"/>
  <c r="AY43" i="3"/>
  <c r="AY116" i="3"/>
  <c r="AY229" i="3"/>
  <c r="AY212" i="3"/>
  <c r="AY379" i="3"/>
  <c r="AY343" i="3"/>
  <c r="AY326" i="3"/>
  <c r="AY478" i="3"/>
  <c r="AY436" i="3"/>
  <c r="AY417" i="3"/>
  <c r="AY557" i="3"/>
  <c r="AY573" i="3"/>
  <c r="AY540" i="3"/>
  <c r="AY539" i="3"/>
  <c r="AY105" i="3"/>
  <c r="AY100" i="3"/>
  <c r="AY69" i="3"/>
  <c r="AY84" i="3"/>
  <c r="AY52" i="3"/>
  <c r="AY20" i="3"/>
  <c r="AY198" i="3"/>
  <c r="AY193" i="3"/>
  <c r="AY162" i="3"/>
  <c r="AY173" i="3"/>
  <c r="AY141" i="3"/>
  <c r="AY134" i="3"/>
  <c r="AY291" i="3"/>
  <c r="AY286" i="3"/>
  <c r="AY255" i="3"/>
  <c r="AY270" i="3"/>
  <c r="AY238" i="3"/>
  <c r="AY227" i="3"/>
  <c r="AY384" i="3"/>
  <c r="AY373" i="3"/>
  <c r="AY368" i="3"/>
  <c r="AY507" i="3"/>
  <c r="BB6" i="3"/>
  <c r="AY88" i="3"/>
  <c r="AY72" i="3"/>
  <c r="AY29" i="3"/>
  <c r="AY181" i="3"/>
  <c r="AY161" i="3"/>
  <c r="AY121" i="3"/>
  <c r="AY275" i="3"/>
  <c r="AY243" i="3"/>
  <c r="AY258" i="3"/>
  <c r="AY226" i="3"/>
  <c r="AY215" i="3"/>
  <c r="AY393" i="3"/>
  <c r="AY370" i="3"/>
  <c r="AY356" i="3"/>
  <c r="AY341" i="3"/>
  <c r="AY98" i="3"/>
  <c r="AY18" i="3"/>
  <c r="AY171" i="3"/>
  <c r="AY90" i="3"/>
  <c r="AY163" i="3"/>
  <c r="AY75" i="3"/>
  <c r="AY237" i="3"/>
  <c r="AY387" i="3"/>
  <c r="AY334" i="3"/>
  <c r="AY444" i="3"/>
  <c r="AY526" i="3"/>
  <c r="AY269" i="3"/>
  <c r="AY390" i="3"/>
  <c r="AY311" i="3"/>
  <c r="AY447" i="3"/>
  <c r="AY535" i="3"/>
  <c r="AY574" i="3"/>
  <c r="AY555" i="3"/>
  <c r="AY85" i="3"/>
  <c r="AY68" i="3"/>
  <c r="AY25" i="3"/>
  <c r="AY178" i="3"/>
  <c r="AY157" i="3"/>
  <c r="AY117" i="3"/>
  <c r="AY271" i="3"/>
  <c r="AY254" i="3"/>
  <c r="AY211" i="3"/>
  <c r="AY365" i="3"/>
  <c r="BI6" i="3"/>
  <c r="AY57" i="3"/>
  <c r="AY186" i="3"/>
  <c r="AY130" i="3"/>
  <c r="AY259" i="3"/>
  <c r="AY242" i="3"/>
  <c r="AY388" i="3"/>
  <c r="AY353" i="3"/>
  <c r="AY333" i="3"/>
  <c r="AY317" i="3"/>
  <c r="AY348" i="3"/>
  <c r="AY332" i="3"/>
  <c r="AY316" i="3"/>
  <c r="AY491" i="3"/>
  <c r="AY475" i="3"/>
  <c r="AY488" i="3"/>
  <c r="AY472" i="3"/>
  <c r="AY457" i="3"/>
  <c r="AY462" i="3"/>
  <c r="AY446" i="3"/>
  <c r="AY430" i="3"/>
  <c r="AY414" i="3"/>
  <c r="AY398" i="3"/>
  <c r="AY427" i="3"/>
  <c r="AY411" i="3"/>
  <c r="AY581" i="3"/>
  <c r="BQ6" i="3"/>
  <c r="BM6" i="3"/>
  <c r="AY585" i="3"/>
  <c r="AY561" i="3"/>
  <c r="AY534" i="3"/>
  <c r="BF6" i="3"/>
  <c r="AY571" i="3"/>
  <c r="AY546" i="3"/>
  <c r="AY495" i="3"/>
  <c r="AY510" i="3"/>
  <c r="BG6" i="3"/>
  <c r="AY16" i="3"/>
  <c r="AY501" i="3"/>
  <c r="AY584" i="3"/>
  <c r="AY494" i="3"/>
  <c r="AY514" i="3"/>
  <c r="AY582" i="3"/>
  <c r="AY519" i="3"/>
  <c r="AY101" i="3"/>
  <c r="AY96" i="3"/>
  <c r="AY65" i="3"/>
  <c r="AY80" i="3"/>
  <c r="AY48" i="3"/>
  <c r="AY37" i="3"/>
  <c r="AY194" i="3"/>
  <c r="AY189" i="3"/>
  <c r="AY158" i="3"/>
  <c r="AY169" i="3"/>
  <c r="AY137" i="3"/>
  <c r="AY129" i="3"/>
  <c r="AY287" i="3"/>
  <c r="AY282" i="3"/>
  <c r="AY251" i="3"/>
  <c r="AY266" i="3"/>
  <c r="AY234" i="3"/>
  <c r="AY223" i="3"/>
  <c r="AY380" i="3"/>
  <c r="AY369" i="3"/>
  <c r="AY364" i="3"/>
  <c r="AY345" i="3"/>
  <c r="AY329" i="3"/>
  <c r="AY313" i="3"/>
  <c r="AY344" i="3"/>
  <c r="AY328" i="3"/>
  <c r="AY312" i="3"/>
  <c r="AY487" i="3"/>
  <c r="AY471" i="3"/>
  <c r="AY484" i="3"/>
  <c r="AY468" i="3"/>
  <c r="AY453" i="3"/>
  <c r="AY458" i="3"/>
  <c r="AY442" i="3"/>
  <c r="AY426" i="3"/>
  <c r="AY410" i="3"/>
  <c r="AY439" i="3"/>
  <c r="AY423" i="3"/>
  <c r="AY407" i="3"/>
  <c r="AY579" i="3"/>
  <c r="AY506" i="3"/>
  <c r="AY499" i="3"/>
  <c r="AY14" i="3"/>
  <c r="AY522" i="3"/>
  <c r="AY575" i="3"/>
  <c r="AY515" i="3"/>
  <c r="AY537" i="3"/>
  <c r="AY551" i="3"/>
  <c r="AY530" i="3"/>
  <c r="AY545" i="3"/>
  <c r="AY548" i="3"/>
  <c r="BP6" i="3"/>
  <c r="AY563" i="3"/>
  <c r="AY493" i="3"/>
  <c r="AY110" i="3"/>
  <c r="AY79" i="3"/>
  <c r="AY47" i="3"/>
  <c r="AY62" i="3"/>
  <c r="AY30" i="3"/>
  <c r="AY19" i="3"/>
  <c r="AY203" i="3"/>
  <c r="AY172" i="3"/>
  <c r="AY140" i="3"/>
  <c r="AY151" i="3"/>
  <c r="AY120" i="3"/>
  <c r="AY301" i="3"/>
  <c r="AY296" i="3"/>
  <c r="AY265" i="3"/>
  <c r="AY233" i="3"/>
  <c r="AY248" i="3"/>
  <c r="AY216" i="3"/>
  <c r="AY394" i="3"/>
  <c r="AY383" i="3"/>
  <c r="AY359" i="3"/>
  <c r="AY347" i="3"/>
  <c r="AY315" i="3"/>
  <c r="AY330" i="3"/>
  <c r="AY485" i="3"/>
  <c r="AY482" i="3"/>
  <c r="AY451" i="3"/>
  <c r="AY440" i="3"/>
  <c r="AY408" i="3"/>
  <c r="AY421" i="3"/>
  <c r="AY500" i="3"/>
  <c r="AY13" i="3"/>
  <c r="AY547" i="3"/>
  <c r="AY528" i="3"/>
  <c r="AY568" i="3"/>
  <c r="AY576" i="3"/>
  <c r="AY107" i="3"/>
  <c r="AY102" i="3"/>
  <c r="AY71" i="3"/>
  <c r="AY39" i="3"/>
  <c r="AY54" i="3"/>
  <c r="AY22" i="3"/>
  <c r="AY200" i="3"/>
  <c r="AY195" i="3"/>
  <c r="AY82" i="3"/>
  <c r="AY191" i="3"/>
  <c r="AY132" i="3"/>
  <c r="AY31" i="3"/>
  <c r="AY292" i="3"/>
  <c r="AY147" i="3"/>
  <c r="AY220" i="3"/>
  <c r="AY350" i="3"/>
  <c r="AY486" i="3"/>
  <c r="AY425" i="3"/>
  <c r="AY199" i="3"/>
  <c r="AY244" i="3"/>
  <c r="AY355" i="3"/>
  <c r="AY481" i="3"/>
  <c r="AY404" i="3"/>
  <c r="AY562" i="3"/>
  <c r="BO6" i="3"/>
  <c r="AY89" i="3"/>
  <c r="AY53" i="3"/>
  <c r="AY36" i="3"/>
  <c r="AY182" i="3"/>
  <c r="AY146" i="3"/>
  <c r="AY126" i="3"/>
  <c r="AY302" i="3"/>
  <c r="AY239" i="3"/>
  <c r="AY222" i="3"/>
  <c r="AY389" i="3"/>
  <c r="BS6" i="3"/>
  <c r="AY93" i="3"/>
  <c r="AY40" i="3"/>
  <c r="AY150" i="3"/>
  <c r="AY279" i="3"/>
  <c r="AY274" i="3"/>
  <c r="AY210" i="3"/>
  <c r="AY377" i="3"/>
  <c r="AY349" i="3"/>
  <c r="AY325" i="3"/>
  <c r="AY309" i="3"/>
  <c r="AY340" i="3"/>
  <c r="AY324" i="3"/>
  <c r="AY308" i="3"/>
  <c r="AY483" i="3"/>
  <c r="AY467" i="3"/>
  <c r="AY480" i="3"/>
  <c r="AY464" i="3"/>
  <c r="AY449" i="3"/>
  <c r="AY454" i="3"/>
  <c r="AY438" i="3"/>
  <c r="AY422" i="3"/>
  <c r="AY406" i="3"/>
  <c r="AY435" i="3"/>
  <c r="AY419" i="3"/>
  <c r="AY403" i="3"/>
  <c r="AY503" i="3"/>
  <c r="AY525" i="3"/>
  <c r="AY580" i="3"/>
  <c r="AY516" i="3"/>
  <c r="AY572" i="3"/>
  <c r="BN6" i="3"/>
  <c r="AY536" i="3"/>
  <c r="AY527" i="3"/>
  <c r="AY520" i="3"/>
  <c r="AY518" i="3"/>
  <c r="AY552" i="3"/>
  <c r="AY559" i="3"/>
  <c r="AY543" i="3"/>
  <c r="AY508" i="3"/>
  <c r="AY532" i="3"/>
  <c r="AY556" i="3"/>
  <c r="AY496" i="3"/>
  <c r="AY577" i="3"/>
  <c r="AY523" i="3"/>
  <c r="AY112" i="3"/>
  <c r="AY81" i="3"/>
  <c r="AY49" i="3"/>
  <c r="AY64" i="3"/>
  <c r="AY32" i="3"/>
  <c r="AY21" i="3"/>
  <c r="AY205" i="3"/>
  <c r="AY174" i="3"/>
  <c r="AY142" i="3"/>
  <c r="AY153" i="3"/>
  <c r="AY122" i="3"/>
  <c r="AY113" i="3"/>
  <c r="AY298" i="3"/>
  <c r="AY267" i="3"/>
  <c r="AY235" i="3"/>
  <c r="AY250" i="3"/>
  <c r="AY218" i="3"/>
  <c r="AY396" i="3"/>
  <c r="AY385" i="3"/>
  <c r="AY361" i="3"/>
  <c r="AY352" i="3"/>
  <c r="AY337" i="3"/>
  <c r="AY321" i="3"/>
  <c r="AY305" i="3"/>
  <c r="AY336" i="3"/>
  <c r="AY320" i="3"/>
  <c r="AY304" i="3"/>
  <c r="AY479" i="3"/>
  <c r="AY492" i="3"/>
  <c r="AY476" i="3"/>
  <c r="AY461" i="3"/>
  <c r="AY445" i="3"/>
  <c r="AY450" i="3"/>
  <c r="AY434" i="3"/>
  <c r="AY418" i="3"/>
  <c r="AY402" i="3"/>
  <c r="AY431" i="3"/>
  <c r="AY415" i="3"/>
  <c r="AY399" i="3"/>
  <c r="AY505" i="3"/>
  <c r="AY17" i="3"/>
  <c r="AY538" i="3"/>
  <c r="AY564" i="3"/>
  <c r="AY524" i="3"/>
  <c r="AY502" i="3"/>
  <c r="AY565" i="3"/>
  <c r="AY509" i="3"/>
  <c r="AY542" i="3"/>
  <c r="BR6" i="3"/>
  <c r="AY570" i="3"/>
  <c r="AY531" i="3"/>
  <c r="AY578" i="3"/>
  <c r="BA6" i="3"/>
  <c r="AY99" i="3"/>
  <c r="AY94" i="3"/>
  <c r="AY63" i="3"/>
  <c r="AY78" i="3"/>
  <c r="AY46" i="3"/>
  <c r="AY35" i="3"/>
  <c r="AY192" i="3"/>
  <c r="AY187" i="3"/>
  <c r="AY156" i="3"/>
  <c r="AY167" i="3"/>
  <c r="AY135" i="3"/>
  <c r="AY127" i="3"/>
  <c r="AY285" i="3"/>
  <c r="AY280" i="3"/>
  <c r="AY249" i="3"/>
  <c r="AY264" i="3"/>
  <c r="AY232" i="3"/>
  <c r="AY221" i="3"/>
  <c r="AY378" i="3"/>
  <c r="AY376" i="3"/>
  <c r="AY362" i="3"/>
  <c r="AY331" i="3"/>
  <c r="AY346" i="3"/>
  <c r="AY314" i="3"/>
  <c r="AY469" i="3"/>
  <c r="AY466" i="3"/>
  <c r="AY456" i="3"/>
  <c r="AY424" i="3"/>
  <c r="AY437" i="3"/>
  <c r="AY405" i="3"/>
  <c r="AY558" i="3"/>
  <c r="AY517" i="3"/>
  <c r="AY560" i="3"/>
  <c r="AY512" i="3"/>
  <c r="BL6" i="3"/>
  <c r="AY587" i="3"/>
  <c r="AY91" i="3"/>
  <c r="AY86" i="3"/>
  <c r="AY55" i="3"/>
  <c r="AY70" i="3"/>
  <c r="AY38" i="3"/>
  <c r="AY27" i="3"/>
  <c r="AY184" i="3"/>
  <c r="AY179" i="3"/>
  <c r="AY164" i="3"/>
  <c r="AY175" i="3"/>
  <c r="AY143" i="3"/>
  <c r="AY136" i="3"/>
  <c r="AY293" i="3"/>
  <c r="AY288" i="3"/>
  <c r="AY257" i="3"/>
  <c r="AY272" i="3"/>
  <c r="AY240" i="3"/>
  <c r="AY208" i="3"/>
  <c r="AY386" i="3"/>
  <c r="AY375" i="3"/>
  <c r="AY351" i="3"/>
  <c r="AY339" i="3"/>
  <c r="AY307" i="3"/>
  <c r="AY322" i="3"/>
  <c r="AY477" i="3"/>
  <c r="AY474" i="3"/>
  <c r="AY443" i="3"/>
  <c r="AY432" i="3"/>
  <c r="AY400" i="3"/>
  <c r="AY413" i="3"/>
  <c r="AY521" i="3"/>
  <c r="AY15" i="3"/>
  <c r="AY566" i="3"/>
  <c r="AY583" i="3"/>
  <c r="BT6" i="3"/>
  <c r="AY567" i="3"/>
  <c r="AY148" i="3"/>
  <c r="AY159" i="3"/>
  <c r="AY128" i="3"/>
  <c r="AY119" i="3"/>
  <c r="AY277" i="3"/>
  <c r="AY273" i="3"/>
  <c r="AY241" i="3"/>
  <c r="AY256" i="3"/>
  <c r="AY224" i="3"/>
  <c r="AY213" i="3"/>
  <c r="AY391" i="3"/>
  <c r="AY367" i="3"/>
  <c r="AY354" i="3"/>
  <c r="AY323" i="3"/>
  <c r="AY338" i="3"/>
  <c r="AY306" i="3"/>
  <c r="AY490" i="3"/>
  <c r="AY459" i="3"/>
  <c r="AY448" i="3"/>
  <c r="AY416" i="3"/>
  <c r="AY429" i="3"/>
  <c r="AY550" i="3"/>
  <c r="BD6" i="3"/>
  <c r="BC6" i="3"/>
  <c r="AY511" i="3"/>
  <c r="AY504" i="3"/>
  <c r="AY586" i="3"/>
  <c r="AY498" i="3"/>
  <c r="C23" i="43"/>
  <c r="C21" i="43" s="1"/>
  <c r="S6" i="43"/>
  <c r="S4" i="43"/>
  <c r="S7" i="43"/>
  <c r="S3" i="43"/>
  <c r="S2" i="43"/>
  <c r="J10" i="39"/>
  <c r="F10" i="40"/>
  <c r="H10" i="40"/>
  <c r="H10" i="39"/>
  <c r="J10" i="40"/>
  <c r="F10" i="39"/>
  <c r="AA7" i="21"/>
  <c r="R48" i="21" s="1"/>
  <c r="S7" i="21"/>
  <c r="H7" i="21"/>
  <c r="G52" i="37"/>
  <c r="AA7" i="35"/>
  <c r="R38" i="35" s="1"/>
  <c r="S7" i="35"/>
  <c r="F58" i="33"/>
  <c r="E63" i="40"/>
  <c r="D65" i="40"/>
  <c r="J7" i="34"/>
  <c r="H7" i="34"/>
  <c r="AC7" i="21"/>
  <c r="V48" i="21" s="1"/>
  <c r="I48" i="21" s="1"/>
  <c r="W7" i="21"/>
  <c r="F46" i="36"/>
  <c r="AC7" i="35"/>
  <c r="V38" i="35" s="1"/>
  <c r="I38" i="35" s="1"/>
  <c r="W7" i="35"/>
  <c r="AB7" i="35"/>
  <c r="T38" i="35" s="1"/>
  <c r="G38" i="35" s="1"/>
  <c r="U7" i="35"/>
  <c r="AA7" i="34"/>
  <c r="R49" i="34" s="1"/>
  <c r="S7" i="34"/>
  <c r="F59" i="15"/>
  <c r="M17" i="67"/>
  <c r="M11" i="15"/>
  <c r="F11" i="15"/>
  <c r="C53" i="15" s="1"/>
  <c r="M11" i="67"/>
  <c r="J10" i="67" s="1"/>
  <c r="J5" i="67" s="1"/>
  <c r="F11" i="67"/>
  <c r="F1" i="67"/>
  <c r="Q52" i="67"/>
  <c r="Q60" i="15"/>
  <c r="Q73" i="15"/>
  <c r="J18" i="67"/>
  <c r="J6" i="15"/>
  <c r="C32" i="67"/>
  <c r="Q60" i="67"/>
  <c r="Q73" i="67"/>
  <c r="F59" i="67"/>
  <c r="M28" i="43"/>
  <c r="O28" i="43"/>
  <c r="G20" i="43" s="1"/>
  <c r="N28" i="43"/>
  <c r="P28" i="43"/>
  <c r="F1" i="15"/>
  <c r="Q52" i="15"/>
  <c r="C32" i="15"/>
  <c r="Q74" i="15"/>
  <c r="Q61" i="15"/>
  <c r="C49" i="15"/>
  <c r="Q61" i="67"/>
  <c r="Q74" i="67"/>
  <c r="AE6" i="1"/>
  <c r="H117" i="39" l="1"/>
  <c r="G116" i="39" s="1"/>
  <c r="M18" i="9"/>
  <c r="B118" i="9" s="1"/>
  <c r="B14" i="74" s="1"/>
  <c r="B1" i="74" s="1"/>
  <c r="D19" i="11"/>
  <c r="C19" i="11" s="1"/>
  <c r="L18" i="9"/>
  <c r="D3" i="34"/>
  <c r="D3" i="33"/>
  <c r="D14" i="12"/>
  <c r="D3" i="21"/>
  <c r="C17" i="4"/>
  <c r="B4" i="52" s="1"/>
  <c r="B43" i="72" s="1"/>
  <c r="D3" i="37"/>
  <c r="D37" i="11"/>
  <c r="E6" i="6"/>
  <c r="E41" i="43"/>
  <c r="C41" i="43" s="1"/>
  <c r="C38" i="43" s="1"/>
  <c r="C20" i="43"/>
  <c r="T7" i="43" s="1"/>
  <c r="V7" i="43" s="1"/>
  <c r="M21" i="6"/>
  <c r="I21" i="6" s="1"/>
  <c r="S21" i="6" s="1"/>
  <c r="S8" i="1"/>
  <c r="M20" i="6"/>
  <c r="I20" i="6" s="1"/>
  <c r="S20" i="6" s="1"/>
  <c r="S7" i="1"/>
  <c r="F68" i="39"/>
  <c r="E70" i="39"/>
  <c r="S11" i="39"/>
  <c r="AA11" i="39"/>
  <c r="F24" i="15"/>
  <c r="C24" i="15" s="1"/>
  <c r="F22" i="11"/>
  <c r="C23" i="11" s="1"/>
  <c r="F22" i="69"/>
  <c r="C26" i="69" s="1"/>
  <c r="D22" i="69" s="1"/>
  <c r="F25" i="12"/>
  <c r="C26" i="12" s="1"/>
  <c r="D25" i="12" s="1"/>
  <c r="F24" i="67"/>
  <c r="C24" i="67" s="1"/>
  <c r="C10" i="15"/>
  <c r="C5" i="15" s="1"/>
  <c r="C38" i="15" s="1"/>
  <c r="AA32" i="39"/>
  <c r="S32" i="39"/>
  <c r="AC32" i="39"/>
  <c r="W32" i="39"/>
  <c r="K24" i="6"/>
  <c r="S5" i="43"/>
  <c r="S6" i="1"/>
  <c r="M19" i="6"/>
  <c r="AC6" i="3"/>
  <c r="M14" i="1"/>
  <c r="C34" i="69"/>
  <c r="K16" i="1"/>
  <c r="C115" i="43"/>
  <c r="D113" i="43" s="1"/>
  <c r="H6" i="3"/>
  <c r="D17" i="12"/>
  <c r="C17" i="12" s="1"/>
  <c r="C20" i="11"/>
  <c r="C28" i="11" s="1"/>
  <c r="C27" i="11" s="1"/>
  <c r="C7" i="74"/>
  <c r="C8" i="74"/>
  <c r="D10" i="11"/>
  <c r="C10" i="11" s="1"/>
  <c r="D20" i="12"/>
  <c r="C20" i="12" s="1"/>
  <c r="D10" i="69"/>
  <c r="M19" i="9"/>
  <c r="C118" i="9" s="1"/>
  <c r="C14" i="74" s="1"/>
  <c r="B2" i="74" s="1"/>
  <c r="D25" i="6"/>
  <c r="D15" i="6"/>
  <c r="D22" i="6"/>
  <c r="D21" i="6"/>
  <c r="D24" i="6"/>
  <c r="D20" i="6"/>
  <c r="D6" i="6"/>
  <c r="D9" i="6"/>
  <c r="D10" i="6"/>
  <c r="L19" i="9"/>
  <c r="D29" i="6"/>
  <c r="H25" i="6"/>
  <c r="H22" i="6"/>
  <c r="H21" i="6"/>
  <c r="H20" i="6"/>
  <c r="D19" i="6"/>
  <c r="D26" i="6"/>
  <c r="C18" i="4"/>
  <c r="D8" i="6"/>
  <c r="D23" i="6"/>
  <c r="D14" i="6"/>
  <c r="D5" i="6"/>
  <c r="D12" i="6"/>
  <c r="D11" i="6"/>
  <c r="D13" i="6"/>
  <c r="D28" i="6"/>
  <c r="E61" i="40"/>
  <c r="H23" i="6"/>
  <c r="H26" i="6"/>
  <c r="AA10" i="39"/>
  <c r="S10" i="39"/>
  <c r="U10" i="39"/>
  <c r="AB10" i="39"/>
  <c r="S10" i="40"/>
  <c r="AA10" i="40"/>
  <c r="W10" i="40"/>
  <c r="AC10" i="40"/>
  <c r="AB10" i="40"/>
  <c r="U10" i="40"/>
  <c r="AC10" i="39"/>
  <c r="W10" i="39"/>
  <c r="G42" i="35"/>
  <c r="H42" i="35" s="1"/>
  <c r="G43" i="35"/>
  <c r="H43" i="35" s="1"/>
  <c r="I42" i="35"/>
  <c r="J42" i="35" s="1"/>
  <c r="I52" i="21"/>
  <c r="J52" i="21" s="1"/>
  <c r="AC7" i="34"/>
  <c r="V49" i="34" s="1"/>
  <c r="I49" i="34" s="1"/>
  <c r="W7" i="34"/>
  <c r="E65" i="40"/>
  <c r="F63" i="40"/>
  <c r="G58" i="33"/>
  <c r="H58" i="33" s="1"/>
  <c r="I58" i="33" s="1"/>
  <c r="J58" i="33" s="1"/>
  <c r="K58" i="33" s="1"/>
  <c r="L58" i="33" s="1"/>
  <c r="M58" i="33" s="1"/>
  <c r="N58" i="33" s="1"/>
  <c r="O58" i="33" s="1"/>
  <c r="H7" i="33"/>
  <c r="J7" i="33"/>
  <c r="E38" i="35"/>
  <c r="R39" i="35"/>
  <c r="E49" i="34"/>
  <c r="R50" i="34"/>
  <c r="G46" i="36"/>
  <c r="U7" i="34"/>
  <c r="AB7" i="34"/>
  <c r="T49" i="34" s="1"/>
  <c r="G49" i="34" s="1"/>
  <c r="F7" i="33"/>
  <c r="H52" i="37"/>
  <c r="U7" i="21"/>
  <c r="AB7" i="21"/>
  <c r="T48" i="21" s="1"/>
  <c r="G48" i="21" s="1"/>
  <c r="E48" i="21"/>
  <c r="R49" i="21"/>
  <c r="C48" i="15"/>
  <c r="C60" i="15" s="1"/>
  <c r="C26" i="68"/>
  <c r="D22" i="68" s="1"/>
  <c r="C44" i="68"/>
  <c r="D41" i="68" s="1"/>
  <c r="F41" i="68"/>
  <c r="J26" i="67"/>
  <c r="J24" i="67"/>
  <c r="J10" i="15"/>
  <c r="J5" i="15" s="1"/>
  <c r="J18" i="15"/>
  <c r="C53" i="67"/>
  <c r="C48" i="67" s="1"/>
  <c r="C10" i="67"/>
  <c r="C5" i="67" s="1"/>
  <c r="F41" i="67"/>
  <c r="C14" i="67"/>
  <c r="C17" i="67"/>
  <c r="C17" i="15"/>
  <c r="D10" i="68"/>
  <c r="F41" i="15"/>
  <c r="F69" i="67" l="1"/>
  <c r="J29" i="67"/>
  <c r="H116" i="39"/>
  <c r="F38" i="39"/>
  <c r="J38" i="39"/>
  <c r="H38" i="39"/>
  <c r="C18" i="67"/>
  <c r="C15" i="67"/>
  <c r="C35" i="43"/>
  <c r="E35" i="43" s="1"/>
  <c r="C44" i="11"/>
  <c r="D41" i="11" s="1"/>
  <c r="T3" i="43"/>
  <c r="V3" i="43" s="1"/>
  <c r="C39" i="43"/>
  <c r="E39" i="43" s="1"/>
  <c r="F41" i="69"/>
  <c r="C37" i="43"/>
  <c r="E37" i="43" s="1"/>
  <c r="T6" i="43"/>
  <c r="V6" i="43" s="1"/>
  <c r="C29" i="43"/>
  <c r="C30" i="43" s="1"/>
  <c r="E30" i="43" s="1"/>
  <c r="T5" i="43"/>
  <c r="V5" i="43" s="1"/>
  <c r="C33" i="43"/>
  <c r="G33" i="43" s="1"/>
  <c r="I33" i="43" s="1"/>
  <c r="C34" i="43"/>
  <c r="G34" i="43" s="1"/>
  <c r="I34" i="43" s="1"/>
  <c r="C36" i="43"/>
  <c r="E36" i="43" s="1"/>
  <c r="T4" i="43"/>
  <c r="V4" i="43" s="1"/>
  <c r="T2" i="43"/>
  <c r="V2" i="43" s="1"/>
  <c r="E34" i="43"/>
  <c r="G38" i="43"/>
  <c r="I38" i="43" s="1"/>
  <c r="E38" i="43"/>
  <c r="T15" i="43"/>
  <c r="V15" i="43" s="1"/>
  <c r="T16" i="43"/>
  <c r="V16" i="43" s="1"/>
  <c r="T12" i="43"/>
  <c r="V12" i="43" s="1"/>
  <c r="T9" i="43"/>
  <c r="V9" i="43" s="1"/>
  <c r="T11" i="43"/>
  <c r="V11" i="43" s="1"/>
  <c r="T13" i="43"/>
  <c r="V13" i="43" s="1"/>
  <c r="T8" i="43"/>
  <c r="V8" i="43" s="1"/>
  <c r="T10" i="43"/>
  <c r="V10" i="43" s="1"/>
  <c r="T14" i="43"/>
  <c r="V14" i="43" s="1"/>
  <c r="G35" i="43"/>
  <c r="I35" i="43" s="1"/>
  <c r="AQ7" i="1"/>
  <c r="T7" i="1"/>
  <c r="AR7" i="1"/>
  <c r="AQ8" i="1"/>
  <c r="T8" i="1"/>
  <c r="AR8" i="1"/>
  <c r="G68" i="39"/>
  <c r="F70" i="39"/>
  <c r="C25" i="11"/>
  <c r="C26" i="11"/>
  <c r="D22" i="11" s="1"/>
  <c r="C24" i="11"/>
  <c r="C44" i="69"/>
  <c r="D41" i="69" s="1"/>
  <c r="F69" i="15"/>
  <c r="M24" i="6"/>
  <c r="I24" i="6" s="1"/>
  <c r="K27" i="6"/>
  <c r="E6" i="3"/>
  <c r="C10" i="68"/>
  <c r="D19" i="68"/>
  <c r="D30" i="6"/>
  <c r="M16" i="1"/>
  <c r="L16" i="1" s="1"/>
  <c r="S16" i="1"/>
  <c r="E6" i="70"/>
  <c r="E2" i="70" s="1"/>
  <c r="AQ6" i="1"/>
  <c r="T6" i="1"/>
  <c r="AR6" i="1"/>
  <c r="C35" i="69"/>
  <c r="C38" i="69"/>
  <c r="M27" i="6"/>
  <c r="I19" i="6"/>
  <c r="D16" i="6"/>
  <c r="R26" i="6"/>
  <c r="R20" i="6"/>
  <c r="R7" i="1" s="1"/>
  <c r="R21" i="6"/>
  <c r="R8" i="1" s="1"/>
  <c r="D7" i="74"/>
  <c r="D8" i="74"/>
  <c r="C10" i="69"/>
  <c r="C8" i="69" s="1"/>
  <c r="C5" i="69" s="1"/>
  <c r="D19" i="69"/>
  <c r="R23" i="6"/>
  <c r="A7" i="51"/>
  <c r="B7" i="72" s="1"/>
  <c r="C4" i="52"/>
  <c r="B45" i="72" s="1"/>
  <c r="A10" i="51"/>
  <c r="B9" i="72" s="1"/>
  <c r="D27" i="6"/>
  <c r="D31" i="6" s="1"/>
  <c r="R22" i="6"/>
  <c r="R25" i="6"/>
  <c r="C49" i="21"/>
  <c r="B2" i="21" s="1"/>
  <c r="B3" i="21" s="1"/>
  <c r="C48" i="21"/>
  <c r="G52" i="21"/>
  <c r="H52" i="21" s="1"/>
  <c r="G53" i="21"/>
  <c r="H53" i="21" s="1"/>
  <c r="E52" i="21"/>
  <c r="F52" i="21" s="1"/>
  <c r="E53" i="21"/>
  <c r="F53" i="21" s="1"/>
  <c r="AA7" i="33"/>
  <c r="R48" i="33" s="1"/>
  <c r="S7" i="33"/>
  <c r="H46" i="36"/>
  <c r="E54" i="34"/>
  <c r="F54" i="34" s="1"/>
  <c r="E53" i="34"/>
  <c r="F53" i="34" s="1"/>
  <c r="C39" i="35"/>
  <c r="B2" i="35" s="1"/>
  <c r="B3" i="35" s="1"/>
  <c r="C38" i="35"/>
  <c r="W7" i="33"/>
  <c r="AC7" i="33"/>
  <c r="V48" i="33" s="1"/>
  <c r="I48" i="33" s="1"/>
  <c r="I53" i="34"/>
  <c r="J53" i="34" s="1"/>
  <c r="I54" i="34"/>
  <c r="J54" i="34" s="1"/>
  <c r="I52" i="37"/>
  <c r="G53" i="34"/>
  <c r="H53" i="34" s="1"/>
  <c r="G54" i="34"/>
  <c r="H54" i="34" s="1"/>
  <c r="C49" i="34"/>
  <c r="C50" i="34"/>
  <c r="B2" i="34" s="1"/>
  <c r="B3" i="34" s="1"/>
  <c r="E43" i="35"/>
  <c r="F43" i="35" s="1"/>
  <c r="E42" i="35"/>
  <c r="F42" i="35" s="1"/>
  <c r="AB7" i="33"/>
  <c r="T48" i="33" s="1"/>
  <c r="G48" i="33" s="1"/>
  <c r="U7" i="33"/>
  <c r="F65" i="40"/>
  <c r="G63" i="40"/>
  <c r="I53" i="21"/>
  <c r="J53" i="21" s="1"/>
  <c r="I43" i="35"/>
  <c r="J43" i="35" s="1"/>
  <c r="C66" i="15"/>
  <c r="J26" i="15"/>
  <c r="J29" i="15" s="1"/>
  <c r="J24" i="15"/>
  <c r="C66" i="67"/>
  <c r="C60" i="67"/>
  <c r="C38" i="67"/>
  <c r="C34" i="68"/>
  <c r="C14" i="15"/>
  <c r="U38" i="39" l="1"/>
  <c r="AB38" i="39"/>
  <c r="S38" i="39"/>
  <c r="AA38" i="39"/>
  <c r="W38" i="39"/>
  <c r="AC38" i="39"/>
  <c r="C19" i="67"/>
  <c r="C20" i="67" s="1"/>
  <c r="C26" i="67" s="1"/>
  <c r="G39" i="43"/>
  <c r="I39" i="43" s="1"/>
  <c r="G37" i="43"/>
  <c r="I37" i="43" s="1"/>
  <c r="E29" i="43"/>
  <c r="G36" i="43"/>
  <c r="I36" i="43" s="1"/>
  <c r="E33" i="43"/>
  <c r="C26" i="43" s="1"/>
  <c r="B2" i="43" s="1"/>
  <c r="H68" i="39"/>
  <c r="G70" i="39"/>
  <c r="C22" i="11"/>
  <c r="C31" i="11" s="1"/>
  <c r="N16" i="1"/>
  <c r="S24" i="6"/>
  <c r="H24" i="6"/>
  <c r="R24" i="6" s="1"/>
  <c r="C18" i="15"/>
  <c r="C15" i="15"/>
  <c r="C35" i="68"/>
  <c r="C38" i="68"/>
  <c r="T16" i="1"/>
  <c r="D37" i="68"/>
  <c r="C37" i="68" s="1"/>
  <c r="C19" i="68"/>
  <c r="C24" i="68" s="1"/>
  <c r="S19" i="6"/>
  <c r="I27" i="6"/>
  <c r="H19" i="6"/>
  <c r="F34" i="11"/>
  <c r="F11" i="12"/>
  <c r="C18" i="12"/>
  <c r="C8" i="68"/>
  <c r="I5" i="6"/>
  <c r="I6" i="6"/>
  <c r="D37" i="69"/>
  <c r="C37" i="69" s="1"/>
  <c r="C33" i="69" s="1"/>
  <c r="C19" i="69"/>
  <c r="C23" i="69"/>
  <c r="G65" i="40"/>
  <c r="H63" i="40"/>
  <c r="I46" i="36"/>
  <c r="E48" i="33"/>
  <c r="R49" i="33"/>
  <c r="G52" i="33"/>
  <c r="H52" i="33" s="1"/>
  <c r="G53" i="33"/>
  <c r="H53" i="33" s="1"/>
  <c r="J52" i="37"/>
  <c r="I53" i="33"/>
  <c r="J53" i="33" s="1"/>
  <c r="I52" i="33"/>
  <c r="J52" i="33" s="1"/>
  <c r="B6" i="76"/>
  <c r="C23" i="67" l="1"/>
  <c r="C29" i="67" s="1"/>
  <c r="C27" i="43"/>
  <c r="B2" i="76"/>
  <c r="B3" i="43"/>
  <c r="H70" i="39"/>
  <c r="I68" i="39"/>
  <c r="S27" i="6"/>
  <c r="F50" i="11"/>
  <c r="F50" i="69"/>
  <c r="F50" i="68"/>
  <c r="C33" i="68"/>
  <c r="C39" i="68" s="1"/>
  <c r="C43" i="68" s="1"/>
  <c r="C19" i="15"/>
  <c r="C20" i="15" s="1"/>
  <c r="C23" i="15" s="1"/>
  <c r="C36" i="11"/>
  <c r="C34" i="11"/>
  <c r="C37" i="11"/>
  <c r="C23" i="12"/>
  <c r="C14" i="12"/>
  <c r="C16" i="12" s="1"/>
  <c r="C21" i="12" s="1"/>
  <c r="H27" i="6"/>
  <c r="R19" i="6"/>
  <c r="C39" i="69"/>
  <c r="C43" i="69" s="1"/>
  <c r="C42" i="69"/>
  <c r="C20" i="69"/>
  <c r="C24" i="69"/>
  <c r="C48" i="33"/>
  <c r="C49" i="33"/>
  <c r="B2" i="33" s="1"/>
  <c r="B3" i="33" s="1"/>
  <c r="J46" i="36"/>
  <c r="K52" i="37"/>
  <c r="L52" i="37" s="1"/>
  <c r="M52" i="37" s="1"/>
  <c r="N52" i="37" s="1"/>
  <c r="O52" i="37" s="1"/>
  <c r="F7" i="37" s="1"/>
  <c r="H7" i="37"/>
  <c r="E53" i="33"/>
  <c r="F53" i="33" s="1"/>
  <c r="E52" i="33"/>
  <c r="F52" i="33" s="1"/>
  <c r="I63" i="40"/>
  <c r="H65" i="40"/>
  <c r="E6" i="76"/>
  <c r="C33" i="67" l="1"/>
  <c r="C57" i="67"/>
  <c r="C64" i="67" s="1"/>
  <c r="Q49" i="67"/>
  <c r="C36" i="67"/>
  <c r="J14" i="67"/>
  <c r="J22" i="67" s="1"/>
  <c r="J59" i="67"/>
  <c r="J60" i="67" s="1"/>
  <c r="C13" i="67"/>
  <c r="C56" i="67" s="1"/>
  <c r="C65" i="67" s="1"/>
  <c r="J19" i="67"/>
  <c r="E2" i="76"/>
  <c r="B3" i="76" s="1"/>
  <c r="I70" i="39"/>
  <c r="J68" i="39"/>
  <c r="C42" i="68"/>
  <c r="C41" i="68" s="1"/>
  <c r="C46" i="68"/>
  <c r="C45" i="68" s="1"/>
  <c r="C26" i="15"/>
  <c r="C29" i="15" s="1"/>
  <c r="R6" i="1"/>
  <c r="R27" i="6"/>
  <c r="C22" i="12"/>
  <c r="C27" i="12" s="1"/>
  <c r="C25" i="12" s="1"/>
  <c r="C35" i="11"/>
  <c r="C38" i="11"/>
  <c r="C41" i="69"/>
  <c r="C25" i="69"/>
  <c r="C22" i="69" s="1"/>
  <c r="C28" i="69"/>
  <c r="C27" i="69" s="1"/>
  <c r="C46" i="69"/>
  <c r="C45" i="69" s="1"/>
  <c r="U7" i="37"/>
  <c r="AB7" i="37"/>
  <c r="T42" i="37" s="1"/>
  <c r="G42" i="37" s="1"/>
  <c r="J63" i="40"/>
  <c r="I65" i="40"/>
  <c r="AA7" i="37"/>
  <c r="R42" i="37" s="1"/>
  <c r="S7" i="37"/>
  <c r="K46" i="36"/>
  <c r="J7" i="37"/>
  <c r="Q48" i="67"/>
  <c r="C37" i="67"/>
  <c r="M21" i="67"/>
  <c r="M21" i="15"/>
  <c r="F35" i="67"/>
  <c r="F35" i="15"/>
  <c r="C33" i="15" l="1"/>
  <c r="J59" i="15"/>
  <c r="J60" i="15" s="1"/>
  <c r="Q48" i="15" s="1"/>
  <c r="J13" i="67"/>
  <c r="J23" i="67" s="1"/>
  <c r="C75" i="67"/>
  <c r="C61" i="67"/>
  <c r="Q70" i="67"/>
  <c r="C34" i="67"/>
  <c r="C31" i="67" s="1"/>
  <c r="C30" i="67" s="1"/>
  <c r="C39" i="67" s="1"/>
  <c r="F63" i="67"/>
  <c r="C62" i="67" s="1"/>
  <c r="J20" i="67"/>
  <c r="J17" i="67" s="1"/>
  <c r="C33" i="11"/>
  <c r="C39" i="11" s="1"/>
  <c r="K68" i="39"/>
  <c r="J70" i="39"/>
  <c r="C49" i="68"/>
  <c r="C51" i="68" s="1"/>
  <c r="C49" i="69"/>
  <c r="C51" i="69" s="1"/>
  <c r="J20" i="15"/>
  <c r="F63" i="15"/>
  <c r="C62" i="15" s="1"/>
  <c r="C34" i="15"/>
  <c r="C31" i="15" s="1"/>
  <c r="C31" i="69"/>
  <c r="C36" i="15"/>
  <c r="C57" i="15"/>
  <c r="Q49" i="15"/>
  <c r="J14" i="15"/>
  <c r="C13" i="15"/>
  <c r="J19" i="15"/>
  <c r="C30" i="12"/>
  <c r="C28" i="12" s="1"/>
  <c r="C32" i="12" s="1"/>
  <c r="B2" i="12" s="1"/>
  <c r="B3" i="12" s="1"/>
  <c r="R16" i="1"/>
  <c r="G46" i="37"/>
  <c r="H46" i="37" s="1"/>
  <c r="AC7" i="37"/>
  <c r="V42" i="37" s="1"/>
  <c r="I42" i="37" s="1"/>
  <c r="G47" i="37" s="1"/>
  <c r="H47" i="37" s="1"/>
  <c r="W7" i="37"/>
  <c r="L46" i="36"/>
  <c r="M46" i="36" s="1"/>
  <c r="N46" i="36" s="1"/>
  <c r="O46" i="36" s="1"/>
  <c r="H7" i="36" s="1"/>
  <c r="R43" i="37"/>
  <c r="E42" i="37"/>
  <c r="J65" i="40"/>
  <c r="K63" i="40"/>
  <c r="J16" i="67"/>
  <c r="J25" i="67" s="1"/>
  <c r="L51" i="67"/>
  <c r="C59" i="67" l="1"/>
  <c r="C58" i="67" s="1"/>
  <c r="C67" i="67" s="1"/>
  <c r="C68" i="67" s="1"/>
  <c r="C71" i="67" s="1"/>
  <c r="Q67" i="67"/>
  <c r="L57" i="67"/>
  <c r="L60" i="67" s="1"/>
  <c r="C80" i="67"/>
  <c r="C79" i="67" s="1"/>
  <c r="C40" i="67"/>
  <c r="C45" i="67" s="1"/>
  <c r="C46" i="67" s="1"/>
  <c r="Q69" i="67"/>
  <c r="Q68" i="67" s="1"/>
  <c r="C42" i="11"/>
  <c r="L68" i="39"/>
  <c r="K70" i="39"/>
  <c r="C52" i="69"/>
  <c r="B2" i="69" s="1"/>
  <c r="B3" i="69" s="1"/>
  <c r="J17" i="15"/>
  <c r="J13" i="15"/>
  <c r="J23" i="15" s="1"/>
  <c r="J22" i="15"/>
  <c r="C61" i="15"/>
  <c r="C59" i="15" s="1"/>
  <c r="C64" i="15"/>
  <c r="C56" i="15"/>
  <c r="C65" i="15" s="1"/>
  <c r="C37" i="15"/>
  <c r="C30" i="15" s="1"/>
  <c r="C39" i="15" s="1"/>
  <c r="Q70" i="15"/>
  <c r="C75" i="15"/>
  <c r="C46" i="11"/>
  <c r="C45" i="11" s="1"/>
  <c r="C43" i="11"/>
  <c r="C41" i="11" s="1"/>
  <c r="C57" i="69"/>
  <c r="C56" i="69" s="1"/>
  <c r="C43" i="37"/>
  <c r="B2" i="37" s="1"/>
  <c r="B3" i="37" s="1"/>
  <c r="C42" i="37"/>
  <c r="K65" i="40"/>
  <c r="L63" i="40"/>
  <c r="E47" i="37"/>
  <c r="F47" i="37" s="1"/>
  <c r="E46" i="37"/>
  <c r="F46" i="37" s="1"/>
  <c r="F7" i="36"/>
  <c r="J7" i="36"/>
  <c r="AB7" i="36"/>
  <c r="T36" i="36" s="1"/>
  <c r="G36" i="36" s="1"/>
  <c r="U7" i="36"/>
  <c r="I47" i="37"/>
  <c r="J47" i="37" s="1"/>
  <c r="I46" i="37"/>
  <c r="J46" i="37" s="1"/>
  <c r="Q57" i="67"/>
  <c r="Q65" i="67"/>
  <c r="L51" i="15"/>
  <c r="C83" i="67" l="1"/>
  <c r="C82" i="67" s="1"/>
  <c r="C43" i="67"/>
  <c r="Q47" i="67"/>
  <c r="Q53" i="67" s="1"/>
  <c r="Q56" i="67"/>
  <c r="Q66" i="67"/>
  <c r="L46" i="67"/>
  <c r="D2" i="67" s="1"/>
  <c r="B2" i="67" s="1"/>
  <c r="Q75" i="67"/>
  <c r="M68" i="39"/>
  <c r="L70" i="39"/>
  <c r="Q62" i="67"/>
  <c r="J16" i="15"/>
  <c r="J25" i="15" s="1"/>
  <c r="L57" i="15"/>
  <c r="L60" i="15" s="1"/>
  <c r="Q67" i="15"/>
  <c r="Q69" i="15"/>
  <c r="Q68" i="15" s="1"/>
  <c r="C40" i="15"/>
  <c r="C49" i="11"/>
  <c r="C51" i="11" s="1"/>
  <c r="C58" i="15"/>
  <c r="C67" i="15" s="1"/>
  <c r="C68" i="15" s="1"/>
  <c r="C80" i="15"/>
  <c r="C79" i="15" s="1"/>
  <c r="W7" i="36"/>
  <c r="AC7" i="36"/>
  <c r="V36" i="36" s="1"/>
  <c r="I36" i="36" s="1"/>
  <c r="L65" i="40"/>
  <c r="M63" i="40"/>
  <c r="G41" i="36"/>
  <c r="H41" i="36" s="1"/>
  <c r="G40" i="36"/>
  <c r="H40" i="36" s="1"/>
  <c r="AA7" i="36"/>
  <c r="R36" i="36" s="1"/>
  <c r="S7" i="36"/>
  <c r="L46" i="15" l="1"/>
  <c r="B2" i="15" s="1"/>
  <c r="Q66" i="15"/>
  <c r="Q57" i="15"/>
  <c r="B3" i="67"/>
  <c r="M70" i="39"/>
  <c r="N68" i="39"/>
  <c r="C71" i="15"/>
  <c r="C46" i="15"/>
  <c r="Q56" i="15"/>
  <c r="C43" i="15"/>
  <c r="Q65" i="15"/>
  <c r="C83" i="15"/>
  <c r="C82" i="15" s="1"/>
  <c r="Q47" i="15"/>
  <c r="Q53" i="15" s="1"/>
  <c r="C52" i="11"/>
  <c r="B2" i="11" s="1"/>
  <c r="B3" i="11" s="1"/>
  <c r="N63" i="40"/>
  <c r="M65" i="40"/>
  <c r="I40" i="36"/>
  <c r="J40" i="36" s="1"/>
  <c r="E36" i="36"/>
  <c r="I41" i="36" s="1"/>
  <c r="J41" i="36" s="1"/>
  <c r="R37" i="36"/>
  <c r="AO6" i="1"/>
  <c r="D19" i="9"/>
  <c r="Q75" i="15" l="1"/>
  <c r="D102" i="9"/>
  <c r="D21" i="9"/>
  <c r="Q62" i="15"/>
  <c r="N70" i="39"/>
  <c r="O68" i="39"/>
  <c r="O70" i="39" s="1"/>
  <c r="H7" i="39" s="1"/>
  <c r="C56" i="11"/>
  <c r="C57" i="11" s="1"/>
  <c r="B6" i="70"/>
  <c r="B2" i="70" s="1"/>
  <c r="B3" i="70" s="1"/>
  <c r="B3" i="15"/>
  <c r="C37" i="36"/>
  <c r="B2" i="36" s="1"/>
  <c r="B3" i="36" s="1"/>
  <c r="C36" i="36"/>
  <c r="E40" i="36"/>
  <c r="F40" i="36" s="1"/>
  <c r="E41" i="36"/>
  <c r="F41" i="36" s="1"/>
  <c r="O63" i="40"/>
  <c r="O65" i="40" s="1"/>
  <c r="N65" i="40"/>
  <c r="D20" i="9"/>
  <c r="D103" i="9" l="1"/>
  <c r="U7" i="39"/>
  <c r="AB7" i="39"/>
  <c r="T47" i="39" s="1"/>
  <c r="G47" i="39" s="1"/>
  <c r="F7" i="39"/>
  <c r="J7" i="39"/>
  <c r="F7" i="40"/>
  <c r="H7" i="40"/>
  <c r="J7" i="40"/>
  <c r="W7" i="39" l="1"/>
  <c r="AC7" i="39"/>
  <c r="V47" i="39" s="1"/>
  <c r="I47" i="39" s="1"/>
  <c r="G51" i="39"/>
  <c r="H51" i="39" s="1"/>
  <c r="AA7" i="39"/>
  <c r="R47" i="39" s="1"/>
  <c r="S7" i="39"/>
  <c r="AC7" i="40"/>
  <c r="V42" i="40" s="1"/>
  <c r="I42" i="40" s="1"/>
  <c r="W7" i="40"/>
  <c r="AA7" i="40"/>
  <c r="R42" i="40" s="1"/>
  <c r="S7" i="40"/>
  <c r="U7" i="40"/>
  <c r="AB7" i="40"/>
  <c r="T42" i="40" s="1"/>
  <c r="G42" i="40" s="1"/>
  <c r="I51" i="39" l="1"/>
  <c r="J51" i="39" s="1"/>
  <c r="E47" i="39"/>
  <c r="R48" i="39"/>
  <c r="G52" i="39"/>
  <c r="H52" i="39" s="1"/>
  <c r="G47" i="40"/>
  <c r="H47" i="40" s="1"/>
  <c r="G46" i="40"/>
  <c r="H46" i="40" s="1"/>
  <c r="R43" i="40"/>
  <c r="E42" i="40"/>
  <c r="I47" i="40" s="1"/>
  <c r="J47" i="40" s="1"/>
  <c r="I46" i="40"/>
  <c r="J46" i="40" s="1"/>
  <c r="C47" i="39" l="1"/>
  <c r="C48" i="39"/>
  <c r="E52" i="39"/>
  <c r="F52" i="39" s="1"/>
  <c r="E51" i="39"/>
  <c r="F51" i="39" s="1"/>
  <c r="I52" i="39"/>
  <c r="J52" i="39" s="1"/>
  <c r="E46" i="40"/>
  <c r="F46" i="40" s="1"/>
  <c r="E47" i="40"/>
  <c r="F47" i="40" s="1"/>
  <c r="C43" i="40"/>
  <c r="C42" i="40"/>
  <c r="B58" i="39" l="1"/>
  <c r="F58" i="39" s="1"/>
  <c r="B65" i="39"/>
  <c r="F65" i="39" s="1"/>
  <c r="B56" i="39"/>
  <c r="F56" i="39" s="1"/>
  <c r="B61" i="39"/>
  <c r="F61" i="39" s="1"/>
  <c r="B64" i="39"/>
  <c r="F64" i="39" s="1"/>
  <c r="B59" i="39"/>
  <c r="F59" i="39" s="1"/>
  <c r="B60" i="39"/>
  <c r="F60" i="39" s="1"/>
  <c r="B62" i="39"/>
  <c r="F62" i="39" s="1"/>
  <c r="B57" i="39"/>
  <c r="F57" i="39" s="1"/>
  <c r="B63" i="39"/>
  <c r="F63" i="39" s="1"/>
  <c r="B56" i="40"/>
  <c r="F56" i="40" s="1"/>
  <c r="B60" i="40"/>
  <c r="F60" i="40" s="1"/>
  <c r="B57" i="40"/>
  <c r="F57" i="40" s="1"/>
  <c r="B51" i="40"/>
  <c r="F51" i="40" s="1"/>
  <c r="F61" i="40"/>
  <c r="B2" i="40" s="1"/>
  <c r="B3" i="40" s="1"/>
  <c r="B58" i="40"/>
  <c r="F58" i="40" s="1"/>
  <c r="B53" i="40"/>
  <c r="F53" i="40" s="1"/>
  <c r="B52" i="40"/>
  <c r="F52" i="40" s="1"/>
  <c r="B55" i="40"/>
  <c r="F55" i="40" s="1"/>
  <c r="B54" i="40"/>
  <c r="F54" i="40" s="1"/>
  <c r="B59" i="40"/>
  <c r="F59" i="40" s="1"/>
  <c r="F66" i="39" l="1"/>
  <c r="B2" i="39" s="1"/>
  <c r="C7" i="68" l="1"/>
  <c r="C5" i="68" s="1"/>
  <c r="B3" i="39"/>
  <c r="C20" i="68" l="1"/>
  <c r="C25" i="68" s="1"/>
  <c r="C23" i="68"/>
  <c r="C28" i="68" l="1"/>
  <c r="C27" i="68" s="1"/>
  <c r="C22" i="68"/>
  <c r="B6" i="74"/>
  <c r="C6" i="74" s="1"/>
  <c r="C31" i="68" l="1"/>
  <c r="C52" i="68" s="1"/>
  <c r="C57" i="68" s="1"/>
  <c r="C56" i="68" s="1"/>
  <c r="D6" i="74"/>
  <c r="B2" i="68" l="1"/>
  <c r="C19" i="9"/>
  <c r="B3" i="68"/>
  <c r="G19" i="9" l="1"/>
  <c r="C102" i="9"/>
  <c r="C21" i="9"/>
  <c r="D22" i="9"/>
  <c r="C20" i="9"/>
  <c r="G21" i="9" l="1"/>
  <c r="D14" i="74"/>
  <c r="C103" i="9"/>
  <c r="G20" i="9"/>
  <c r="C32" i="9" s="1"/>
  <c r="C35" i="9" s="1"/>
  <c r="C34" i="9" s="1"/>
  <c r="B5" i="74" l="1"/>
  <c r="C5" i="74" s="1"/>
  <c r="E14" i="74"/>
  <c r="D5" i="74"/>
  <c r="D53" i="9"/>
  <c r="D52" i="9"/>
  <c r="I4" i="52"/>
  <c r="C105" i="9"/>
  <c r="C104" i="9"/>
  <c r="H4" i="52"/>
  <c r="P57" i="9"/>
  <c r="N58" i="9"/>
  <c r="N60" i="9"/>
  <c r="N61" i="9"/>
  <c r="B47" i="72"/>
  <c r="H119" i="9"/>
  <c r="H5" i="52"/>
  <c r="N59" i="9"/>
  <c r="M54" i="9"/>
  <c r="B31" i="72"/>
  <c r="B20" i="72"/>
  <c r="D54" i="9"/>
  <c r="D9" i="52"/>
  <c r="C93" i="9"/>
  <c r="C86" i="9"/>
  <c r="D4" i="52"/>
  <c r="C81" i="9"/>
  <c r="M48" i="9"/>
  <c r="N69" i="9"/>
  <c r="B51" i="72"/>
  <c r="E97" i="9"/>
  <c r="C68" i="9"/>
  <c r="L65" i="9"/>
  <c r="M65" i="9"/>
  <c r="B30" i="72"/>
  <c r="L68" i="9"/>
  <c r="M68" i="9"/>
  <c r="E96" i="9"/>
  <c r="H108" i="9"/>
  <c r="D15" i="53"/>
  <c r="H102" i="9"/>
  <c r="D7" i="53"/>
  <c r="B21" i="72"/>
  <c r="C96" i="9"/>
  <c r="L67" i="9"/>
  <c r="M67" i="9"/>
  <c r="F4" i="52"/>
  <c r="G4" i="52"/>
  <c r="B52" i="72"/>
  <c r="G118" i="9"/>
  <c r="F118" i="9"/>
  <c r="F119" i="9"/>
  <c r="F5" i="52"/>
  <c r="B53" i="72"/>
  <c r="E81" i="9"/>
  <c r="C85" i="9"/>
  <c r="C95" i="9"/>
  <c r="C97" i="9"/>
  <c r="D58" i="9"/>
  <c r="D56" i="9"/>
  <c r="D13" i="53"/>
  <c r="D14" i="53"/>
  <c r="B32" i="72"/>
  <c r="L64" i="9"/>
  <c r="M64" i="9"/>
  <c r="C64" i="9"/>
  <c r="C63" i="9"/>
  <c r="C67" i="9"/>
  <c r="D59" i="9"/>
  <c r="M55" i="9"/>
  <c r="L66" i="9"/>
  <c r="M66" i="9"/>
  <c r="B49" i="72"/>
  <c r="C72" i="9"/>
  <c r="C79" i="9"/>
  <c r="C80" i="9"/>
  <c r="E80" i="9"/>
  <c r="D118" i="9"/>
  <c r="D119" i="9"/>
  <c r="D5" i="52"/>
  <c r="M49" i="9"/>
  <c r="L63" i="9"/>
  <c r="M63" i="9"/>
  <c r="M69" i="9"/>
  <c r="D55" i="9"/>
  <c r="M53" i="9"/>
  <c r="N57" i="9"/>
  <c r="D45" i="9"/>
  <c r="C78" i="9"/>
  <c r="C73" i="9"/>
  <c r="D8" i="52"/>
  <c r="H107" i="9"/>
  <c r="D122" i="9"/>
  <c r="D123" i="9"/>
  <c r="E118" i="9"/>
  <c r="E4" i="52"/>
  <c r="B48" i="72"/>
  <c r="I118" i="9"/>
  <c r="H118" i="9"/>
  <c r="H101" i="9"/>
  <c r="D5" i="53"/>
  <c r="D6" i="53"/>
  <c r="B22" i="72"/>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s>
  <commentList>
    <comment ref="G9"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comments11.xml><?xml version="1.0" encoding="utf-8"?>
<comments xmlns="http://schemas.openxmlformats.org/spreadsheetml/2006/main">
  <authors>
    <author>崔锴</author>
  </authors>
  <commentList>
    <comment ref="G18"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comments12.xml><?xml version="1.0" encoding="utf-8"?>
<comments xmlns="http://schemas.openxmlformats.org/spreadsheetml/2006/main">
  <authors>
    <author>崔锴</author>
    <author>USER</author>
  </authors>
  <commentList>
    <comment ref="I52" authorId="0">
      <text>
        <r>
          <rPr>
            <sz val="11"/>
            <color indexed="81"/>
            <rFont val="宋体"/>
            <family val="3"/>
            <charset val="134"/>
          </rPr>
          <t>依据一般经验，应比建筑物资本化率高0.5%</t>
        </r>
        <r>
          <rPr>
            <sz val="9"/>
            <color indexed="81"/>
            <rFont val="宋体"/>
            <family val="3"/>
            <charset val="134"/>
          </rPr>
          <t xml:space="preserve">
</t>
        </r>
      </text>
    </comment>
    <comment ref="L52" authorId="0">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0">
      <text>
        <r>
          <rPr>
            <sz val="11"/>
            <color indexed="81"/>
            <rFont val="宋体"/>
            <family val="3"/>
            <charset val="134"/>
          </rPr>
          <t>采用租约时，尽量不选用收益还原法</t>
        </r>
        <r>
          <rPr>
            <sz val="9"/>
            <color indexed="81"/>
            <rFont val="宋体"/>
            <family val="3"/>
            <charset val="134"/>
          </rPr>
          <t xml:space="preserve">
</t>
        </r>
      </text>
    </comment>
    <comment ref="I56" authorId="0">
      <text>
        <r>
          <rPr>
            <sz val="11"/>
            <color indexed="81"/>
            <rFont val="宋体"/>
            <family val="3"/>
            <charset val="134"/>
          </rPr>
          <t>在建项目均选择“是”</t>
        </r>
      </text>
    </comment>
    <comment ref="F59" authorId="1">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0">
      <text>
        <r>
          <rPr>
            <sz val="10"/>
            <color indexed="81"/>
            <rFont val="宋体"/>
            <family val="3"/>
            <charset val="134"/>
          </rPr>
          <t xml:space="preserve">在建
</t>
        </r>
      </text>
    </comment>
    <comment ref="N59" authorId="0">
      <text>
        <r>
          <rPr>
            <sz val="10"/>
            <color indexed="81"/>
            <rFont val="宋体"/>
            <family val="3"/>
            <charset val="134"/>
          </rPr>
          <t xml:space="preserve">土地
</t>
        </r>
      </text>
    </comment>
  </commentList>
</comments>
</file>

<file path=xl/comments13.xml><?xml version="1.0" encoding="utf-8"?>
<comments xmlns="http://schemas.openxmlformats.org/spreadsheetml/2006/main">
  <authors>
    <author>崔锴</author>
  </authors>
  <commentList>
    <comment ref="I52" authorId="0">
      <text>
        <r>
          <rPr>
            <sz val="11"/>
            <color indexed="81"/>
            <rFont val="宋体"/>
            <family val="3"/>
            <charset val="134"/>
          </rPr>
          <t>依据一般经验，应比建筑物资本化率高0.5%</t>
        </r>
        <r>
          <rPr>
            <sz val="9"/>
            <color indexed="81"/>
            <rFont val="宋体"/>
            <family val="3"/>
            <charset val="134"/>
          </rPr>
          <t xml:space="preserve">
</t>
        </r>
      </text>
    </comment>
    <comment ref="L52" authorId="0">
      <text>
        <r>
          <rPr>
            <sz val="10"/>
            <color indexed="81"/>
            <rFont val="宋体"/>
            <family val="3"/>
            <charset val="134"/>
          </rPr>
          <t xml:space="preserve">需注意，采用基准地价系数修正法中土地结果计算时，土地报酬率应采用该方法中报酬率（还原率）。
</t>
        </r>
      </text>
    </comment>
    <comment ref="L55" authorId="0">
      <text>
        <r>
          <rPr>
            <sz val="11"/>
            <color indexed="81"/>
            <rFont val="宋体"/>
            <family val="3"/>
            <charset val="134"/>
          </rPr>
          <t>采用租约时，尽量不选用收益还原法</t>
        </r>
        <r>
          <rPr>
            <sz val="9"/>
            <color indexed="81"/>
            <rFont val="宋体"/>
            <family val="3"/>
            <charset val="134"/>
          </rPr>
          <t xml:space="preserve">
</t>
        </r>
      </text>
    </comment>
    <comment ref="I56" authorId="0">
      <text>
        <r>
          <rPr>
            <sz val="11"/>
            <color indexed="81"/>
            <rFont val="宋体"/>
            <family val="3"/>
            <charset val="134"/>
          </rPr>
          <t xml:space="preserve">在建项目均选择“是”
</t>
        </r>
      </text>
    </comment>
  </commentList>
</comments>
</file>

<file path=xl/comments14.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7.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8.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9.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2.xml><?xml version="1.0" encoding="utf-8"?>
<comments xmlns="http://schemas.openxmlformats.org/spreadsheetml/2006/main">
  <authors>
    <author>崔锴</author>
    <author>USER</author>
  </authors>
  <commentList>
    <comment ref="F4" authorId="0">
      <text>
        <r>
          <rPr>
            <sz val="12"/>
            <color indexed="81"/>
            <rFont val="仿宋_GB2312"/>
            <family val="3"/>
            <charset val="134"/>
          </rPr>
          <t>没有时，请选择"——"</t>
        </r>
        <r>
          <rPr>
            <sz val="9"/>
            <color indexed="81"/>
            <rFont val="宋体"/>
            <family val="3"/>
            <charset val="134"/>
          </rPr>
          <t xml:space="preserve">
</t>
        </r>
      </text>
    </comment>
    <comment ref="H4" authorId="0">
      <text>
        <r>
          <rPr>
            <sz val="12"/>
            <color indexed="81"/>
            <rFont val="仿宋_GB2312"/>
            <family val="3"/>
            <charset val="134"/>
          </rPr>
          <t>没有时，请选择"——"</t>
        </r>
        <r>
          <rPr>
            <sz val="9"/>
            <color indexed="81"/>
            <rFont val="宋体"/>
            <family val="3"/>
            <charset val="134"/>
          </rPr>
          <t xml:space="preserve">
</t>
        </r>
      </text>
    </comment>
    <comment ref="B10" authorId="1">
      <text>
        <r>
          <rPr>
            <sz val="12"/>
            <color indexed="81"/>
            <rFont val="宋体"/>
            <family val="3"/>
            <charset val="134"/>
            <scheme val="minor"/>
          </rPr>
          <t>其它城市请在右侧录入</t>
        </r>
        <r>
          <rPr>
            <sz val="14"/>
            <color indexed="81"/>
            <rFont val="楷体_GB2312"/>
            <family val="3"/>
            <charset val="134"/>
          </rPr>
          <t xml:space="preserve">
</t>
        </r>
      </text>
    </comment>
    <comment ref="E10" authorId="0">
      <text>
        <r>
          <rPr>
            <sz val="12"/>
            <color indexed="81"/>
            <rFont val="楷体_GB2312"/>
            <family val="3"/>
            <charset val="134"/>
          </rPr>
          <t>如果有推广名请自行加入</t>
        </r>
        <r>
          <rPr>
            <sz val="9"/>
            <color indexed="81"/>
            <rFont val="宋体"/>
            <family val="3"/>
            <charset val="134"/>
          </rPr>
          <t xml:space="preserve">
</t>
        </r>
      </text>
    </comment>
    <comment ref="B11" authorId="0">
      <text>
        <r>
          <rPr>
            <sz val="12"/>
            <color indexed="81"/>
            <rFont val="宋体"/>
            <family val="3"/>
            <charset val="134"/>
          </rPr>
          <t xml:space="preserve">名称在右侧单元格录入
</t>
        </r>
      </text>
    </comment>
    <comment ref="B16" authorId="0">
      <text>
        <r>
          <rPr>
            <sz val="12"/>
            <color indexed="81"/>
            <rFont val="宋体"/>
            <family val="3"/>
            <charset val="134"/>
          </rPr>
          <t>如：住宅、办公、地下车库</t>
        </r>
        <r>
          <rPr>
            <sz val="9"/>
            <color indexed="81"/>
            <rFont val="宋体"/>
            <family val="3"/>
            <charset val="134"/>
          </rPr>
          <t xml:space="preserve">
</t>
        </r>
      </text>
    </comment>
    <comment ref="F16" authorId="0">
      <text>
        <r>
          <rPr>
            <sz val="12"/>
            <color indexed="81"/>
            <rFont val="宋体"/>
            <family val="3"/>
            <charset val="134"/>
          </rPr>
          <t>如：住宅67.6年、办公及车库37.6年</t>
        </r>
        <r>
          <rPr>
            <sz val="9"/>
            <color indexed="81"/>
            <rFont val="宋体"/>
            <family val="3"/>
            <charset val="134"/>
          </rPr>
          <t xml:space="preserve">
</t>
        </r>
      </text>
    </comment>
    <comment ref="E18" authorId="0">
      <text>
        <r>
          <rPr>
            <sz val="12"/>
            <color indexed="81"/>
            <rFont val="宋体"/>
            <family val="3"/>
            <charset val="134"/>
          </rPr>
          <t xml:space="preserve">有相同面积依据时，仅在土地面积依据处录入。
</t>
        </r>
      </text>
    </comment>
    <comment ref="C28" authorId="1">
      <text>
        <r>
          <rPr>
            <sz val="11"/>
            <color indexed="81"/>
            <rFont val="楷体_GB2312"/>
            <family val="3"/>
            <charset val="134"/>
          </rPr>
          <t>其他特殊项请在右侧录入</t>
        </r>
      </text>
    </comment>
    <comment ref="C30" authorId="1">
      <text>
        <r>
          <rPr>
            <sz val="11"/>
            <color indexed="81"/>
            <rFont val="宋体"/>
            <family val="3"/>
            <charset val="134"/>
          </rPr>
          <t>廉租房、公租房、限价房、自住房</t>
        </r>
        <r>
          <rPr>
            <sz val="9"/>
            <color indexed="81"/>
            <rFont val="宋体"/>
            <family val="3"/>
            <charset val="134"/>
          </rPr>
          <t xml:space="preserve">
</t>
        </r>
      </text>
    </comment>
    <comment ref="E31" authorId="1">
      <text>
        <r>
          <rPr>
            <sz val="11"/>
            <color indexed="81"/>
            <rFont val="宋体"/>
            <family val="3"/>
            <charset val="134"/>
          </rPr>
          <t xml:space="preserve">工程停工、土地闲置、年久失修等
</t>
        </r>
      </text>
    </comment>
    <comment ref="E32" authorId="1">
      <text>
        <r>
          <rPr>
            <sz val="11"/>
            <color indexed="81"/>
            <rFont val="宋体"/>
            <family val="3"/>
            <charset val="134"/>
          </rPr>
          <t xml:space="preserve">工程停工、土地闲置、年久失修等
</t>
        </r>
      </text>
    </comment>
    <comment ref="E33" authorId="1">
      <text>
        <r>
          <rPr>
            <sz val="11"/>
            <color indexed="81"/>
            <rFont val="宋体"/>
            <family val="3"/>
            <charset val="134"/>
          </rPr>
          <t xml:space="preserve">工程停工、土地闲置、年久失修等
</t>
        </r>
      </text>
    </comment>
    <comment ref="K42" authorId="1">
      <text>
        <r>
          <rPr>
            <sz val="11"/>
            <color indexed="81"/>
            <rFont val="楷体_GB2312"/>
            <family val="3"/>
            <charset val="134"/>
          </rPr>
          <t>现房/在建（简单填写进度）/未建</t>
        </r>
        <r>
          <rPr>
            <sz val="9"/>
            <color indexed="81"/>
            <rFont val="宋体"/>
            <family val="3"/>
            <charset val="134"/>
          </rPr>
          <t xml:space="preserve">
</t>
        </r>
      </text>
    </comment>
    <comment ref="K43" authorId="1">
      <text>
        <r>
          <rPr>
            <sz val="11"/>
            <color indexed="81"/>
            <rFont val="楷体_GB2312"/>
            <family val="3"/>
            <charset val="134"/>
          </rPr>
          <t>现房/在建（简单填写进度）/未建</t>
        </r>
        <r>
          <rPr>
            <sz val="9"/>
            <color indexed="81"/>
            <rFont val="宋体"/>
            <family val="3"/>
            <charset val="134"/>
          </rPr>
          <t xml:space="preserve">
</t>
        </r>
      </text>
    </comment>
    <comment ref="K44" authorId="1">
      <text>
        <r>
          <rPr>
            <sz val="11"/>
            <color indexed="81"/>
            <rFont val="楷体_GB2312"/>
            <family val="3"/>
            <charset val="134"/>
          </rPr>
          <t>现房/在建（简单填写进度）/未建</t>
        </r>
        <r>
          <rPr>
            <sz val="9"/>
            <color indexed="81"/>
            <rFont val="宋体"/>
            <family val="3"/>
            <charset val="134"/>
          </rPr>
          <t xml:space="preserve">
</t>
        </r>
      </text>
    </comment>
    <comment ref="K45" authorId="1">
      <text>
        <r>
          <rPr>
            <sz val="11"/>
            <color indexed="81"/>
            <rFont val="楷体_GB2312"/>
            <family val="3"/>
            <charset val="134"/>
          </rPr>
          <t>现房/在建（简单填写进度）/未建</t>
        </r>
        <r>
          <rPr>
            <sz val="9"/>
            <color indexed="81"/>
            <rFont val="宋体"/>
            <family val="3"/>
            <charset val="134"/>
          </rPr>
          <t xml:space="preserve">
</t>
        </r>
      </text>
    </comment>
    <comment ref="K46" authorId="1">
      <text>
        <r>
          <rPr>
            <sz val="11"/>
            <color indexed="81"/>
            <rFont val="楷体_GB2312"/>
            <family val="3"/>
            <charset val="134"/>
          </rPr>
          <t>现房/在建（简单填写进度）/未建</t>
        </r>
        <r>
          <rPr>
            <sz val="9"/>
            <color indexed="81"/>
            <rFont val="宋体"/>
            <family val="3"/>
            <charset val="134"/>
          </rPr>
          <t xml:space="preserve">
</t>
        </r>
      </text>
    </comment>
    <comment ref="K47" authorId="1">
      <text>
        <r>
          <rPr>
            <sz val="11"/>
            <color indexed="81"/>
            <rFont val="楷体_GB2312"/>
            <family val="3"/>
            <charset val="134"/>
          </rPr>
          <t>现房/在建（简单填写进度）/未建</t>
        </r>
        <r>
          <rPr>
            <sz val="9"/>
            <color indexed="81"/>
            <rFont val="宋体"/>
            <family val="3"/>
            <charset val="134"/>
          </rPr>
          <t xml:space="preserve">
</t>
        </r>
      </text>
    </comment>
    <comment ref="K52" authorId="1">
      <text>
        <r>
          <rPr>
            <sz val="11"/>
            <color indexed="81"/>
            <rFont val="楷体_GB2312"/>
            <family val="3"/>
            <charset val="134"/>
          </rPr>
          <t>现房/在建（简单填写进度）/未建</t>
        </r>
        <r>
          <rPr>
            <sz val="9"/>
            <color indexed="81"/>
            <rFont val="宋体"/>
            <family val="3"/>
            <charset val="134"/>
          </rPr>
          <t xml:space="preserve">
</t>
        </r>
      </text>
    </comment>
    <comment ref="K53" authorId="1">
      <text>
        <r>
          <rPr>
            <sz val="11"/>
            <color indexed="81"/>
            <rFont val="楷体_GB2312"/>
            <family val="3"/>
            <charset val="134"/>
          </rPr>
          <t>现房/在建（简单填写进度）/未建</t>
        </r>
        <r>
          <rPr>
            <sz val="9"/>
            <color indexed="81"/>
            <rFont val="宋体"/>
            <family val="3"/>
            <charset val="134"/>
          </rPr>
          <t xml:space="preserve">
</t>
        </r>
      </text>
    </comment>
    <comment ref="K54" authorId="1">
      <text>
        <r>
          <rPr>
            <sz val="11"/>
            <color indexed="81"/>
            <rFont val="楷体_GB2312"/>
            <family val="3"/>
            <charset val="134"/>
          </rPr>
          <t>现房/在建（简单填写进度）/未建</t>
        </r>
        <r>
          <rPr>
            <sz val="9"/>
            <color indexed="81"/>
            <rFont val="宋体"/>
            <family val="3"/>
            <charset val="134"/>
          </rPr>
          <t xml:space="preserve">
</t>
        </r>
      </text>
    </comment>
    <comment ref="K55" authorId="1">
      <text>
        <r>
          <rPr>
            <sz val="11"/>
            <color indexed="81"/>
            <rFont val="楷体_GB2312"/>
            <family val="3"/>
            <charset val="134"/>
          </rPr>
          <t>现房/在建（简单填写进度）/未建</t>
        </r>
        <r>
          <rPr>
            <sz val="9"/>
            <color indexed="81"/>
            <rFont val="宋体"/>
            <family val="3"/>
            <charset val="134"/>
          </rPr>
          <t xml:space="preserve">
</t>
        </r>
      </text>
    </comment>
    <comment ref="K56" authorId="1">
      <text>
        <r>
          <rPr>
            <sz val="11"/>
            <color indexed="81"/>
            <rFont val="楷体_GB2312"/>
            <family val="3"/>
            <charset val="134"/>
          </rPr>
          <t>现房/在建（简单填写进度）/未建</t>
        </r>
        <r>
          <rPr>
            <sz val="9"/>
            <color indexed="81"/>
            <rFont val="宋体"/>
            <family val="3"/>
            <charset val="134"/>
          </rPr>
          <t xml:space="preserve">
</t>
        </r>
      </text>
    </comment>
  </commentList>
</comments>
</file>

<file path=xl/comments20.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5" authorId="1">
      <text>
        <r>
          <rPr>
            <b/>
            <sz val="12"/>
            <color indexed="81"/>
            <rFont val="宋体"/>
            <family val="3"/>
            <charset val="134"/>
          </rPr>
          <t>价值时点所在季度</t>
        </r>
        <r>
          <rPr>
            <sz val="12"/>
            <color indexed="81"/>
            <rFont val="宋体"/>
            <family val="3"/>
            <charset val="134"/>
          </rPr>
          <t xml:space="preserve">
</t>
        </r>
      </text>
    </comment>
    <comment ref="B66" authorId="0">
      <text>
        <r>
          <rPr>
            <sz val="11"/>
            <color indexed="81"/>
            <rFont val="宋体"/>
            <family val="3"/>
            <charset val="134"/>
          </rPr>
          <t>北京市公示数据计算的平均涨幅</t>
        </r>
        <r>
          <rPr>
            <sz val="9"/>
            <color indexed="81"/>
            <rFont val="宋体"/>
            <family val="3"/>
            <charset val="134"/>
          </rPr>
          <t xml:space="preserve">
</t>
        </r>
      </text>
    </comment>
  </commentList>
</comments>
</file>

<file path=xl/comments21.xml><?xml version="1.0" encoding="utf-8"?>
<comments xmlns="http://schemas.openxmlformats.org/spreadsheetml/2006/main">
  <authors>
    <author>USER</author>
  </authors>
  <commentList>
    <comment ref="B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color indexed="81"/>
            <rFont val="宋体"/>
            <family val="3"/>
            <charset val="134"/>
          </rPr>
          <t>测绘结果与计算结果不一致时，需录入</t>
        </r>
        <r>
          <rPr>
            <b/>
            <sz val="11"/>
            <color indexed="81"/>
            <rFont val="宋体"/>
            <family val="3"/>
            <charset val="134"/>
          </rPr>
          <t xml:space="preserve">
</t>
        </r>
        <r>
          <rPr>
            <sz val="11"/>
            <color indexed="81"/>
            <rFont val="宋体"/>
            <family val="3"/>
            <charset val="134"/>
          </rPr>
          <t xml:space="preserve">
</t>
        </r>
      </text>
    </comment>
    <comment ref="A3" authorId="1">
      <text>
        <r>
          <rPr>
            <sz val="10"/>
            <color indexed="81"/>
            <rFont val="宋体"/>
            <family val="3"/>
            <charset val="134"/>
          </rPr>
          <t>依《国土证》或《不动产证》录入</t>
        </r>
        <r>
          <rPr>
            <sz val="9"/>
            <color indexed="81"/>
            <rFont val="宋体"/>
            <family val="3"/>
            <charset val="134"/>
          </rPr>
          <t xml:space="preserve">
</t>
        </r>
      </text>
    </comment>
    <comment ref="AC8" authorId="0">
      <text>
        <r>
          <rPr>
            <sz val="10"/>
            <color indexed="81"/>
            <rFont val="宋体"/>
            <family val="3"/>
            <charset val="134"/>
          </rPr>
          <t>如为现房，请将非经营性用途面积分摊至经营性用途中，此处不再单独录入</t>
        </r>
        <r>
          <rPr>
            <sz val="9"/>
            <color indexed="81"/>
            <rFont val="宋体"/>
            <family val="3"/>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color indexed="81"/>
            <rFont val="宋体"/>
            <family val="3"/>
            <charset val="134"/>
          </rPr>
          <t>除经营性用途以外的地上计出让金部分，请按实际情况录入并作备注</t>
        </r>
        <r>
          <rPr>
            <sz val="9"/>
            <color indexed="81"/>
            <rFont val="宋体"/>
            <family val="3"/>
            <charset val="134"/>
          </rPr>
          <t xml:space="preserve">
</t>
        </r>
      </text>
    </comment>
    <comment ref="C17" authorId="0">
      <text>
        <r>
          <rPr>
            <sz val="11"/>
            <color indexed="81"/>
            <rFont val="宋体"/>
            <family val="3"/>
            <charset val="134"/>
          </rPr>
          <t>项不固定，随情况自定，但需包含有主用途，如：
住宅-公寓商业-独栋</t>
        </r>
        <r>
          <rPr>
            <sz val="9"/>
            <color indexed="81"/>
            <rFont val="宋体"/>
            <family val="3"/>
            <charset val="134"/>
          </rPr>
          <t xml:space="preserve">
</t>
        </r>
      </text>
    </comment>
  </commentList>
</comments>
</file>

<file path=xl/comments5.xml><?xml version="1.0" encoding="utf-8"?>
<comments xmlns="http://schemas.openxmlformats.org/spreadsheetml/2006/main">
  <authors>
    <author>崔锴</author>
    <author>moqikay</author>
  </authors>
  <commentList>
    <comment ref="U5" authorId="0">
      <text>
        <r>
          <rPr>
            <sz val="12"/>
            <color indexed="81"/>
            <rFont val="宋体"/>
            <family val="3"/>
            <charset val="134"/>
          </rPr>
          <t xml:space="preserve">按套计取，在AF列录入套数；
按每车位计取，在AF列录入车位数；
按收益面积计取，在AF列录入收益面积
</t>
        </r>
      </text>
    </comment>
    <comment ref="W5" authorId="0">
      <text>
        <r>
          <rPr>
            <sz val="10"/>
            <color indexed="81"/>
            <rFont val="宋体"/>
            <family val="3"/>
            <charset val="134"/>
          </rPr>
          <t>5%-10%：基本呈满租状态；
15%左右：正常市场空置状态
20%：市场环境较差，项目现状及周边有空置
另，需注意租金水平与空置率的均衡关系</t>
        </r>
        <r>
          <rPr>
            <b/>
            <sz val="9"/>
            <color indexed="81"/>
            <rFont val="宋体"/>
            <family val="3"/>
            <charset val="134"/>
          </rPr>
          <t xml:space="preserve">
</t>
        </r>
      </text>
    </comment>
    <comment ref="AB5" authorId="0">
      <text>
        <r>
          <rPr>
            <sz val="11"/>
            <color indexed="81"/>
            <rFont val="宋体"/>
            <family val="3"/>
            <charset val="134"/>
          </rPr>
          <t>5%-10%：基本呈满租状态；
15%左右：正常市场空置状态；
20%：市场环境较差，项目现状及周边有空置。
另，需注意租金水平与空置率的均衡关系。</t>
        </r>
        <r>
          <rPr>
            <b/>
            <sz val="11"/>
            <color indexed="81"/>
            <rFont val="宋体"/>
            <family val="3"/>
            <charset val="134"/>
          </rPr>
          <t xml:space="preserve">
</t>
        </r>
      </text>
    </comment>
    <comment ref="AK5" authorId="0">
      <text>
        <r>
          <rPr>
            <sz val="10"/>
            <color indexed="81"/>
            <rFont val="宋体"/>
            <family val="3"/>
            <charset val="134"/>
          </rPr>
          <t>取值范围：
1.5%-2.5%</t>
        </r>
        <r>
          <rPr>
            <sz val="9"/>
            <color indexed="81"/>
            <rFont val="宋体"/>
            <family val="3"/>
            <charset val="134"/>
          </rPr>
          <t xml:space="preserve">
</t>
        </r>
      </text>
    </comment>
    <comment ref="AL5" authorId="0">
      <text>
        <r>
          <rPr>
            <sz val="10"/>
            <color indexed="81"/>
            <rFont val="宋体"/>
            <family val="3"/>
            <charset val="134"/>
          </rPr>
          <t>取值范围：
0.15%-0.3%</t>
        </r>
        <r>
          <rPr>
            <b/>
            <sz val="9"/>
            <color indexed="81"/>
            <rFont val="宋体"/>
            <family val="3"/>
            <charset val="134"/>
          </rPr>
          <t xml:space="preserve">
</t>
        </r>
        <r>
          <rPr>
            <sz val="9"/>
            <color indexed="81"/>
            <rFont val="宋体"/>
            <family val="3"/>
            <charset val="134"/>
          </rPr>
          <t xml:space="preserve">
</t>
        </r>
      </text>
    </comment>
    <comment ref="AM5" authorId="0">
      <text>
        <r>
          <rPr>
            <sz val="10"/>
            <color indexed="81"/>
            <rFont val="宋体"/>
            <family val="3"/>
            <charset val="134"/>
          </rPr>
          <t>取值范围：
1%-3%</t>
        </r>
        <r>
          <rPr>
            <sz val="9"/>
            <color indexed="81"/>
            <rFont val="宋体"/>
            <family val="3"/>
            <charset val="134"/>
          </rPr>
          <t xml:space="preserve">
</t>
        </r>
      </text>
    </comment>
    <comment ref="B44" authorId="1">
      <text>
        <r>
          <rPr>
            <b/>
            <sz val="8"/>
            <color indexed="81"/>
            <rFont val="宋体"/>
            <family val="3"/>
            <charset val="134"/>
          </rPr>
          <t>moqikay:
东城区、西城区、北京经济技术开发区范围内，以及在朝阳、海淀、丰台、石景山、门头沟、燕山六个区所属的街道办事处管辖范围内的，税率为7%</t>
        </r>
      </text>
    </comment>
  </commentList>
</comments>
</file>

<file path=xl/comments6.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color indexed="81"/>
            <rFont val="楷体_GB2312"/>
            <family val="3"/>
            <charset val="134"/>
          </rPr>
          <t>不分项目类型时为空即可</t>
        </r>
        <r>
          <rPr>
            <sz val="9"/>
            <color indexed="81"/>
            <rFont val="宋体"/>
            <family val="3"/>
            <charset val="134"/>
          </rPr>
          <t xml:space="preserve">
</t>
        </r>
      </text>
    </comment>
    <comment ref="L18" authorId="0">
      <text>
        <r>
          <rPr>
            <sz val="12"/>
            <color indexed="81"/>
            <rFont val="宋体"/>
            <family val="3"/>
            <charset val="134"/>
          </rPr>
          <t>C1单元格选空即为估价对象全部</t>
        </r>
        <r>
          <rPr>
            <sz val="9"/>
            <color indexed="81"/>
            <rFont val="宋体"/>
            <family val="3"/>
            <charset val="134"/>
          </rPr>
          <t xml:space="preserve">
</t>
        </r>
      </text>
    </comment>
    <comment ref="A24" authorId="1">
      <text>
        <r>
          <rPr>
            <sz val="11"/>
            <color indexed="81"/>
            <rFont val="宋体"/>
            <family val="3"/>
            <charset val="134"/>
          </rPr>
          <t>需在下方列示计算过程</t>
        </r>
        <r>
          <rPr>
            <sz val="9"/>
            <color indexed="81"/>
            <rFont val="宋体"/>
            <family val="3"/>
            <charset val="134"/>
          </rPr>
          <t xml:space="preserve">
</t>
        </r>
      </text>
    </comment>
    <comment ref="H75" authorId="2">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8.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70" authorId="1">
      <text>
        <r>
          <rPr>
            <b/>
            <sz val="12"/>
            <color indexed="81"/>
            <rFont val="宋体"/>
            <family val="3"/>
            <charset val="134"/>
          </rPr>
          <t>价值时点所在季度</t>
        </r>
        <r>
          <rPr>
            <sz val="12"/>
            <color indexed="81"/>
            <rFont val="宋体"/>
            <family val="3"/>
            <charset val="134"/>
          </rPr>
          <t xml:space="preserve">
</t>
        </r>
      </text>
    </comment>
    <comment ref="B71" authorId="0">
      <text>
        <r>
          <rPr>
            <sz val="11"/>
            <color indexed="81"/>
            <rFont val="宋体"/>
            <family val="3"/>
            <charset val="134"/>
          </rPr>
          <t xml:space="preserve">北京市公示数据计算的平均涨幅
</t>
        </r>
      </text>
    </comment>
  </commentList>
</comments>
</file>

<file path=xl/comments9.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sz val="9"/>
            <color indexed="81"/>
            <rFont val="宋体"/>
            <family val="3"/>
            <charset val="134"/>
          </rPr>
          <t xml:space="preserve">地下商业：地上主用途需选商业
地下办公：地上主用途需选办公
地下仓储及车库：按地上主用途计算
</t>
        </r>
      </text>
    </comment>
    <comment ref="G41" authorId="3">
      <text>
        <r>
          <rPr>
            <sz val="9"/>
            <color indexed="81"/>
            <rFont val="宋体"/>
            <family val="3"/>
            <charset val="134"/>
          </rPr>
          <t xml:space="preserve">需在此处填写剩余土地年限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sharedStrings.xml><?xml version="1.0" encoding="utf-8"?>
<sst xmlns="http://schemas.openxmlformats.org/spreadsheetml/2006/main" count="13800" uniqueCount="3900">
  <si>
    <t>土地使用权证号</t>
    <phoneticPr fontId="5" type="noConversion"/>
  </si>
  <si>
    <t>——</t>
    <phoneticPr fontId="3" type="noConversion"/>
  </si>
  <si>
    <t>——</t>
    <phoneticPr fontId="3" type="noConversion"/>
  </si>
  <si>
    <t>——</t>
    <phoneticPr fontId="3" type="noConversion"/>
  </si>
  <si>
    <t>建筑面积依据</t>
    <phoneticPr fontId="5" type="noConversion"/>
  </si>
  <si>
    <t>建设内容/楼号</t>
    <phoneticPr fontId="5" type="noConversion"/>
  </si>
  <si>
    <t>工业</t>
  </si>
  <si>
    <t>1-2.1</t>
  </si>
  <si>
    <t>1-2.2</t>
  </si>
  <si>
    <t>1-2.3</t>
  </si>
  <si>
    <t>1-2.4</t>
  </si>
  <si>
    <t>1-3.1</t>
  </si>
  <si>
    <t>1-3.2</t>
  </si>
  <si>
    <t>1-3.3</t>
  </si>
  <si>
    <t>1-3.4</t>
    <phoneticPr fontId="16" type="noConversion"/>
  </si>
  <si>
    <t>v</t>
    <phoneticPr fontId="16" type="noConversion"/>
  </si>
  <si>
    <t>——</t>
    <phoneticPr fontId="16" type="noConversion"/>
  </si>
  <si>
    <t>100/</t>
    <phoneticPr fontId="3" type="noConversion"/>
  </si>
  <si>
    <t>——</t>
    <phoneticPr fontId="3" type="noConversion"/>
  </si>
  <si>
    <t>——</t>
    <phoneticPr fontId="3" type="noConversion"/>
  </si>
  <si>
    <t>100/</t>
    <phoneticPr fontId="3" type="noConversion"/>
  </si>
  <si>
    <t>100/</t>
    <phoneticPr fontId="3" type="noConversion"/>
  </si>
  <si>
    <t>——</t>
    <phoneticPr fontId="16" type="noConversion"/>
  </si>
  <si>
    <t>100/</t>
    <phoneticPr fontId="3" type="noConversion"/>
  </si>
  <si>
    <t>-</t>
    <phoneticPr fontId="31" type="noConversion"/>
  </si>
  <si>
    <t>-</t>
    <phoneticPr fontId="31" type="noConversion"/>
  </si>
  <si>
    <t>-</t>
    <phoneticPr fontId="31" type="noConversion"/>
  </si>
  <si>
    <t>办公</t>
  </si>
  <si>
    <t>-</t>
    <phoneticPr fontId="31" type="noConversion"/>
  </si>
  <si>
    <t>-</t>
    <phoneticPr fontId="31" type="noConversion"/>
  </si>
  <si>
    <t>五级</t>
    <phoneticPr fontId="3" type="noConversion"/>
  </si>
  <si>
    <t>六级</t>
    <phoneticPr fontId="3" type="noConversion"/>
  </si>
  <si>
    <t>——</t>
    <phoneticPr fontId="38" type="noConversion"/>
  </si>
  <si>
    <t>——</t>
    <phoneticPr fontId="25"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</si>
  <si>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</si>
  <si>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</si>
  <si>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</si>
  <si>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</si>
  <si>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</si>
  <si>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</si>
  <si>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</si>
  <si>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</si>
  <si>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</si>
  <si>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</si>
  <si>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</si>
  <si>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</si>
  <si>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</si>
  <si>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</si>
  <si>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</si>
  <si>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42" type="noConversion"/>
  </si>
  <si>
    <t>地下公共配套设施</t>
    <phoneticPr fontId="42" type="noConversion"/>
  </si>
  <si>
    <t>地上物业管理用房</t>
    <phoneticPr fontId="42" type="noConversion"/>
  </si>
  <si>
    <t>地下设备及其他</t>
    <phoneticPr fontId="42" type="noConversion"/>
  </si>
  <si>
    <t>分摊土地面积</t>
    <phoneticPr fontId="42" type="noConversion"/>
  </si>
  <si>
    <t>建筑面积</t>
    <phoneticPr fontId="42" type="noConversion"/>
  </si>
  <si>
    <t>面积合计</t>
    <phoneticPr fontId="42" type="noConversion"/>
  </si>
  <si>
    <t>六级</t>
  </si>
  <si>
    <r>
      <rPr>
        <sz val="10"/>
        <rFont val="楷体_GB2312"/>
        <family val="3"/>
        <charset val="134"/>
      </rPr>
      <t>土地取得税费</t>
    </r>
  </si>
  <si>
    <r>
      <rPr>
        <b/>
        <sz val="10"/>
        <rFont val="楷体_GB2312"/>
        <family val="3"/>
        <charset val="134"/>
      </rPr>
      <t>销售税费</t>
    </r>
  </si>
  <si>
    <r>
      <rPr>
        <sz val="10"/>
        <rFont val="楷体_GB2312"/>
        <family val="3"/>
        <charset val="134"/>
      </rPr>
      <t>建安费用</t>
    </r>
  </si>
  <si>
    <r>
      <rPr>
        <sz val="10"/>
        <rFont val="楷体_GB2312"/>
        <family val="3"/>
        <charset val="134"/>
      </rPr>
      <t>勘察设计和前期工程费</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</si>
  <si>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</si>
  <si>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</si>
  <si>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相关税费</t>
    </r>
  </si>
  <si>
    <r>
      <rPr>
        <b/>
        <sz val="10"/>
        <rFont val="楷体_GB2312"/>
        <family val="3"/>
        <charset val="134"/>
      </rPr>
      <t>重置价值</t>
    </r>
    <r>
      <rPr>
        <b/>
        <sz val="10"/>
        <rFont val="Arial"/>
        <family val="2"/>
      </rPr>
      <t>×</t>
    </r>
    <r>
      <rPr>
        <b/>
        <sz val="10"/>
        <rFont val="楷体_GB2312"/>
        <family val="3"/>
        <charset val="134"/>
      </rPr>
      <t>成新率</t>
    </r>
    <phoneticPr fontId="16" type="noConversion"/>
  </si>
  <si>
    <r>
      <t>3.</t>
    </r>
    <r>
      <rPr>
        <b/>
        <sz val="12"/>
        <rFont val="楷体_GB2312"/>
        <family val="3"/>
        <charset val="134"/>
      </rPr>
      <t>成本价值</t>
    </r>
    <phoneticPr fontId="16" type="noConversion"/>
  </si>
  <si>
    <r>
      <rPr>
        <b/>
        <sz val="10"/>
        <color indexed="10"/>
        <rFont val="楷体_GB2312"/>
        <family val="3"/>
        <charset val="134"/>
      </rPr>
      <t>成本比率</t>
    </r>
    <phoneticPr fontId="3" type="noConversion"/>
  </si>
  <si>
    <r>
      <rPr>
        <sz val="10"/>
        <color indexed="8"/>
        <rFont val="楷体_GB2312"/>
        <family val="3"/>
        <charset val="134"/>
      </rPr>
      <t>建筑物价值比率</t>
    </r>
    <phoneticPr fontId="3" type="noConversion"/>
  </si>
  <si>
    <r>
      <rPr>
        <sz val="10"/>
        <color indexed="8"/>
        <rFont val="楷体_GB2312"/>
        <family val="3"/>
        <charset val="134"/>
      </rPr>
      <t>土地价值比率</t>
    </r>
    <phoneticPr fontId="3" type="noConversion"/>
  </si>
  <si>
    <t>项目基本情况</t>
    <phoneticPr fontId="3" type="noConversion"/>
  </si>
  <si>
    <t>——</t>
  </si>
  <si>
    <t>用途类型</t>
    <phoneticPr fontId="16" type="noConversion"/>
  </si>
  <si>
    <t>红色字体</t>
    <phoneticPr fontId="34" type="noConversion"/>
  </si>
  <si>
    <t>下拉菜单</t>
  </si>
  <si>
    <t>错误提示</t>
    <phoneticPr fontId="34" type="noConversion"/>
  </si>
  <si>
    <t>特别提示</t>
    <phoneticPr fontId="34" type="noConversion"/>
  </si>
  <si>
    <t>需要新增方法表时，请右键点击所选方法标签，选择‘移动或复制’，勾选建立副本，以保证公示链接无误</t>
    <phoneticPr fontId="34" type="noConversion"/>
  </si>
  <si>
    <t>1.该表需录入项目全部面积数据以及未进入估价范围的面积值，抵押物面积为计算得出，位于整表的右侧。建筑面积按经营性用途和非经营性用途进行设置</t>
    <phoneticPr fontId="3" type="noConversion"/>
  </si>
  <si>
    <t>2.在抵押物范围的先录,以便核对</t>
    <phoneticPr fontId="3" type="noConversion"/>
  </si>
  <si>
    <t>3.面积录入中允许存在不能从来源文件中直接摘录的数据，但应列出计算公式并批注，如地上公共配套含自行车库100、有线电视50、锅炉房50，则单元格中应录入“=100+50+50”。扣减值设置有单元格进行说明，所以无需批注。</t>
    <phoneticPr fontId="3" type="noConversion"/>
  </si>
  <si>
    <t>4.未注明用途的计入非经营性用途——"未注明"一项，单独录入，计算时按设备用房处理</t>
    <phoneticPr fontId="3" type="noConversion"/>
  </si>
  <si>
    <t>5.面积依据不同时，以每部分取得的最新数据文件为依据。</t>
    <phoneticPr fontId="3" type="noConversion"/>
  </si>
  <si>
    <t>录入项</t>
    <phoneticPr fontId="3" type="noConversion"/>
  </si>
  <si>
    <r>
      <rPr>
        <b/>
        <sz val="16"/>
        <color indexed="10"/>
        <rFont val="楷体_GB2312"/>
        <family val="3"/>
        <charset val="134"/>
      </rPr>
      <t>成本法</t>
    </r>
    <phoneticPr fontId="16"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</si>
  <si>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</si>
  <si>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</si>
  <si>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t>1.</t>
    </r>
    <r>
      <rPr>
        <b/>
        <sz val="12"/>
        <rFont val="楷体_GB2312"/>
        <family val="3"/>
        <charset val="134"/>
      </rPr>
      <t>土地价值</t>
    </r>
    <phoneticPr fontId="16" type="noConversion"/>
  </si>
  <si>
    <r>
      <rPr>
        <b/>
        <sz val="10"/>
        <rFont val="楷体_GB2312"/>
        <family val="3"/>
        <charset val="134"/>
      </rPr>
      <t>土地取得成本</t>
    </r>
    <phoneticPr fontId="16" type="noConversion"/>
  </si>
  <si>
    <r>
      <rPr>
        <b/>
        <sz val="10"/>
        <rFont val="楷体_GB2312"/>
        <family val="3"/>
        <charset val="134"/>
      </rPr>
      <t>面积</t>
    </r>
    <phoneticPr fontId="16" type="noConversion"/>
  </si>
  <si>
    <r>
      <rPr>
        <b/>
        <sz val="10"/>
        <rFont val="楷体_GB2312"/>
        <family val="3"/>
        <charset val="134"/>
      </rPr>
      <t>单价</t>
    </r>
    <phoneticPr fontId="16" type="noConversion"/>
  </si>
  <si>
    <r>
      <rPr>
        <b/>
        <sz val="10"/>
        <rFont val="楷体_GB2312"/>
        <family val="3"/>
        <charset val="134"/>
      </rPr>
      <t>系数</t>
    </r>
    <phoneticPr fontId="16" type="noConversion"/>
  </si>
  <si>
    <r>
      <rPr>
        <sz val="10"/>
        <rFont val="楷体_GB2312"/>
        <family val="3"/>
        <charset val="134"/>
      </rPr>
      <t>土地购买价格</t>
    </r>
    <phoneticPr fontId="18" type="noConversion"/>
  </si>
  <si>
    <r>
      <rPr>
        <sz val="10"/>
        <rFont val="楷体_GB2312"/>
        <family val="3"/>
        <charset val="134"/>
      </rPr>
      <t>城市基础设施建设费（行政收费）</t>
    </r>
    <phoneticPr fontId="16" type="noConversion"/>
  </si>
  <si>
    <r>
      <rPr>
        <i/>
        <sz val="10"/>
        <rFont val="楷体_GB2312"/>
        <family val="3"/>
        <charset val="134"/>
      </rPr>
      <t>住宅</t>
    </r>
    <phoneticPr fontId="16" type="noConversion"/>
  </si>
  <si>
    <r>
      <rPr>
        <i/>
        <sz val="10"/>
        <rFont val="楷体_GB2312"/>
        <family val="3"/>
        <charset val="134"/>
      </rPr>
      <t>非住宅</t>
    </r>
    <phoneticPr fontId="16" type="noConversion"/>
  </si>
  <si>
    <r>
      <rPr>
        <sz val="10"/>
        <rFont val="楷体_GB2312"/>
        <family val="3"/>
        <charset val="134"/>
      </rPr>
      <t>土地使用权出让金</t>
    </r>
    <phoneticPr fontId="16" type="noConversion"/>
  </si>
  <si>
    <r>
      <rPr>
        <sz val="10"/>
        <rFont val="楷体_GB2312"/>
        <family val="3"/>
        <charset val="134"/>
      </rPr>
      <t>相关税费</t>
    </r>
    <phoneticPr fontId="16" type="noConversion"/>
  </si>
  <si>
    <r>
      <rPr>
        <sz val="10"/>
        <rFont val="楷体_GB2312"/>
        <family val="3"/>
        <charset val="134"/>
      </rPr>
      <t>征地补偿安置费及其相关税费</t>
    </r>
    <phoneticPr fontId="16" type="noConversion"/>
  </si>
  <si>
    <r>
      <rPr>
        <sz val="10"/>
        <rFont val="楷体_GB2312"/>
        <family val="3"/>
        <charset val="134"/>
      </rPr>
      <t>以建筑面积为计算基数，按各区发文标准</t>
    </r>
    <phoneticPr fontId="16" type="noConversion"/>
  </si>
  <si>
    <r>
      <rPr>
        <sz val="10"/>
        <rFont val="楷体_GB2312"/>
        <family val="3"/>
        <charset val="134"/>
      </rPr>
      <t>出让金</t>
    </r>
    <phoneticPr fontId="16" type="noConversion"/>
  </si>
  <si>
    <r>
      <rPr>
        <sz val="10"/>
        <rFont val="楷体_GB2312"/>
        <family val="3"/>
        <charset val="134"/>
      </rPr>
      <t>采用比较法求取</t>
    </r>
    <phoneticPr fontId="16" type="noConversion"/>
  </si>
  <si>
    <r>
      <rPr>
        <sz val="10"/>
        <rFont val="楷体_GB2312"/>
        <family val="3"/>
        <charset val="134"/>
      </rPr>
      <t>开发补偿费用</t>
    </r>
    <phoneticPr fontId="16" type="noConversion"/>
  </si>
  <si>
    <r>
      <rPr>
        <sz val="10"/>
        <rFont val="楷体_GB2312"/>
        <family val="3"/>
        <charset val="134"/>
      </rPr>
      <t>契税及印花税</t>
    </r>
    <phoneticPr fontId="16" type="noConversion"/>
  </si>
  <si>
    <r>
      <rPr>
        <sz val="10"/>
        <rFont val="楷体_GB2312"/>
        <family val="3"/>
        <charset val="134"/>
      </rPr>
      <t>以上述三项为基数计算</t>
    </r>
    <phoneticPr fontId="16" type="noConversion"/>
  </si>
  <si>
    <r>
      <rPr>
        <b/>
        <sz val="10"/>
        <rFont val="楷体_GB2312"/>
        <family val="3"/>
        <charset val="134"/>
      </rPr>
      <t>管理费用</t>
    </r>
    <phoneticPr fontId="16" type="noConversion"/>
  </si>
  <si>
    <r>
      <rPr>
        <b/>
        <sz val="10"/>
        <rFont val="楷体_GB2312"/>
        <family val="3"/>
        <charset val="134"/>
      </rPr>
      <t>销售费用</t>
    </r>
    <phoneticPr fontId="16" type="noConversion"/>
  </si>
  <si>
    <r>
      <rPr>
        <b/>
        <sz val="10"/>
        <rFont val="楷体_GB2312"/>
        <family val="3"/>
        <charset val="134"/>
      </rPr>
      <t>以土地价值为基数</t>
    </r>
    <phoneticPr fontId="16" type="noConversion"/>
  </si>
  <si>
    <r>
      <rPr>
        <b/>
        <sz val="10"/>
        <rFont val="楷体_GB2312"/>
        <family val="3"/>
        <charset val="134"/>
      </rPr>
      <t>贷款利息</t>
    </r>
    <phoneticPr fontId="16" type="noConversion"/>
  </si>
  <si>
    <r>
      <rPr>
        <sz val="10"/>
        <rFont val="楷体_GB2312"/>
        <family val="3"/>
        <charset val="134"/>
      </rPr>
      <t>计项目已运行全期</t>
    </r>
    <phoneticPr fontId="16" type="noConversion"/>
  </si>
  <si>
    <r>
      <rPr>
        <sz val="10"/>
        <rFont val="楷体_GB2312"/>
        <family val="3"/>
        <charset val="134"/>
      </rPr>
      <t>土地开发期均匀投入、已建工期计全期</t>
    </r>
    <phoneticPr fontId="16" type="noConversion"/>
  </si>
  <si>
    <r>
      <rPr>
        <sz val="10"/>
        <rFont val="楷体_GB2312"/>
        <family val="3"/>
        <charset val="134"/>
      </rPr>
      <t>管理费用及销售费用于项目已运行期内均匀投入</t>
    </r>
    <phoneticPr fontId="16" type="noConversion"/>
  </si>
  <si>
    <r>
      <rPr>
        <b/>
        <sz val="10"/>
        <rFont val="楷体_GB2312"/>
        <family val="3"/>
        <charset val="134"/>
      </rPr>
      <t>土地开发费用</t>
    </r>
    <r>
      <rPr>
        <b/>
        <sz val="10"/>
        <rFont val="Arial"/>
        <family val="2"/>
      </rPr>
      <t>-</t>
    </r>
    <r>
      <rPr>
        <b/>
        <sz val="10"/>
        <rFont val="楷体_GB2312"/>
        <family val="3"/>
        <charset val="134"/>
      </rPr>
      <t>红线外（现状）</t>
    </r>
    <phoneticPr fontId="16" type="noConversion"/>
  </si>
  <si>
    <r>
      <rPr>
        <b/>
        <sz val="10"/>
        <rFont val="楷体_GB2312"/>
        <family val="3"/>
        <charset val="134"/>
      </rPr>
      <t>利润</t>
    </r>
    <phoneticPr fontId="16" type="noConversion"/>
  </si>
  <si>
    <r>
      <rPr>
        <b/>
        <sz val="10"/>
        <rFont val="楷体_GB2312"/>
        <family val="3"/>
        <charset val="134"/>
      </rPr>
      <t>以房地产价值为基数</t>
    </r>
    <phoneticPr fontId="16" type="noConversion"/>
  </si>
  <si>
    <r>
      <t>2.</t>
    </r>
    <r>
      <rPr>
        <b/>
        <sz val="12"/>
        <rFont val="楷体_GB2312"/>
        <family val="3"/>
        <charset val="134"/>
      </rPr>
      <t>建筑物</t>
    </r>
    <r>
      <rPr>
        <b/>
        <sz val="12"/>
        <rFont val="Arial"/>
        <family val="2"/>
      </rPr>
      <t>/</t>
    </r>
    <r>
      <rPr>
        <b/>
        <sz val="12"/>
        <rFont val="楷体_GB2312"/>
        <family val="3"/>
        <charset val="134"/>
      </rPr>
      <t>在建工程价值</t>
    </r>
    <phoneticPr fontId="16" type="noConversion"/>
  </si>
  <si>
    <r>
      <rPr>
        <b/>
        <sz val="10"/>
        <rFont val="楷体_GB2312"/>
        <family val="3"/>
        <charset val="134"/>
      </rPr>
      <t>建筑物建造</t>
    </r>
    <r>
      <rPr>
        <b/>
        <sz val="10"/>
        <rFont val="Arial"/>
        <family val="2"/>
      </rPr>
      <t>/</t>
    </r>
    <r>
      <rPr>
        <b/>
        <sz val="10"/>
        <rFont val="楷体_GB2312"/>
        <family val="3"/>
        <charset val="134"/>
      </rPr>
      <t>已建成本</t>
    </r>
    <phoneticPr fontId="16" type="noConversion"/>
  </si>
  <si>
    <r>
      <rPr>
        <sz val="10"/>
        <rFont val="楷体_GB2312"/>
        <family val="3"/>
        <charset val="134"/>
      </rPr>
      <t>现房</t>
    </r>
    <r>
      <rPr>
        <sz val="10"/>
        <rFont val="Arial"/>
        <family val="2"/>
      </rPr>
      <t>100%</t>
    </r>
    <r>
      <rPr>
        <sz val="10"/>
        <rFont val="楷体_GB2312"/>
        <family val="3"/>
        <charset val="134"/>
      </rPr>
      <t>；在建为综合进度</t>
    </r>
    <phoneticPr fontId="16" type="noConversion"/>
  </si>
  <si>
    <r>
      <rPr>
        <sz val="10"/>
        <rFont val="楷体_GB2312"/>
        <family val="3"/>
        <charset val="134"/>
      </rPr>
      <t>以建安费用为基数计取</t>
    </r>
    <phoneticPr fontId="16" type="noConversion"/>
  </si>
  <si>
    <r>
      <rPr>
        <sz val="10"/>
        <rFont val="楷体_GB2312"/>
        <family val="3"/>
        <charset val="134"/>
      </rPr>
      <t>红线内市政费用</t>
    </r>
    <phoneticPr fontId="16" type="noConversion"/>
  </si>
  <si>
    <r>
      <rPr>
        <sz val="10"/>
        <rFont val="楷体_GB2312"/>
        <family val="3"/>
        <charset val="134"/>
      </rPr>
      <t>按工程进度计取或按实际情况计取</t>
    </r>
    <phoneticPr fontId="16" type="noConversion"/>
  </si>
  <si>
    <r>
      <rPr>
        <b/>
        <sz val="10"/>
        <rFont val="楷体_GB2312"/>
        <family val="3"/>
        <charset val="134"/>
      </rPr>
      <t>以</t>
    </r>
    <r>
      <rPr>
        <b/>
        <sz val="10"/>
        <rFont val="Arial"/>
        <family val="2"/>
      </rPr>
      <t>V</t>
    </r>
    <r>
      <rPr>
        <b/>
        <sz val="10"/>
        <rFont val="楷体_GB2312"/>
        <family val="3"/>
        <charset val="134"/>
      </rPr>
      <t>建为基数</t>
    </r>
    <phoneticPr fontId="16" type="noConversion"/>
  </si>
  <si>
    <r>
      <rPr>
        <sz val="10"/>
        <rFont val="楷体_GB2312"/>
        <family val="3"/>
        <charset val="134"/>
      </rPr>
      <t>已建工期均匀投入</t>
    </r>
    <phoneticPr fontId="16" type="noConversion"/>
  </si>
  <si>
    <r>
      <rPr>
        <b/>
        <sz val="10"/>
        <rFont val="楷体_GB2312"/>
        <family val="3"/>
        <charset val="134"/>
      </rPr>
      <t>销售税费</t>
    </r>
    <phoneticPr fontId="16" type="noConversion"/>
  </si>
  <si>
    <r>
      <rPr>
        <b/>
        <sz val="10"/>
        <rFont val="楷体_GB2312"/>
        <family val="3"/>
        <charset val="134"/>
      </rPr>
      <t>以成本价值为基数</t>
    </r>
    <phoneticPr fontId="16" type="noConversion"/>
  </si>
  <si>
    <r>
      <rPr>
        <b/>
        <sz val="10"/>
        <rFont val="楷体_GB2312"/>
        <family val="3"/>
        <charset val="134"/>
      </rPr>
      <t>成新率</t>
    </r>
    <phoneticPr fontId="16" type="noConversion"/>
  </si>
  <si>
    <r>
      <rPr>
        <b/>
        <sz val="10"/>
        <rFont val="楷体_GB2312"/>
        <family val="3"/>
        <charset val="134"/>
      </rPr>
      <t>现房为成新率，在建依实际情况（停工）记取</t>
    </r>
    <phoneticPr fontId="18" type="noConversion"/>
  </si>
  <si>
    <r>
      <t>V</t>
    </r>
    <r>
      <rPr>
        <b/>
        <vertAlign val="subscript"/>
        <sz val="10"/>
        <rFont val="楷体_GB2312"/>
        <family val="3"/>
        <charset val="134"/>
      </rPr>
      <t>土</t>
    </r>
    <phoneticPr fontId="16" type="noConversion"/>
  </si>
  <si>
    <r>
      <t>V</t>
    </r>
    <r>
      <rPr>
        <b/>
        <vertAlign val="subscript"/>
        <sz val="10"/>
        <rFont val="楷体_GB2312"/>
        <family val="3"/>
        <charset val="134"/>
      </rPr>
      <t>土</t>
    </r>
    <r>
      <rPr>
        <b/>
        <sz val="10"/>
        <rFont val="Arial"/>
        <family val="2"/>
      </rPr>
      <t>/(1+5%)</t>
    </r>
    <phoneticPr fontId="16" type="noConversion"/>
  </si>
  <si>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phoneticPr fontId="16" type="noConversion"/>
  </si>
  <si>
    <r>
      <t>V</t>
    </r>
    <r>
      <rPr>
        <b/>
        <vertAlign val="subscript"/>
        <sz val="10"/>
        <rFont val="楷体_GB2312"/>
        <family val="3"/>
        <charset val="134"/>
      </rPr>
      <t>建</t>
    </r>
    <phoneticPr fontId="16" type="noConversion"/>
  </si>
  <si>
    <r>
      <t>V</t>
    </r>
    <r>
      <rPr>
        <b/>
        <vertAlign val="subscript"/>
        <sz val="10"/>
        <rFont val="楷体_GB2312"/>
        <family val="3"/>
        <charset val="134"/>
      </rPr>
      <t>建</t>
    </r>
    <r>
      <rPr>
        <b/>
        <sz val="10"/>
        <rFont val="Arial"/>
        <family val="2"/>
      </rPr>
      <t>/(1+5%)</t>
    </r>
    <phoneticPr fontId="16" type="noConversion"/>
  </si>
  <si>
    <r>
      <rPr>
        <b/>
        <sz val="10"/>
        <rFont val="楷体_GB2312"/>
        <family val="3"/>
        <charset val="134"/>
      </rPr>
      <t>建筑物</t>
    </r>
    <r>
      <rPr>
        <b/>
        <sz val="10"/>
        <rFont val="Arial"/>
        <family val="2"/>
      </rPr>
      <t>/</t>
    </r>
    <r>
      <rPr>
        <b/>
        <sz val="10"/>
        <rFont val="楷体_GB2312"/>
        <family val="3"/>
        <charset val="134"/>
      </rPr>
      <t>在建工程重置价值（</t>
    </r>
    <r>
      <rPr>
        <b/>
        <sz val="10"/>
        <rFont val="Arial"/>
        <family val="2"/>
      </rPr>
      <t>V</t>
    </r>
    <r>
      <rPr>
        <b/>
        <vertAlign val="subscript"/>
        <sz val="10"/>
        <rFont val="宋体"/>
        <family val="3"/>
        <charset val="134"/>
      </rPr>
      <t>建1</t>
    </r>
    <r>
      <rPr>
        <b/>
        <sz val="10"/>
        <rFont val="楷体_GB2312"/>
        <family val="3"/>
        <charset val="134"/>
      </rPr>
      <t>）</t>
    </r>
    <phoneticPr fontId="16" type="noConversion"/>
  </si>
  <si>
    <r>
      <rPr>
        <b/>
        <sz val="10"/>
        <rFont val="楷体_GB2312"/>
        <family val="3"/>
        <charset val="134"/>
      </rPr>
      <t>建筑物</t>
    </r>
    <r>
      <rPr>
        <b/>
        <sz val="10"/>
        <rFont val="Arial"/>
        <family val="2"/>
      </rPr>
      <t>/</t>
    </r>
    <r>
      <rPr>
        <b/>
        <sz val="10"/>
        <rFont val="楷体_GB2312"/>
        <family val="3"/>
        <charset val="134"/>
      </rPr>
      <t>在建工程价值（</t>
    </r>
    <r>
      <rPr>
        <b/>
        <sz val="10"/>
        <rFont val="Arial"/>
        <family val="2"/>
      </rPr>
      <t>V</t>
    </r>
    <r>
      <rPr>
        <b/>
        <vertAlign val="subscript"/>
        <sz val="10"/>
        <rFont val="宋体"/>
        <family val="3"/>
        <charset val="134"/>
      </rPr>
      <t>建2</t>
    </r>
    <r>
      <rPr>
        <b/>
        <sz val="10"/>
        <rFont val="楷体_GB2312"/>
        <family val="3"/>
        <charset val="134"/>
      </rPr>
      <t>）</t>
    </r>
    <phoneticPr fontId="16" type="noConversion"/>
  </si>
  <si>
    <t>万元</t>
    <phoneticPr fontId="18" type="noConversion"/>
  </si>
  <si>
    <t>元/平方米</t>
    <phoneticPr fontId="18" type="noConversion"/>
  </si>
  <si>
    <t>锁定项</t>
    <phoneticPr fontId="3" type="noConversion"/>
  </si>
  <si>
    <t>定义</t>
    <phoneticPr fontId="3" type="noConversion"/>
  </si>
  <si>
    <t>四级</t>
  </si>
  <si>
    <t>Ⅱ—03</t>
  </si>
  <si>
    <t>A1</t>
    <phoneticPr fontId="3" type="noConversion"/>
  </si>
  <si>
    <t>A2</t>
  </si>
  <si>
    <t>A3</t>
  </si>
  <si>
    <t>A4</t>
  </si>
  <si>
    <t>2016-2</t>
  </si>
  <si>
    <t>2014-1</t>
  </si>
  <si>
    <t>2014-2</t>
  </si>
  <si>
    <t>2014-3</t>
  </si>
  <si>
    <t>2014-4</t>
  </si>
  <si>
    <t>2015-1</t>
  </si>
  <si>
    <t>2015-2</t>
  </si>
  <si>
    <t>2015-3</t>
  </si>
  <si>
    <t>2015-4</t>
  </si>
  <si>
    <t>2016-1</t>
  </si>
  <si>
    <t>2016-3</t>
  </si>
  <si>
    <t>2016-4</t>
  </si>
  <si>
    <t>R&gt;10</t>
    <phoneticPr fontId="3" type="noConversion"/>
  </si>
  <si>
    <t>北京市区片基准地价表</t>
    <phoneticPr fontId="3" type="noConversion"/>
  </si>
  <si>
    <t>一级</t>
    <phoneticPr fontId="3" type="noConversion"/>
  </si>
  <si>
    <t>二级</t>
    <phoneticPr fontId="3" type="noConversion"/>
  </si>
  <si>
    <t>三级</t>
    <phoneticPr fontId="3" type="noConversion"/>
  </si>
  <si>
    <t>四级</t>
    <phoneticPr fontId="3" type="noConversion"/>
  </si>
  <si>
    <t>五级</t>
    <phoneticPr fontId="3" type="noConversion"/>
  </si>
  <si>
    <t>六级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</si>
  <si>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</si>
  <si>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</si>
  <si>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</si>
  <si>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</si>
  <si>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</si>
  <si>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</si>
  <si>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基准日期：2014年1月1日                                                    单位：元/建筑平方米</t>
    <phoneticPr fontId="3" type="noConversion"/>
  </si>
  <si>
    <t>Ⅰ—01</t>
    <phoneticPr fontId="3" type="noConversion"/>
  </si>
  <si>
    <t>Ⅱ—01</t>
    <phoneticPr fontId="3" type="noConversion"/>
  </si>
  <si>
    <t>Ⅲ—01</t>
    <phoneticPr fontId="3" type="noConversion"/>
  </si>
  <si>
    <t>Ⅳ-01</t>
    <phoneticPr fontId="3" type="noConversion"/>
  </si>
  <si>
    <t>Ⅴ-01</t>
    <phoneticPr fontId="3" type="noConversion"/>
  </si>
  <si>
    <t>Ⅵ-01</t>
    <phoneticPr fontId="3" type="noConversion"/>
  </si>
  <si>
    <t>Ⅶ-01</t>
    <phoneticPr fontId="3" type="noConversion"/>
  </si>
  <si>
    <t>Ⅷ-01</t>
    <phoneticPr fontId="3" type="noConversion"/>
  </si>
  <si>
    <t>Ⅸ-01</t>
    <phoneticPr fontId="3" type="noConversion"/>
  </si>
  <si>
    <t>Ⅹ-01</t>
    <phoneticPr fontId="3" type="noConversion"/>
  </si>
  <si>
    <t>Ⅺ-门1</t>
    <phoneticPr fontId="3" type="noConversion"/>
  </si>
  <si>
    <t>Ⅻ-门1</t>
    <phoneticPr fontId="3" type="noConversion"/>
  </si>
  <si>
    <t>级别</t>
    <phoneticPr fontId="3" type="noConversion"/>
  </si>
  <si>
    <t>商业</t>
    <phoneticPr fontId="3" type="noConversion"/>
  </si>
  <si>
    <t>办公</t>
    <phoneticPr fontId="3" type="noConversion"/>
  </si>
  <si>
    <t>居住</t>
    <phoneticPr fontId="3" type="noConversion"/>
  </si>
  <si>
    <t>工业</t>
    <phoneticPr fontId="3" type="noConversion"/>
  </si>
  <si>
    <t>Ⅰ—02</t>
    <phoneticPr fontId="3" type="noConversion"/>
  </si>
  <si>
    <t>Ⅱ—02</t>
  </si>
  <si>
    <t>Ⅲ—02</t>
  </si>
  <si>
    <t>Ⅳ-02</t>
  </si>
  <si>
    <t>Ⅴ-02</t>
  </si>
  <si>
    <t>Ⅵ-02</t>
  </si>
  <si>
    <t>Ⅶ-02</t>
  </si>
  <si>
    <t>Ⅷ-02</t>
  </si>
  <si>
    <t>Ⅸ-02</t>
  </si>
  <si>
    <t>Ⅹ-02</t>
  </si>
  <si>
    <t>Ⅺ-门斋</t>
    <phoneticPr fontId="3" type="noConversion"/>
  </si>
  <si>
    <t>Ⅻ-房1</t>
    <phoneticPr fontId="3" type="noConversion"/>
  </si>
  <si>
    <t>区片编号</t>
    <phoneticPr fontId="3" type="noConversion"/>
  </si>
  <si>
    <t>区片价格</t>
    <phoneticPr fontId="3" type="noConversion"/>
  </si>
  <si>
    <t>Ⅰ—03</t>
  </si>
  <si>
    <t>Ⅲ—03</t>
  </si>
  <si>
    <t>Ⅳ-03</t>
  </si>
  <si>
    <t>Ⅴ-03</t>
  </si>
  <si>
    <t>Ⅵ-03</t>
  </si>
  <si>
    <t>Ⅶ-03</t>
  </si>
  <si>
    <t>Ⅷ-03</t>
  </si>
  <si>
    <t>Ⅸ-门1</t>
    <phoneticPr fontId="3" type="noConversion"/>
  </si>
  <si>
    <t>Ⅹ-门1</t>
    <phoneticPr fontId="3" type="noConversion"/>
  </si>
  <si>
    <t>Ⅺ-房1</t>
    <phoneticPr fontId="3" type="noConversion"/>
  </si>
  <si>
    <t>Ⅻ-昌1</t>
    <phoneticPr fontId="3" type="noConversion"/>
  </si>
  <si>
    <t>一级</t>
  </si>
  <si>
    <t>Ⅰ—04</t>
  </si>
  <si>
    <t>Ⅱ—04</t>
  </si>
  <si>
    <t>Ⅲ—04</t>
  </si>
  <si>
    <t>Ⅳ-04</t>
  </si>
  <si>
    <t>Ⅴ-04</t>
  </si>
  <si>
    <t>Ⅵ-04</t>
  </si>
  <si>
    <t>Ⅶ-04</t>
  </si>
  <si>
    <t>Ⅷ-04</t>
  </si>
  <si>
    <t>Ⅸ-门2</t>
    <phoneticPr fontId="3" type="noConversion"/>
  </si>
  <si>
    <t>Ⅹ-房1</t>
    <phoneticPr fontId="3" type="noConversion"/>
  </si>
  <si>
    <t>Ⅺ-房2</t>
  </si>
  <si>
    <t>Ⅻ-平1</t>
    <phoneticPr fontId="3" type="noConversion"/>
  </si>
  <si>
    <t>Ⅰ—05</t>
  </si>
  <si>
    <t>Ⅱ—05</t>
  </si>
  <si>
    <t>Ⅲ—05</t>
  </si>
  <si>
    <t>Ⅳ-05</t>
  </si>
  <si>
    <t>Ⅴ-05</t>
  </si>
  <si>
    <t>Ⅵ-05</t>
  </si>
  <si>
    <t>Ⅶ-05</t>
  </si>
  <si>
    <t>Ⅷ-门1</t>
    <phoneticPr fontId="3" type="noConversion"/>
  </si>
  <si>
    <t>Ⅸ-门潭</t>
    <phoneticPr fontId="3" type="noConversion"/>
  </si>
  <si>
    <t>Ⅹ-房2</t>
  </si>
  <si>
    <t>Ⅺ-通1</t>
    <phoneticPr fontId="3" type="noConversion"/>
  </si>
  <si>
    <t>Ⅻ-怀1</t>
    <phoneticPr fontId="3" type="noConversion"/>
  </si>
  <si>
    <t>Ⅱ—06</t>
  </si>
  <si>
    <t>Ⅲ—06</t>
  </si>
  <si>
    <t>Ⅳ-06</t>
  </si>
  <si>
    <t>Ⅴ-06</t>
  </si>
  <si>
    <t>Ⅵ-06</t>
  </si>
  <si>
    <t>Ⅶ-06</t>
  </si>
  <si>
    <t>Ⅷ-门军</t>
    <phoneticPr fontId="3" type="noConversion"/>
  </si>
  <si>
    <t>Ⅸ-房1</t>
    <phoneticPr fontId="3" type="noConversion"/>
  </si>
  <si>
    <t>Ⅹ-通1</t>
    <phoneticPr fontId="3" type="noConversion"/>
  </si>
  <si>
    <t>Ⅺ-顺1</t>
    <phoneticPr fontId="3" type="noConversion"/>
  </si>
  <si>
    <t>Ⅻ-密1</t>
    <phoneticPr fontId="3" type="noConversion"/>
  </si>
  <si>
    <t>Ⅱ—07</t>
  </si>
  <si>
    <t>Ⅲ—07</t>
  </si>
  <si>
    <t>Ⅳ-07</t>
  </si>
  <si>
    <t>Ⅴ-07</t>
  </si>
  <si>
    <t>Ⅵ-07</t>
  </si>
  <si>
    <t>Ⅶ-07</t>
  </si>
  <si>
    <t>Ⅷ-房1</t>
    <phoneticPr fontId="3" type="noConversion"/>
  </si>
  <si>
    <t>Ⅸ-房2</t>
  </si>
  <si>
    <t>Ⅹ-顺1</t>
    <phoneticPr fontId="3" type="noConversion"/>
  </si>
  <si>
    <t>Ⅺ-兴1</t>
    <phoneticPr fontId="3" type="noConversion"/>
  </si>
  <si>
    <t>Ⅻ-延1</t>
    <phoneticPr fontId="3" type="noConversion"/>
  </si>
  <si>
    <t>Ⅱ—08</t>
  </si>
  <si>
    <t>Ⅲ—08</t>
  </si>
  <si>
    <t>Ⅳ-08</t>
  </si>
  <si>
    <t>Ⅴ-08</t>
  </si>
  <si>
    <t>Ⅵ-08</t>
  </si>
  <si>
    <t>Ⅶ-08</t>
  </si>
  <si>
    <t>Ⅷ-房2</t>
  </si>
  <si>
    <t>Ⅸ-房3</t>
  </si>
  <si>
    <t>Ⅹ-顺2</t>
  </si>
  <si>
    <t>Ⅺ-兴2</t>
    <phoneticPr fontId="3" type="noConversion"/>
  </si>
  <si>
    <t>二级</t>
  </si>
  <si>
    <t>Ⅱ—01</t>
    <phoneticPr fontId="3" type="noConversion"/>
  </si>
  <si>
    <t>Ⅱ—09</t>
  </si>
  <si>
    <t>Ⅲ—09</t>
  </si>
  <si>
    <t>Ⅳ-09</t>
  </si>
  <si>
    <t>Ⅴ-09</t>
  </si>
  <si>
    <t>Ⅵ-09</t>
  </si>
  <si>
    <t>Ⅶ-09</t>
  </si>
  <si>
    <t>Ⅷ-房3</t>
  </si>
  <si>
    <t>Ⅸ-房4</t>
  </si>
  <si>
    <t>Ⅹ-顺3</t>
  </si>
  <si>
    <t>Ⅺ-昌1</t>
    <phoneticPr fontId="3" type="noConversion"/>
  </si>
  <si>
    <t>Ⅱ—10</t>
  </si>
  <si>
    <t>Ⅲ—10</t>
  </si>
  <si>
    <t>Ⅳ-10</t>
  </si>
  <si>
    <t>Ⅴ-10</t>
  </si>
  <si>
    <t>Ⅵ-10</t>
  </si>
  <si>
    <t>Ⅶ-10</t>
  </si>
  <si>
    <t>Ⅷ-通1</t>
    <phoneticPr fontId="3" type="noConversion"/>
  </si>
  <si>
    <t>Ⅸ-房5</t>
  </si>
  <si>
    <t>Ⅹ-兴1</t>
    <phoneticPr fontId="3" type="noConversion"/>
  </si>
  <si>
    <t>Ⅺ-昌2</t>
  </si>
  <si>
    <t>Ⅱ—11</t>
  </si>
  <si>
    <t>Ⅲ—11</t>
  </si>
  <si>
    <t>Ⅳ-11</t>
  </si>
  <si>
    <t>Ⅴ-11</t>
  </si>
  <si>
    <t>Ⅵ-11</t>
  </si>
  <si>
    <t>Ⅶ-11</t>
  </si>
  <si>
    <t>Ⅷ-通2</t>
  </si>
  <si>
    <t>Ⅸ-房6</t>
  </si>
  <si>
    <t>Ⅹ-兴2</t>
  </si>
  <si>
    <t>Ⅺ-平1</t>
    <phoneticPr fontId="3" type="noConversion"/>
  </si>
  <si>
    <t>Ⅱ—12</t>
  </si>
  <si>
    <t>Ⅲ—12</t>
  </si>
  <si>
    <t>Ⅳ-12</t>
  </si>
  <si>
    <t>Ⅴ-12</t>
  </si>
  <si>
    <t>Ⅵ-12</t>
  </si>
  <si>
    <t>Ⅶ-12</t>
  </si>
  <si>
    <t>Ⅷ-通3</t>
  </si>
  <si>
    <t>Ⅸ-通1</t>
    <phoneticPr fontId="3" type="noConversion"/>
  </si>
  <si>
    <t>Ⅹ-昌1</t>
    <phoneticPr fontId="3" type="noConversion"/>
  </si>
  <si>
    <t>Ⅺ-平2</t>
  </si>
  <si>
    <t>Ⅱ—13</t>
  </si>
  <si>
    <t>Ⅲ—13</t>
  </si>
  <si>
    <t>Ⅳ-13</t>
  </si>
  <si>
    <t>Ⅴ-13</t>
  </si>
  <si>
    <t>Ⅵ-13</t>
  </si>
  <si>
    <t>Ⅶ-13</t>
  </si>
  <si>
    <t>Ⅷ-顺1</t>
    <phoneticPr fontId="3" type="noConversion"/>
  </si>
  <si>
    <t>Ⅸ-通2</t>
  </si>
  <si>
    <t>Ⅹ-昌2</t>
  </si>
  <si>
    <t>Ⅺ-平3</t>
  </si>
  <si>
    <t>十一级</t>
    <phoneticPr fontId="3" type="noConversion"/>
  </si>
  <si>
    <t>Ⅱ—14</t>
  </si>
  <si>
    <t>Ⅲ—14</t>
  </si>
  <si>
    <t>Ⅳ-14</t>
  </si>
  <si>
    <t>Ⅴ-14</t>
  </si>
  <si>
    <t>Ⅵ-14</t>
  </si>
  <si>
    <t>Ⅶ-门1</t>
    <phoneticPr fontId="3" type="noConversion"/>
  </si>
  <si>
    <t>Ⅷ-顺2</t>
  </si>
  <si>
    <t>Ⅸ-通3</t>
  </si>
  <si>
    <t>Ⅹ-昌3</t>
  </si>
  <si>
    <t>Ⅺ-平4</t>
  </si>
  <si>
    <t>十二级</t>
    <phoneticPr fontId="3" type="noConversion"/>
  </si>
  <si>
    <t>Ⅱ—15</t>
  </si>
  <si>
    <t>Ⅲ—15</t>
  </si>
  <si>
    <t>Ⅳ-15</t>
  </si>
  <si>
    <t>Ⅴ-15</t>
  </si>
  <si>
    <t>Ⅵ-15</t>
  </si>
  <si>
    <t>Ⅶ-房1</t>
    <phoneticPr fontId="3" type="noConversion"/>
  </si>
  <si>
    <t>Ⅷ-顺3</t>
    <phoneticPr fontId="3" type="noConversion"/>
  </si>
  <si>
    <t>Ⅸ-顺1</t>
    <phoneticPr fontId="3" type="noConversion"/>
  </si>
  <si>
    <t>Ⅹ-平1</t>
    <phoneticPr fontId="3" type="noConversion"/>
  </si>
  <si>
    <t>Ⅺ-怀1</t>
    <phoneticPr fontId="3" type="noConversion"/>
  </si>
  <si>
    <t>Ⅱ—16</t>
  </si>
  <si>
    <t>Ⅲ—16</t>
  </si>
  <si>
    <t>Ⅳ-16</t>
  </si>
  <si>
    <t>Ⅴ-16</t>
  </si>
  <si>
    <t>Ⅵ-16</t>
  </si>
  <si>
    <t>Ⅶ-房2</t>
  </si>
  <si>
    <t>Ⅷ-顺4</t>
  </si>
  <si>
    <t>Ⅸ-顺2</t>
  </si>
  <si>
    <t>Ⅹ-平2</t>
  </si>
  <si>
    <t>Ⅺ-怀2</t>
  </si>
  <si>
    <t>Ⅱ—17</t>
  </si>
  <si>
    <t>Ⅲ—17</t>
  </si>
  <si>
    <t>Ⅳ-17</t>
  </si>
  <si>
    <t>Ⅴ-17</t>
  </si>
  <si>
    <t>Ⅵ-17</t>
  </si>
  <si>
    <t>Ⅶ-通1</t>
    <phoneticPr fontId="3" type="noConversion"/>
  </si>
  <si>
    <t>Ⅷ-顺5</t>
  </si>
  <si>
    <t>Ⅸ-顺3</t>
  </si>
  <si>
    <t>Ⅹ-怀1</t>
    <phoneticPr fontId="3" type="noConversion"/>
  </si>
  <si>
    <t>Ⅺ-密1</t>
    <phoneticPr fontId="3" type="noConversion"/>
  </si>
  <si>
    <t>Ⅱ—18</t>
  </si>
  <si>
    <t>Ⅲ—18</t>
  </si>
  <si>
    <t>Ⅳ-18</t>
  </si>
  <si>
    <t>Ⅴ-18</t>
  </si>
  <si>
    <t>Ⅵ-18</t>
  </si>
  <si>
    <t>Ⅶ-顺1</t>
    <phoneticPr fontId="3" type="noConversion"/>
  </si>
  <si>
    <t>Ⅷ-顺6</t>
  </si>
  <si>
    <t>Ⅸ-顺4</t>
  </si>
  <si>
    <t>Ⅹ-怀2</t>
  </si>
  <si>
    <t>Ⅺ-密2</t>
  </si>
  <si>
    <t>Ⅱ—19</t>
  </si>
  <si>
    <t>Ⅲ—19</t>
  </si>
  <si>
    <t>Ⅳ-19</t>
  </si>
  <si>
    <t>Ⅴ-19</t>
  </si>
  <si>
    <t>Ⅵ-19</t>
  </si>
  <si>
    <t>Ⅶ-顺2</t>
  </si>
  <si>
    <t>Ⅷ-顺7</t>
  </si>
  <si>
    <t>Ⅸ-兴1</t>
    <phoneticPr fontId="3" type="noConversion"/>
  </si>
  <si>
    <t>Ⅹ-怀3</t>
  </si>
  <si>
    <t>Ⅺ-密3</t>
  </si>
  <si>
    <t>Ⅲ—20</t>
  </si>
  <si>
    <t>Ⅳ-20</t>
  </si>
  <si>
    <t>Ⅴ-20</t>
  </si>
  <si>
    <t>Ⅵ-20</t>
  </si>
  <si>
    <t>Ⅶ-兴1</t>
    <phoneticPr fontId="3" type="noConversion"/>
  </si>
  <si>
    <t>Ⅷ-兴1</t>
    <phoneticPr fontId="3" type="noConversion"/>
  </si>
  <si>
    <t>Ⅸ-兴2</t>
  </si>
  <si>
    <t>Ⅹ-密1</t>
    <phoneticPr fontId="3" type="noConversion"/>
  </si>
  <si>
    <t>Ⅺ-延1</t>
    <phoneticPr fontId="3" type="noConversion"/>
  </si>
  <si>
    <t>Ⅱ—13</t>
    <phoneticPr fontId="3" type="noConversion"/>
  </si>
  <si>
    <t>Ⅳ-21</t>
  </si>
  <si>
    <t>Ⅴ-21</t>
  </si>
  <si>
    <t>Ⅵ-21</t>
  </si>
  <si>
    <t>Ⅶ-兴2</t>
  </si>
  <si>
    <t>Ⅷ-兴2</t>
  </si>
  <si>
    <t>Ⅸ-兴3</t>
  </si>
  <si>
    <t>Ⅹ-延1</t>
    <phoneticPr fontId="3" type="noConversion"/>
  </si>
  <si>
    <t>Ⅺ-延2</t>
  </si>
  <si>
    <t>Ⅳ-22</t>
  </si>
  <si>
    <t>Ⅴ-22</t>
  </si>
  <si>
    <t>Ⅵ-22</t>
  </si>
  <si>
    <t>Ⅶ-兴3</t>
  </si>
  <si>
    <t>Ⅷ-昌1</t>
    <phoneticPr fontId="3" type="noConversion"/>
  </si>
  <si>
    <t>Ⅸ-兴4</t>
  </si>
  <si>
    <t>Ⅹ-延2</t>
  </si>
  <si>
    <t>Ⅳ-23</t>
  </si>
  <si>
    <t>Ⅴ-23</t>
  </si>
  <si>
    <t>Ⅵ-23</t>
  </si>
  <si>
    <t>Ⅶ-昌1</t>
    <phoneticPr fontId="3" type="noConversion"/>
  </si>
  <si>
    <t>Ⅷ-昌2</t>
  </si>
  <si>
    <t>Ⅸ-兴5</t>
  </si>
  <si>
    <t>Ⅹ-亦1</t>
    <phoneticPr fontId="3" type="noConversion"/>
  </si>
  <si>
    <t>Ⅳ-电子城东</t>
    <phoneticPr fontId="3" type="noConversion"/>
  </si>
  <si>
    <t>Ⅴ-24</t>
  </si>
  <si>
    <t>Ⅵ-24</t>
  </si>
  <si>
    <t>Ⅶ-昌2</t>
  </si>
  <si>
    <t>Ⅷ-昌3</t>
  </si>
  <si>
    <t>Ⅸ-昌1</t>
    <phoneticPr fontId="3" type="noConversion"/>
  </si>
  <si>
    <t>Ⅹ-马坊工业园</t>
    <phoneticPr fontId="3" type="noConversion"/>
  </si>
  <si>
    <t>Ⅳ-电子城西</t>
    <phoneticPr fontId="3" type="noConversion"/>
  </si>
  <si>
    <t>Ⅴ-25</t>
  </si>
  <si>
    <t>Ⅵ-通1</t>
    <phoneticPr fontId="3" type="noConversion"/>
  </si>
  <si>
    <t>Ⅶ-昌3</t>
  </si>
  <si>
    <t>Ⅷ-昌4</t>
  </si>
  <si>
    <t>Ⅸ-昌2</t>
  </si>
  <si>
    <t>Ⅹ-延庆开发区</t>
    <phoneticPr fontId="3" type="noConversion"/>
  </si>
  <si>
    <t>Ⅳ-上地核心</t>
    <phoneticPr fontId="3" type="noConversion"/>
  </si>
  <si>
    <t>Ⅴ-26</t>
  </si>
  <si>
    <t>Ⅵ-通2</t>
  </si>
  <si>
    <t>Ⅶ-昌4</t>
  </si>
  <si>
    <t>Ⅷ-平1</t>
    <phoneticPr fontId="3" type="noConversion"/>
  </si>
  <si>
    <t>Ⅸ-昌3</t>
  </si>
  <si>
    <t>Ⅹ-八达岭开发区</t>
    <phoneticPr fontId="3" type="noConversion"/>
  </si>
  <si>
    <t>Ⅳ-丰台园东</t>
    <phoneticPr fontId="3" type="noConversion"/>
  </si>
  <si>
    <t>Ⅴ-电子城北</t>
    <phoneticPr fontId="3" type="noConversion"/>
  </si>
  <si>
    <t>Ⅵ-通3</t>
  </si>
  <si>
    <t>Ⅶ-昌5</t>
  </si>
  <si>
    <t>Ⅷ-怀1</t>
    <phoneticPr fontId="3" type="noConversion"/>
  </si>
  <si>
    <t>Ⅸ-昌4</t>
  </si>
  <si>
    <t>三级</t>
  </si>
  <si>
    <t>Ⅲ—01</t>
    <phoneticPr fontId="3" type="noConversion"/>
  </si>
  <si>
    <t>Ⅴ-永丰产业基地</t>
    <phoneticPr fontId="3" type="noConversion"/>
  </si>
  <si>
    <t>Ⅵ-通4</t>
  </si>
  <si>
    <t>Ⅶ-亦1</t>
    <phoneticPr fontId="3" type="noConversion"/>
  </si>
  <si>
    <t>Ⅷ-密1</t>
    <phoneticPr fontId="3" type="noConversion"/>
  </si>
  <si>
    <t>Ⅸ-昌5</t>
  </si>
  <si>
    <t>Ⅴ-航天城</t>
    <phoneticPr fontId="3" type="noConversion"/>
  </si>
  <si>
    <t>Ⅵ-顺1</t>
    <phoneticPr fontId="3" type="noConversion"/>
  </si>
  <si>
    <t>Ⅶ-国际教育园</t>
    <phoneticPr fontId="3" type="noConversion"/>
  </si>
  <si>
    <t>Ⅸ-昌南</t>
    <phoneticPr fontId="3" type="noConversion"/>
  </si>
  <si>
    <r>
      <t>Ⅴ-西北旺</t>
    </r>
    <r>
      <rPr>
        <sz val="10"/>
        <color indexed="8"/>
        <rFont val="宋体"/>
        <family val="3"/>
        <charset val="134"/>
      </rPr>
      <t>Ⅰ</t>
    </r>
    <phoneticPr fontId="3" type="noConversion"/>
  </si>
  <si>
    <t>Ⅵ-兴1</t>
    <phoneticPr fontId="3" type="noConversion"/>
  </si>
  <si>
    <t>Ⅶ-农林园</t>
    <phoneticPr fontId="3" type="noConversion"/>
  </si>
  <si>
    <t>Ⅷ-亦1</t>
    <phoneticPr fontId="3" type="noConversion"/>
  </si>
  <si>
    <t>Ⅸ-平1</t>
    <phoneticPr fontId="3" type="noConversion"/>
  </si>
  <si>
    <r>
      <t>Ⅴ-西北旺</t>
    </r>
    <r>
      <rPr>
        <sz val="10"/>
        <color indexed="8"/>
        <rFont val="宋体"/>
        <family val="3"/>
        <charset val="134"/>
      </rPr>
      <t>Ⅱ</t>
    </r>
    <phoneticPr fontId="3" type="noConversion"/>
  </si>
  <si>
    <t>Ⅵ-昌1</t>
    <phoneticPr fontId="3" type="noConversion"/>
  </si>
  <si>
    <t>Ⅶ-上庄科技</t>
    <phoneticPr fontId="3" type="noConversion"/>
  </si>
  <si>
    <t>Ⅷ-亦2</t>
  </si>
  <si>
    <t>Ⅸ-怀1</t>
    <phoneticPr fontId="3" type="noConversion"/>
  </si>
  <si>
    <t>Ⅴ-石景山园南区</t>
    <phoneticPr fontId="3" type="noConversion"/>
  </si>
  <si>
    <t>Ⅵ-昌2</t>
  </si>
  <si>
    <t>Ⅶ-文化教育基地</t>
    <phoneticPr fontId="3" type="noConversion"/>
  </si>
  <si>
    <t>Ⅷ-良乡开发区A</t>
    <phoneticPr fontId="3" type="noConversion"/>
  </si>
  <si>
    <t>Ⅸ-密1</t>
    <phoneticPr fontId="3" type="noConversion"/>
  </si>
  <si>
    <r>
      <t>Ⅴ-石景山园北</t>
    </r>
    <r>
      <rPr>
        <sz val="10"/>
        <color indexed="8"/>
        <rFont val="宋体"/>
        <family val="3"/>
        <charset val="134"/>
      </rPr>
      <t>Ⅰ</t>
    </r>
    <phoneticPr fontId="3" type="noConversion"/>
  </si>
  <si>
    <t>Ⅵ-昌3</t>
  </si>
  <si>
    <r>
      <t>Ⅶ-苏家坨科技</t>
    </r>
    <r>
      <rPr>
        <sz val="10"/>
        <color indexed="8"/>
        <rFont val="宋体"/>
        <family val="3"/>
        <charset val="134"/>
      </rPr>
      <t>Ⅰ</t>
    </r>
    <phoneticPr fontId="3" type="noConversion"/>
  </si>
  <si>
    <t>Ⅷ-良乡开发区B</t>
    <phoneticPr fontId="3" type="noConversion"/>
  </si>
  <si>
    <t>Ⅸ-延1</t>
    <phoneticPr fontId="3" type="noConversion"/>
  </si>
  <si>
    <r>
      <t>Ⅴ-石景山园北</t>
    </r>
    <r>
      <rPr>
        <sz val="10"/>
        <color indexed="8"/>
        <rFont val="宋体"/>
        <family val="3"/>
        <charset val="134"/>
      </rPr>
      <t>Ⅱ</t>
    </r>
    <phoneticPr fontId="3" type="noConversion"/>
  </si>
  <si>
    <t>Ⅵ-昌4</t>
  </si>
  <si>
    <r>
      <t>Ⅶ-苏家坨科技</t>
    </r>
    <r>
      <rPr>
        <sz val="10"/>
        <color indexed="8"/>
        <rFont val="宋体"/>
        <family val="3"/>
        <charset val="134"/>
      </rPr>
      <t>Ⅱ</t>
    </r>
    <phoneticPr fontId="3" type="noConversion"/>
  </si>
  <si>
    <t>Ⅷ-良乡开发区C</t>
    <phoneticPr fontId="3" type="noConversion"/>
  </si>
  <si>
    <t>Ⅸ-亦1</t>
    <phoneticPr fontId="3" type="noConversion"/>
  </si>
  <si>
    <t>Ⅵ-亦1</t>
    <phoneticPr fontId="3" type="noConversion"/>
  </si>
  <si>
    <r>
      <t>Ⅶ-丰台园西</t>
    </r>
    <r>
      <rPr>
        <sz val="10"/>
        <color indexed="8"/>
        <rFont val="宋体"/>
        <family val="3"/>
        <charset val="134"/>
      </rPr>
      <t>Ⅰ</t>
    </r>
    <phoneticPr fontId="3" type="noConversion"/>
  </si>
  <si>
    <t>Ⅷ-通州环保园</t>
    <phoneticPr fontId="3" type="noConversion"/>
  </si>
  <si>
    <t>Ⅸ-房山工业园东</t>
    <phoneticPr fontId="3" type="noConversion"/>
  </si>
  <si>
    <t>Ⅵ-创新园</t>
    <phoneticPr fontId="3" type="noConversion"/>
  </si>
  <si>
    <r>
      <t>Ⅶ-丰台园西</t>
    </r>
    <r>
      <rPr>
        <sz val="10"/>
        <color indexed="8"/>
        <rFont val="宋体"/>
        <family val="3"/>
        <charset val="134"/>
      </rPr>
      <t>Ⅱ</t>
    </r>
    <phoneticPr fontId="3" type="noConversion"/>
  </si>
  <si>
    <t>Ⅷ-空港北区A</t>
    <phoneticPr fontId="3" type="noConversion"/>
  </si>
  <si>
    <t>Ⅸ-房山工业园西</t>
    <phoneticPr fontId="3" type="noConversion"/>
  </si>
  <si>
    <t>Ⅵ-海淀环保园</t>
    <phoneticPr fontId="3" type="noConversion"/>
  </si>
  <si>
    <t>Ⅶ-石龙开发区</t>
    <phoneticPr fontId="3" type="noConversion"/>
  </si>
  <si>
    <t>Ⅷ-空港北区B</t>
    <phoneticPr fontId="3" type="noConversion"/>
  </si>
  <si>
    <t>Ⅸ-通州开发区东</t>
    <phoneticPr fontId="3" type="noConversion"/>
  </si>
  <si>
    <r>
      <t>Ⅵ-温泉科技</t>
    </r>
    <r>
      <rPr>
        <sz val="10"/>
        <color indexed="8"/>
        <rFont val="宋体"/>
        <family val="3"/>
        <charset val="134"/>
      </rPr>
      <t>Ⅰ</t>
    </r>
    <phoneticPr fontId="3" type="noConversion"/>
  </si>
  <si>
    <t>Ⅶ-光机电</t>
    <phoneticPr fontId="3" type="noConversion"/>
  </si>
  <si>
    <t>Ⅷ-生物医药基地</t>
    <phoneticPr fontId="3" type="noConversion"/>
  </si>
  <si>
    <t>Ⅸ-永乐开发区</t>
    <phoneticPr fontId="3" type="noConversion"/>
  </si>
  <si>
    <r>
      <t>Ⅵ-温泉科技</t>
    </r>
    <r>
      <rPr>
        <sz val="10"/>
        <color indexed="8"/>
        <rFont val="宋体"/>
        <family val="3"/>
        <charset val="134"/>
      </rPr>
      <t>Ⅱ</t>
    </r>
    <phoneticPr fontId="3" type="noConversion"/>
  </si>
  <si>
    <t>Ⅶ-通州开发区西</t>
    <phoneticPr fontId="3" type="noConversion"/>
  </si>
  <si>
    <t>Ⅷ-小汤山工业园</t>
    <phoneticPr fontId="3" type="noConversion"/>
  </si>
  <si>
    <t>Ⅸ-采育开发区</t>
    <phoneticPr fontId="3" type="noConversion"/>
  </si>
  <si>
    <r>
      <t>Ⅵ-温泉科技</t>
    </r>
    <r>
      <rPr>
        <sz val="10"/>
        <color indexed="8"/>
        <rFont val="宋体"/>
        <family val="3"/>
        <charset val="134"/>
      </rPr>
      <t>Ⅲ</t>
    </r>
    <phoneticPr fontId="3" type="noConversion"/>
  </si>
  <si>
    <t>Ⅶ-林河开发区</t>
    <phoneticPr fontId="3" type="noConversion"/>
  </si>
  <si>
    <t>Ⅸ-兴谷开发区A</t>
    <phoneticPr fontId="3" type="noConversion"/>
  </si>
  <si>
    <t>Ⅵ-天竺保税区南</t>
    <phoneticPr fontId="3" type="noConversion"/>
  </si>
  <si>
    <t>Ⅶ-大兴开发区</t>
    <phoneticPr fontId="3" type="noConversion"/>
  </si>
  <si>
    <t>Ⅸ-兴谷开发区B</t>
    <phoneticPr fontId="3" type="noConversion"/>
  </si>
  <si>
    <t>Ⅵ-天竺保税区北1</t>
    <phoneticPr fontId="3" type="noConversion"/>
  </si>
  <si>
    <r>
      <t>Ⅶ-昌平园南</t>
    </r>
    <r>
      <rPr>
        <sz val="10"/>
        <color indexed="8"/>
        <rFont val="宋体"/>
        <family val="3"/>
        <charset val="134"/>
      </rPr>
      <t>Ⅰ</t>
    </r>
    <phoneticPr fontId="3" type="noConversion"/>
  </si>
  <si>
    <t>Ⅸ-雁栖开发区A</t>
    <phoneticPr fontId="3" type="noConversion"/>
  </si>
  <si>
    <t>Ⅵ-天竺保税区北2</t>
  </si>
  <si>
    <r>
      <t>Ⅶ-昌平园南</t>
    </r>
    <r>
      <rPr>
        <sz val="10"/>
        <color indexed="8"/>
        <rFont val="宋体"/>
        <family val="3"/>
        <charset val="134"/>
      </rPr>
      <t>Ⅱ</t>
    </r>
    <phoneticPr fontId="3" type="noConversion"/>
  </si>
  <si>
    <t>Ⅸ-雁栖开发区B</t>
    <phoneticPr fontId="3" type="noConversion"/>
  </si>
  <si>
    <t>Ⅵ-空港A</t>
    <phoneticPr fontId="3" type="noConversion"/>
  </si>
  <si>
    <r>
      <t>Ⅶ-昌平园北</t>
    </r>
    <r>
      <rPr>
        <sz val="10"/>
        <color indexed="8"/>
        <rFont val="宋体"/>
        <family val="3"/>
        <charset val="134"/>
      </rPr>
      <t>Ⅰ</t>
    </r>
    <phoneticPr fontId="3" type="noConversion"/>
  </si>
  <si>
    <t>Ⅸ-雁栖开发区C</t>
    <phoneticPr fontId="3" type="noConversion"/>
  </si>
  <si>
    <t>Ⅵ-空港B</t>
    <phoneticPr fontId="3" type="noConversion"/>
  </si>
  <si>
    <r>
      <t>Ⅶ-昌平园北</t>
    </r>
    <r>
      <rPr>
        <sz val="10"/>
        <color indexed="8"/>
        <rFont val="宋体"/>
        <family val="3"/>
        <charset val="134"/>
      </rPr>
      <t>Ⅱ</t>
    </r>
    <phoneticPr fontId="3" type="noConversion"/>
  </si>
  <si>
    <t>Ⅸ-密云开发区</t>
    <phoneticPr fontId="3" type="noConversion"/>
  </si>
  <si>
    <t>Ⅵ-生命科学园</t>
    <phoneticPr fontId="3" type="noConversion"/>
  </si>
  <si>
    <r>
      <t>Ⅶ-昌平园北</t>
    </r>
    <r>
      <rPr>
        <sz val="10"/>
        <color indexed="8"/>
        <rFont val="宋体"/>
        <family val="3"/>
        <charset val="134"/>
      </rPr>
      <t>Ⅲ</t>
    </r>
    <phoneticPr fontId="3" type="noConversion"/>
  </si>
  <si>
    <t>Ⅵ-昌三一光电</t>
    <phoneticPr fontId="3" type="noConversion"/>
  </si>
  <si>
    <t>Ⅶ-BDA东</t>
    <phoneticPr fontId="3" type="noConversion"/>
  </si>
  <si>
    <t>Ⅳ-01</t>
    <phoneticPr fontId="3" type="noConversion"/>
  </si>
  <si>
    <t>Ⅵ-BDA核心</t>
    <phoneticPr fontId="3" type="noConversion"/>
  </si>
  <si>
    <t>Ⅶ-BDA西</t>
    <phoneticPr fontId="3" type="noConversion"/>
  </si>
  <si>
    <t>五级</t>
  </si>
  <si>
    <t>Ⅴ-01</t>
    <phoneticPr fontId="3" type="noConversion"/>
  </si>
  <si>
    <t>Ⅵ-01</t>
    <phoneticPr fontId="3" type="noConversion"/>
  </si>
  <si>
    <t>七级</t>
  </si>
  <si>
    <t>Ⅶ-01</t>
    <phoneticPr fontId="3" type="noConversion"/>
  </si>
  <si>
    <t>八级</t>
  </si>
  <si>
    <t>Ⅷ-01</t>
    <phoneticPr fontId="3" type="noConversion"/>
  </si>
  <si>
    <t>九级</t>
  </si>
  <si>
    <t>Ⅸ-01</t>
    <phoneticPr fontId="3" type="noConversion"/>
  </si>
  <si>
    <t>Ⅸ-门1</t>
    <phoneticPr fontId="3" type="noConversion"/>
  </si>
  <si>
    <t>Ⅸ-门2</t>
    <phoneticPr fontId="3" type="noConversion"/>
  </si>
  <si>
    <t>十级</t>
  </si>
  <si>
    <t>Ⅹ-01</t>
    <phoneticPr fontId="3" type="noConversion"/>
  </si>
  <si>
    <t>Ⅹ-门1</t>
    <phoneticPr fontId="3" type="noConversion"/>
  </si>
  <si>
    <t>Ⅹ-门斋</t>
    <phoneticPr fontId="3" type="noConversion"/>
  </si>
  <si>
    <t>Ⅹ-房1</t>
    <phoneticPr fontId="3" type="noConversion"/>
  </si>
  <si>
    <t>Ⅺ-门1</t>
    <phoneticPr fontId="3" type="noConversion"/>
  </si>
  <si>
    <t>Ⅺ-门斋</t>
    <phoneticPr fontId="3" type="noConversion"/>
  </si>
  <si>
    <t>Ⅺ-房1</t>
    <phoneticPr fontId="3" type="noConversion"/>
  </si>
  <si>
    <t>Ⅻ-门1</t>
    <phoneticPr fontId="3" type="noConversion"/>
  </si>
  <si>
    <t>Ⅻ-房1</t>
    <phoneticPr fontId="3" type="noConversion"/>
  </si>
  <si>
    <t>Ⅻ-昌1</t>
    <phoneticPr fontId="3" type="noConversion"/>
  </si>
  <si>
    <t>Ⅻ-平1</t>
    <phoneticPr fontId="3" type="noConversion"/>
  </si>
  <si>
    <t>土地级别</t>
    <phoneticPr fontId="3" type="noConversion"/>
  </si>
  <si>
    <t>通路</t>
    <phoneticPr fontId="3" type="noConversion"/>
  </si>
  <si>
    <t>通电</t>
    <phoneticPr fontId="3" type="noConversion"/>
  </si>
  <si>
    <t>通讯</t>
    <phoneticPr fontId="3" type="noConversion"/>
  </si>
  <si>
    <t>通上水</t>
    <phoneticPr fontId="3" type="noConversion"/>
  </si>
  <si>
    <t>通下水</t>
    <phoneticPr fontId="3" type="noConversion"/>
  </si>
  <si>
    <t>通热</t>
    <phoneticPr fontId="3" type="noConversion"/>
  </si>
  <si>
    <t>燃气</t>
    <phoneticPr fontId="3" type="noConversion"/>
  </si>
  <si>
    <t>平整</t>
    <phoneticPr fontId="3" type="noConversion"/>
  </si>
  <si>
    <t>——</t>
    <phoneticPr fontId="3" type="noConversion"/>
  </si>
  <si>
    <t>北京市基准地价用途修正系数表</t>
    <phoneticPr fontId="3" type="noConversion"/>
  </si>
  <si>
    <t>用途</t>
    <phoneticPr fontId="3" type="noConversion"/>
  </si>
  <si>
    <t>用途类别划分</t>
    <phoneticPr fontId="3" type="noConversion"/>
  </si>
  <si>
    <t>用途修正  系数</t>
    <phoneticPr fontId="3" type="noConversion"/>
  </si>
  <si>
    <t>比准类别</t>
    <phoneticPr fontId="3" type="noConversion"/>
  </si>
  <si>
    <t>批发零售用地</t>
    <phoneticPr fontId="3" type="noConversion"/>
  </si>
  <si>
    <t>（指主要用于商品批发、零售的用地，包括商场、商店、超市、各类批发（零售）市场、加油站等及其附属的小型仓库、车间、工场等）</t>
    <phoneticPr fontId="3" type="noConversion"/>
  </si>
  <si>
    <t>其他类别</t>
    <phoneticPr fontId="3" type="noConversion"/>
  </si>
  <si>
    <t>住宿餐饮用地</t>
    <phoneticPr fontId="3" type="noConversion"/>
  </si>
  <si>
    <t>（指主要用于提供住宿、餐饮服务的用地，包括宾馆、酒店、饭店、旅馆、招待所、度假村、餐厅、酒吧等）</t>
    <phoneticPr fontId="3" type="noConversion"/>
  </si>
  <si>
    <t>商务金融用地（商业类）</t>
    <phoneticPr fontId="3" type="noConversion"/>
  </si>
  <si>
    <t>（指金融、证券、通讯、保险等营业网点用地）</t>
    <phoneticPr fontId="3" type="noConversion"/>
  </si>
  <si>
    <t>其他商服用地</t>
    <phoneticPr fontId="3" type="noConversion"/>
  </si>
  <si>
    <t>（指上述用地以外的其他商业、服务业用地，包括洗车场、洗染店、废旧物资回收站、维修网点、照相馆、理发美容店、洗浴场所、俱乐部、康乐中心、歌舞厅、赛车场、影视基地、影剧院、邮政、电信营业网点等）</t>
    <phoneticPr fontId="3" type="noConversion"/>
  </si>
  <si>
    <t>殡葬用地等特殊用地</t>
    <phoneticPr fontId="3" type="noConversion"/>
  </si>
  <si>
    <t>商务金融用地（办公类）</t>
    <phoneticPr fontId="3" type="noConversion"/>
  </si>
  <si>
    <t>（指企业、服务业等办公用地，以及经营性的办公场所用地，包括写字楼、商业性办公楼和企业厂区外独立的办公楼）</t>
    <phoneticPr fontId="3" type="noConversion"/>
  </si>
  <si>
    <t>其他商服用地（停车场、停车楼等用地）</t>
    <phoneticPr fontId="3" type="noConversion"/>
  </si>
  <si>
    <t>其他商服用地（指展览馆、会展中心等用地）</t>
    <phoneticPr fontId="3" type="noConversion"/>
  </si>
  <si>
    <t>机场航站楼用地</t>
    <phoneticPr fontId="3" type="noConversion"/>
  </si>
  <si>
    <t>科教用地</t>
    <phoneticPr fontId="3" type="noConversion"/>
  </si>
  <si>
    <t>（指用于各类教育，独立的科研、勘测、设计、技术推广、科普等的用地）</t>
    <phoneticPr fontId="3" type="noConversion"/>
  </si>
  <si>
    <t>新闻出版用地</t>
    <phoneticPr fontId="3" type="noConversion"/>
  </si>
  <si>
    <t>（指用于广播电台、电视台、电影厂、报社、杂志社、通讯社、出版社等的用地）、</t>
    <phoneticPr fontId="3" type="noConversion"/>
  </si>
  <si>
    <t>机关团体用地</t>
    <phoneticPr fontId="3" type="noConversion"/>
  </si>
  <si>
    <t>（指用于党政机关、社会团体、群众自治组织等的用地）</t>
    <phoneticPr fontId="3" type="noConversion"/>
  </si>
  <si>
    <t>医卫慈善用地</t>
    <phoneticPr fontId="3" type="noConversion"/>
  </si>
  <si>
    <t>（指用于医疗保健、卫生防疫、急救康复、医检药检、福利救助、养老设施等的用地）</t>
    <phoneticPr fontId="3" type="noConversion"/>
  </si>
  <si>
    <t>文体娱乐用地</t>
    <phoneticPr fontId="3" type="noConversion"/>
  </si>
  <si>
    <t>（指各类文化、体育及公共广场用地）</t>
    <phoneticPr fontId="3" type="noConversion"/>
  </si>
  <si>
    <t>产业用地</t>
    <phoneticPr fontId="3" type="noConversion"/>
  </si>
  <si>
    <t>（指高新技术产业研发与展示中心等产业用地）</t>
    <phoneticPr fontId="3" type="noConversion"/>
  </si>
  <si>
    <t>居住用地（指二类居住用地）</t>
    <phoneticPr fontId="3" type="noConversion"/>
  </si>
  <si>
    <t>（指二类居住用地（地上容积率≥１。）</t>
    <phoneticPr fontId="3" type="noConversion"/>
  </si>
  <si>
    <t>居住用地（指一类居住用地）</t>
    <phoneticPr fontId="3" type="noConversion"/>
  </si>
  <si>
    <t>（指一类居住用地（地上容积率＜１。）</t>
    <phoneticPr fontId="3" type="noConversion"/>
  </si>
  <si>
    <t>工业用地</t>
    <phoneticPr fontId="3" type="noConversion"/>
  </si>
  <si>
    <t>（指工业生产及直接为工业生产服务的附属设施用地）</t>
    <phoneticPr fontId="3" type="noConversion"/>
  </si>
  <si>
    <t>采矿用地</t>
    <phoneticPr fontId="3" type="noConversion"/>
  </si>
  <si>
    <t>（指采矿、采石、采砂（沙）场，盐田，砖瓦窑等地面生产设施及尾矿堆放地）</t>
    <phoneticPr fontId="3" type="noConversion"/>
  </si>
  <si>
    <t>仓储用地</t>
    <phoneticPr fontId="3" type="noConversion"/>
  </si>
  <si>
    <t>（指用于物资储备、中转的物流仓储场所等用地）</t>
    <phoneticPr fontId="3" type="noConversion"/>
  </si>
  <si>
    <t>公共设施用地</t>
    <phoneticPr fontId="3" type="noConversion"/>
  </si>
  <si>
    <t>（指用于城乡基础设施的用地，包括给排水、供电、供热、供气、邮政、电信、消防、环卫、公用设施维修等用地。）</t>
    <phoneticPr fontId="3" type="noConversion"/>
  </si>
  <si>
    <t>交通用地</t>
    <phoneticPr fontId="3" type="noConversion"/>
  </si>
  <si>
    <t>（指铁路用地、公路用地、机场用地、管道运输用地等，包括铁路、公路、机场、管道运输的地面线路、站场等用地以及城市道路、车站及其相应附属设施用地）</t>
    <phoneticPr fontId="3" type="noConversion"/>
  </si>
  <si>
    <t>备注：本用途修正系数仅适用于地上部分各类用途的修正，地下空间部分不适用上表中的用途修正，直接使用地下空间修正</t>
    <phoneticPr fontId="3" type="noConversion"/>
  </si>
  <si>
    <t>地下</t>
    <phoneticPr fontId="3" type="noConversion"/>
  </si>
  <si>
    <t>地下仓储</t>
    <phoneticPr fontId="3" type="noConversion"/>
  </si>
  <si>
    <t>车库</t>
    <phoneticPr fontId="3" type="noConversion"/>
  </si>
  <si>
    <t>—</t>
    <phoneticPr fontId="3" type="noConversion"/>
  </si>
  <si>
    <t>北京市商业路线价加价幅度表</t>
    <phoneticPr fontId="3" type="noConversion"/>
  </si>
  <si>
    <t>序号</t>
    <phoneticPr fontId="3" type="noConversion"/>
  </si>
  <si>
    <t>区县</t>
    <phoneticPr fontId="3" type="noConversion"/>
  </si>
  <si>
    <t>商业街名称</t>
    <phoneticPr fontId="3" type="noConversion"/>
  </si>
  <si>
    <t>起止点</t>
    <phoneticPr fontId="3" type="noConversion"/>
  </si>
  <si>
    <t>加价幅度</t>
    <phoneticPr fontId="3" type="noConversion"/>
  </si>
  <si>
    <t>标准深度（m）</t>
    <phoneticPr fontId="3" type="noConversion"/>
  </si>
  <si>
    <t>东城区</t>
    <phoneticPr fontId="3" type="noConversion"/>
  </si>
  <si>
    <t>东长安街</t>
    <phoneticPr fontId="3" type="noConversion"/>
  </si>
  <si>
    <t>天安门——东单</t>
    <phoneticPr fontId="3" type="noConversion"/>
  </si>
  <si>
    <t>建国门内大街</t>
    <phoneticPr fontId="3" type="noConversion"/>
  </si>
  <si>
    <t>建国门——东单</t>
    <phoneticPr fontId="3" type="noConversion"/>
  </si>
  <si>
    <t>王府井商业街</t>
    <phoneticPr fontId="3" type="noConversion"/>
  </si>
  <si>
    <t>东长安街——五四大街</t>
    <phoneticPr fontId="3" type="noConversion"/>
  </si>
  <si>
    <t>东单北大街</t>
    <phoneticPr fontId="3" type="noConversion"/>
  </si>
  <si>
    <t>金鱼胡同——东单路口</t>
    <phoneticPr fontId="3" type="noConversion"/>
  </si>
  <si>
    <t>东四南大街</t>
    <phoneticPr fontId="3" type="noConversion"/>
  </si>
  <si>
    <t>东四路口——金鱼胡同</t>
    <phoneticPr fontId="3" type="noConversion"/>
  </si>
  <si>
    <t>东直门内大街      （簋街）</t>
    <phoneticPr fontId="3" type="noConversion"/>
  </si>
  <si>
    <t>东直门桥——北新桥</t>
    <phoneticPr fontId="3" type="noConversion"/>
  </si>
  <si>
    <t>北京站东街</t>
    <phoneticPr fontId="3" type="noConversion"/>
  </si>
  <si>
    <t>建国门南大街——北京站</t>
    <phoneticPr fontId="3" type="noConversion"/>
  </si>
  <si>
    <t>北京站街</t>
    <phoneticPr fontId="3" type="noConversion"/>
  </si>
  <si>
    <t>建国门内大街——北京站</t>
    <phoneticPr fontId="3" type="noConversion"/>
  </si>
  <si>
    <t>东四十条</t>
    <phoneticPr fontId="3" type="noConversion"/>
  </si>
  <si>
    <t>东四十条桥——东四北大街</t>
    <phoneticPr fontId="3" type="noConversion"/>
  </si>
  <si>
    <t>张自忠路</t>
    <phoneticPr fontId="3" type="noConversion"/>
  </si>
  <si>
    <t>东四北大街——交道口南大街</t>
    <phoneticPr fontId="3" type="noConversion"/>
  </si>
  <si>
    <t>地安门东大街</t>
    <phoneticPr fontId="3" type="noConversion"/>
  </si>
  <si>
    <t>交道口南大街——地安门外大街</t>
    <phoneticPr fontId="3" type="noConversion"/>
  </si>
  <si>
    <t>前门商业街</t>
    <phoneticPr fontId="3" type="noConversion"/>
  </si>
  <si>
    <t>前门箭楼——珠市口</t>
    <phoneticPr fontId="3" type="noConversion"/>
  </si>
  <si>
    <t>崇外商业街</t>
    <phoneticPr fontId="3" type="noConversion"/>
  </si>
  <si>
    <t>崇文门——磁器口</t>
    <phoneticPr fontId="3" type="noConversion"/>
  </si>
  <si>
    <t>广渠门内大街</t>
    <phoneticPr fontId="3" type="noConversion"/>
  </si>
  <si>
    <t>广渠门——磁器口</t>
    <phoneticPr fontId="3" type="noConversion"/>
  </si>
  <si>
    <t>珠市口东大街</t>
    <phoneticPr fontId="3" type="noConversion"/>
  </si>
  <si>
    <t>磁器口——珠市口</t>
    <phoneticPr fontId="3" type="noConversion"/>
  </si>
  <si>
    <t>西城区</t>
    <phoneticPr fontId="3" type="noConversion"/>
  </si>
  <si>
    <t>西长安街</t>
    <phoneticPr fontId="3" type="noConversion"/>
  </si>
  <si>
    <t>天安门——西单</t>
    <phoneticPr fontId="3" type="noConversion"/>
  </si>
  <si>
    <t>复兴门内大街</t>
    <phoneticPr fontId="3" type="noConversion"/>
  </si>
  <si>
    <t>西单——复兴门</t>
    <phoneticPr fontId="3" type="noConversion"/>
  </si>
  <si>
    <t>复兴门外大街</t>
    <phoneticPr fontId="3" type="noConversion"/>
  </si>
  <si>
    <t>复兴门——木樨地</t>
    <phoneticPr fontId="3" type="noConversion"/>
  </si>
  <si>
    <t>西单商业街</t>
    <phoneticPr fontId="3" type="noConversion"/>
  </si>
  <si>
    <t>西单——辟才胡同</t>
    <phoneticPr fontId="3" type="noConversion"/>
  </si>
  <si>
    <t>西四商业街</t>
    <phoneticPr fontId="3" type="noConversion"/>
  </si>
  <si>
    <t>辟才胡同——平安里</t>
    <phoneticPr fontId="3" type="noConversion"/>
  </si>
  <si>
    <t>新街口商业街</t>
    <phoneticPr fontId="3" type="noConversion"/>
  </si>
  <si>
    <t>平安里——积水潭桥</t>
    <phoneticPr fontId="3" type="noConversion"/>
  </si>
  <si>
    <t>双旗杆西街       （福利特商业街）</t>
    <phoneticPr fontId="3" type="noConversion"/>
  </si>
  <si>
    <t>北三环中路——黄寺大街</t>
    <phoneticPr fontId="3" type="noConversion"/>
  </si>
  <si>
    <t>地安门西大街</t>
    <phoneticPr fontId="3" type="noConversion"/>
  </si>
  <si>
    <t>地安门外大街——新街口南大街</t>
    <phoneticPr fontId="3" type="noConversion"/>
  </si>
  <si>
    <t>平安里西大街</t>
    <phoneticPr fontId="3" type="noConversion"/>
  </si>
  <si>
    <t>新街口南大街——车公庄</t>
    <phoneticPr fontId="3" type="noConversion"/>
  </si>
  <si>
    <t>大栅栏商业街</t>
    <phoneticPr fontId="3" type="noConversion"/>
  </si>
  <si>
    <t>前门大街——煤市街</t>
    <phoneticPr fontId="3" type="noConversion"/>
  </si>
  <si>
    <t>珠市口西大街</t>
    <phoneticPr fontId="3" type="noConversion"/>
  </si>
  <si>
    <t>珠市口——南新华街</t>
    <phoneticPr fontId="3" type="noConversion"/>
  </si>
  <si>
    <t>骡马市大街</t>
    <phoneticPr fontId="3" type="noConversion"/>
  </si>
  <si>
    <t>南新华街——菜市口</t>
    <phoneticPr fontId="3" type="noConversion"/>
  </si>
  <si>
    <t>广安门内大街</t>
    <phoneticPr fontId="3" type="noConversion"/>
  </si>
  <si>
    <t>菜市口——广安门桥</t>
    <phoneticPr fontId="3" type="noConversion"/>
  </si>
  <si>
    <t>宣武门外大街</t>
    <phoneticPr fontId="3" type="noConversion"/>
  </si>
  <si>
    <t>宣武门——菜市口</t>
    <phoneticPr fontId="3" type="noConversion"/>
  </si>
  <si>
    <t>菜市口大街</t>
    <phoneticPr fontId="3" type="noConversion"/>
  </si>
  <si>
    <t>菜市口——开阳桥</t>
    <phoneticPr fontId="3" type="noConversion"/>
  </si>
  <si>
    <t>马连道路</t>
    <phoneticPr fontId="3" type="noConversion"/>
  </si>
  <si>
    <t>广安门外大街——红莲南路</t>
    <phoneticPr fontId="3" type="noConversion"/>
  </si>
  <si>
    <t>朝阳区</t>
    <phoneticPr fontId="3" type="noConversion"/>
  </si>
  <si>
    <t>朝外商业街</t>
    <phoneticPr fontId="3" type="noConversion"/>
  </si>
  <si>
    <t>朝阳门——东大桥</t>
    <phoneticPr fontId="3" type="noConversion"/>
  </si>
  <si>
    <t>安立路</t>
    <phoneticPr fontId="3" type="noConversion"/>
  </si>
  <si>
    <t>安慧桥——慧忠北路</t>
    <phoneticPr fontId="3" type="noConversion"/>
  </si>
  <si>
    <t>三里屯路</t>
    <phoneticPr fontId="3" type="noConversion"/>
  </si>
  <si>
    <t>工人体育场北路——东直门外大街</t>
    <phoneticPr fontId="3" type="noConversion"/>
  </si>
  <si>
    <t>秀水街</t>
    <phoneticPr fontId="3" type="noConversion"/>
  </si>
  <si>
    <t>建国门外大街——光华路</t>
    <phoneticPr fontId="3" type="noConversion"/>
  </si>
  <si>
    <t>大羊坊路         （十里河建材商业街）</t>
    <phoneticPr fontId="3" type="noConversion"/>
  </si>
  <si>
    <t>十里河桥——小武基路</t>
    <phoneticPr fontId="3" type="noConversion"/>
  </si>
  <si>
    <t>建国门外大街</t>
    <phoneticPr fontId="3" type="noConversion"/>
  </si>
  <si>
    <t>建国门桥——国贸桥</t>
    <phoneticPr fontId="3" type="noConversion"/>
  </si>
  <si>
    <t>建国路</t>
    <phoneticPr fontId="3" type="noConversion"/>
  </si>
  <si>
    <t>国贸桥——西大望路</t>
    <phoneticPr fontId="3" type="noConversion"/>
  </si>
  <si>
    <t>海淀区</t>
    <phoneticPr fontId="3" type="noConversion"/>
  </si>
  <si>
    <t>中关村大街</t>
    <phoneticPr fontId="3" type="noConversion"/>
  </si>
  <si>
    <t>海淀南路——北四环</t>
    <phoneticPr fontId="3" type="noConversion"/>
  </si>
  <si>
    <t>复兴路</t>
    <phoneticPr fontId="3" type="noConversion"/>
  </si>
  <si>
    <t>木樨地——万寿路</t>
    <phoneticPr fontId="3" type="noConversion"/>
  </si>
  <si>
    <t>海淀中路</t>
    <phoneticPr fontId="3" type="noConversion"/>
  </si>
  <si>
    <t>丰台区</t>
    <phoneticPr fontId="3" type="noConversion"/>
  </si>
  <si>
    <t>蒲芳路、紫芳路    （方庄商业街）</t>
    <phoneticPr fontId="3" type="noConversion"/>
  </si>
  <si>
    <t>蒲黄榆路——方庄东路</t>
    <phoneticPr fontId="3" type="noConversion"/>
  </si>
  <si>
    <t>石景山区</t>
    <phoneticPr fontId="3" type="noConversion"/>
  </si>
  <si>
    <t>石景山路</t>
    <phoneticPr fontId="3" type="noConversion"/>
  </si>
  <si>
    <t>八宝山——八角桥</t>
    <phoneticPr fontId="3" type="noConversion"/>
  </si>
  <si>
    <t>门头沟区</t>
    <phoneticPr fontId="3" type="noConversion"/>
  </si>
  <si>
    <t>新桥大街</t>
    <phoneticPr fontId="3" type="noConversion"/>
  </si>
  <si>
    <t>门头沟路——双峪路</t>
    <phoneticPr fontId="3" type="noConversion"/>
  </si>
  <si>
    <t>房山区</t>
    <phoneticPr fontId="3" type="noConversion"/>
  </si>
  <si>
    <t>南关大街</t>
    <phoneticPr fontId="3" type="noConversion"/>
  </si>
  <si>
    <t>房山东大街——南关立交桥</t>
    <phoneticPr fontId="3" type="noConversion"/>
  </si>
  <si>
    <t>拱辰大街</t>
    <phoneticPr fontId="3" type="noConversion"/>
  </si>
  <si>
    <t>良乡中路——月华大街</t>
    <phoneticPr fontId="3" type="noConversion"/>
  </si>
  <si>
    <t>通州区</t>
    <phoneticPr fontId="3" type="noConversion"/>
  </si>
  <si>
    <t>新华大街</t>
    <phoneticPr fontId="3" type="noConversion"/>
  </si>
  <si>
    <t>车站路——通惠南路</t>
    <phoneticPr fontId="3" type="noConversion"/>
  </si>
  <si>
    <t>云景东路</t>
    <phoneticPr fontId="3" type="noConversion"/>
  </si>
  <si>
    <t>地铁八通线——云景南大街</t>
    <phoneticPr fontId="3" type="noConversion"/>
  </si>
  <si>
    <t>顺义区</t>
    <phoneticPr fontId="3" type="noConversion"/>
  </si>
  <si>
    <t>新顺大街</t>
    <phoneticPr fontId="3" type="noConversion"/>
  </si>
  <si>
    <t>幸福西街——站前街</t>
    <phoneticPr fontId="3" type="noConversion"/>
  </si>
  <si>
    <t>大兴区</t>
    <phoneticPr fontId="3" type="noConversion"/>
  </si>
  <si>
    <t>兴华大街</t>
    <phoneticPr fontId="3" type="noConversion"/>
  </si>
  <si>
    <t>金星西路——黄村火车站</t>
    <phoneticPr fontId="3" type="noConversion"/>
  </si>
  <si>
    <t>昌平区</t>
    <phoneticPr fontId="3" type="noConversion"/>
  </si>
  <si>
    <t>回龙观西大街</t>
    <phoneticPr fontId="3" type="noConversion"/>
  </si>
  <si>
    <t>京藏高速公路——文华西路</t>
    <phoneticPr fontId="3" type="noConversion"/>
  </si>
  <si>
    <t>鼓楼东、西街</t>
    <phoneticPr fontId="3" type="noConversion"/>
  </si>
  <si>
    <t>东环路——西环路</t>
    <phoneticPr fontId="3" type="noConversion"/>
  </si>
  <si>
    <t>鼓楼南、北街</t>
    <phoneticPr fontId="3" type="noConversion"/>
  </si>
  <si>
    <t>北环路——府学路</t>
    <phoneticPr fontId="3" type="noConversion"/>
  </si>
  <si>
    <t>平谷区</t>
    <phoneticPr fontId="3" type="noConversion"/>
  </si>
  <si>
    <t>步行街</t>
    <phoneticPr fontId="3" type="noConversion"/>
  </si>
  <si>
    <t>文化北街——向阳北街</t>
    <phoneticPr fontId="3" type="noConversion"/>
  </si>
  <si>
    <t>怀柔区</t>
    <phoneticPr fontId="3" type="noConversion"/>
  </si>
  <si>
    <t>商业街</t>
    <phoneticPr fontId="3" type="noConversion"/>
  </si>
  <si>
    <t>迎宾路——青春路</t>
    <phoneticPr fontId="3" type="noConversion"/>
  </si>
  <si>
    <t>密云县</t>
    <phoneticPr fontId="3" type="noConversion"/>
  </si>
  <si>
    <t>鼓楼东、西大街</t>
    <phoneticPr fontId="3" type="noConversion"/>
  </si>
  <si>
    <t>新中街——南更道</t>
    <phoneticPr fontId="3" type="noConversion"/>
  </si>
  <si>
    <t>鼓楼大街</t>
    <phoneticPr fontId="3" type="noConversion"/>
  </si>
  <si>
    <t>西大桥路——康复路</t>
    <phoneticPr fontId="3" type="noConversion"/>
  </si>
  <si>
    <t>延庆县</t>
    <phoneticPr fontId="3" type="noConversion"/>
  </si>
  <si>
    <t>东外大街</t>
    <phoneticPr fontId="3" type="noConversion"/>
  </si>
  <si>
    <t>香苑街——东顺城街</t>
    <phoneticPr fontId="3" type="noConversion"/>
  </si>
  <si>
    <t>不临58条商业街</t>
    <phoneticPr fontId="3" type="noConversion"/>
  </si>
  <si>
    <t>容积率</t>
    <phoneticPr fontId="3" type="noConversion"/>
  </si>
  <si>
    <t>北京市基准地价容积率修正系数表（商业）</t>
    <phoneticPr fontId="3" type="noConversion"/>
  </si>
  <si>
    <t>北京市基准地价容积率修正系数表（办公）</t>
    <phoneticPr fontId="3" type="noConversion"/>
  </si>
  <si>
    <t>北京市基准地价容积率修正系数表（居住）</t>
    <phoneticPr fontId="3" type="noConversion"/>
  </si>
  <si>
    <t>北京市基准地价容积率修正系数表（工业）</t>
    <phoneticPr fontId="3" type="noConversion"/>
  </si>
  <si>
    <t>住宅</t>
    <phoneticPr fontId="3" type="noConversion"/>
  </si>
  <si>
    <t>住宅</t>
    <phoneticPr fontId="3" type="noConversion"/>
  </si>
  <si>
    <t>区域土地利用方向</t>
    <phoneticPr fontId="45" type="noConversion"/>
  </si>
  <si>
    <r>
      <rPr>
        <sz val="10"/>
        <color indexed="8"/>
        <rFont val="宋体"/>
        <family val="3"/>
        <charset val="134"/>
      </rPr>
      <t>修正系数</t>
    </r>
    <phoneticPr fontId="78" type="noConversion"/>
  </si>
  <si>
    <t>五等判定</t>
    <phoneticPr fontId="16" type="noConversion"/>
  </si>
  <si>
    <t>基准地价修正</t>
    <phoneticPr fontId="16" type="noConversion"/>
  </si>
  <si>
    <t>*</t>
    <phoneticPr fontId="16" type="noConversion"/>
  </si>
  <si>
    <t>二级分类</t>
    <phoneticPr fontId="3" type="noConversion"/>
  </si>
  <si>
    <t>土地级别</t>
    <phoneticPr fontId="16" type="noConversion"/>
  </si>
  <si>
    <t>一级</t>
    <phoneticPr fontId="3" type="noConversion"/>
  </si>
  <si>
    <t>二级</t>
    <phoneticPr fontId="3" type="noConversion"/>
  </si>
  <si>
    <t>三级</t>
    <phoneticPr fontId="3" type="noConversion"/>
  </si>
  <si>
    <t>四级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</si>
  <si>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</si>
  <si>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</si>
  <si>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</si>
  <si>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</si>
  <si>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</si>
  <si>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</si>
  <si>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8" type="noConversion"/>
  </si>
  <si>
    <r>
      <rPr>
        <sz val="10"/>
        <color indexed="8"/>
        <rFont val="宋体"/>
        <family val="3"/>
        <charset val="134"/>
      </rPr>
      <t>（</t>
    </r>
    <r>
      <rPr>
        <sz val="10"/>
        <color indexed="8"/>
        <rFont val="Arial"/>
        <family val="2"/>
      </rPr>
      <t>2</t>
    </r>
    <r>
      <rPr>
        <sz val="10"/>
        <color indexed="8"/>
        <rFont val="宋体"/>
        <family val="3"/>
        <charset val="134"/>
      </rPr>
      <t>）</t>
    </r>
    <phoneticPr fontId="38" type="noConversion"/>
  </si>
  <si>
    <t>2.</t>
    <phoneticPr fontId="38" type="noConversion"/>
  </si>
  <si>
    <t>3.</t>
    <phoneticPr fontId="38" type="noConversion"/>
  </si>
  <si>
    <t>4.</t>
    <phoneticPr fontId="34" type="noConversion"/>
  </si>
  <si>
    <t>1.</t>
    <phoneticPr fontId="38" type="noConversion"/>
  </si>
  <si>
    <r>
      <t>1</t>
    </r>
    <r>
      <rPr>
        <sz val="10"/>
        <color indexed="8"/>
        <rFont val="宋体"/>
        <family val="3"/>
        <charset val="134"/>
      </rPr>
      <t>）</t>
    </r>
    <phoneticPr fontId="38" type="noConversion"/>
  </si>
  <si>
    <r>
      <t>2</t>
    </r>
    <r>
      <rPr>
        <sz val="10"/>
        <color indexed="8"/>
        <rFont val="宋体"/>
        <family val="3"/>
        <charset val="134"/>
      </rPr>
      <t>）</t>
    </r>
    <phoneticPr fontId="38" type="noConversion"/>
  </si>
  <si>
    <r>
      <t>3</t>
    </r>
    <r>
      <rPr>
        <sz val="10"/>
        <color indexed="8"/>
        <rFont val="宋体"/>
        <family val="3"/>
        <charset val="134"/>
      </rPr>
      <t>）</t>
    </r>
    <phoneticPr fontId="38" type="noConversion"/>
  </si>
  <si>
    <t>3.</t>
    <phoneticPr fontId="38" type="noConversion"/>
  </si>
  <si>
    <t>4.</t>
    <phoneticPr fontId="38" type="noConversion"/>
  </si>
  <si>
    <t>5.</t>
    <phoneticPr fontId="38"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</si>
  <si>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</si>
  <si>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</si>
  <si>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t>（3）</t>
    <phoneticPr fontId="18" type="noConversion"/>
  </si>
  <si>
    <t>（4）</t>
    <phoneticPr fontId="18" type="noConversion"/>
  </si>
  <si>
    <t>（5）</t>
    <phoneticPr fontId="18" type="noConversion"/>
  </si>
  <si>
    <t>（6）</t>
    <phoneticPr fontId="18" type="noConversion"/>
  </si>
  <si>
    <t>（7）</t>
    <phoneticPr fontId="18" type="noConversion"/>
  </si>
  <si>
    <t>（8）</t>
    <phoneticPr fontId="18" type="noConversion"/>
  </si>
  <si>
    <t>（9）</t>
    <phoneticPr fontId="18" type="noConversion"/>
  </si>
  <si>
    <r>
      <t>1</t>
    </r>
    <r>
      <rPr>
        <sz val="10"/>
        <rFont val="宋体"/>
        <family val="3"/>
        <charset val="134"/>
      </rPr>
      <t>）</t>
    </r>
    <phoneticPr fontId="16" type="noConversion"/>
  </si>
  <si>
    <r>
      <t>2</t>
    </r>
    <r>
      <rPr>
        <sz val="10"/>
        <rFont val="宋体"/>
        <family val="3"/>
        <charset val="134"/>
      </rPr>
      <t>）</t>
    </r>
    <phoneticPr fontId="16" type="noConversion"/>
  </si>
  <si>
    <r>
      <t>3</t>
    </r>
    <r>
      <rPr>
        <sz val="10"/>
        <rFont val="宋体"/>
        <family val="3"/>
        <charset val="134"/>
      </rPr>
      <t>）</t>
    </r>
    <phoneticPr fontId="16" type="noConversion"/>
  </si>
  <si>
    <r>
      <t>1</t>
    </r>
    <r>
      <rPr>
        <sz val="10"/>
        <rFont val="宋体"/>
        <family val="3"/>
        <charset val="134"/>
      </rPr>
      <t>）</t>
    </r>
    <phoneticPr fontId="16" type="noConversion"/>
  </si>
  <si>
    <r>
      <t>4</t>
    </r>
    <r>
      <rPr>
        <sz val="10"/>
        <rFont val="宋体"/>
        <family val="3"/>
        <charset val="134"/>
      </rPr>
      <t>）</t>
    </r>
    <phoneticPr fontId="16" type="noConversion"/>
  </si>
  <si>
    <r>
      <t>2</t>
    </r>
    <r>
      <rPr>
        <sz val="10"/>
        <rFont val="宋体"/>
        <family val="3"/>
        <charset val="134"/>
      </rPr>
      <t>）</t>
    </r>
    <phoneticPr fontId="18" type="noConversion"/>
  </si>
  <si>
    <r>
      <t>3</t>
    </r>
    <r>
      <rPr>
        <sz val="10"/>
        <rFont val="宋体"/>
        <family val="3"/>
        <charset val="134"/>
      </rPr>
      <t>）</t>
    </r>
    <phoneticPr fontId="18" type="noConversion"/>
  </si>
  <si>
    <r>
      <t>4</t>
    </r>
    <r>
      <rPr>
        <sz val="10"/>
        <rFont val="宋体"/>
        <family val="3"/>
        <charset val="134"/>
      </rPr>
      <t>）</t>
    </r>
    <phoneticPr fontId="18" type="noConversion"/>
  </si>
  <si>
    <r>
      <t>5</t>
    </r>
    <r>
      <rPr>
        <sz val="10"/>
        <rFont val="宋体"/>
        <family val="3"/>
        <charset val="134"/>
      </rPr>
      <t>）</t>
    </r>
    <phoneticPr fontId="18" type="noConversion"/>
  </si>
  <si>
    <t>A</t>
    <phoneticPr fontId="16" type="noConversion"/>
  </si>
  <si>
    <t>B</t>
    <phoneticPr fontId="16" type="noConversion"/>
  </si>
  <si>
    <r>
      <rPr>
        <sz val="10"/>
        <color indexed="8"/>
        <rFont val="宋体"/>
        <family val="3"/>
        <charset val="134"/>
      </rPr>
      <t>（</t>
    </r>
    <r>
      <rPr>
        <sz val="10"/>
        <color indexed="8"/>
        <rFont val="Arial"/>
        <family val="2"/>
      </rPr>
      <t>1</t>
    </r>
    <r>
      <rPr>
        <sz val="10"/>
        <color indexed="8"/>
        <rFont val="宋体"/>
        <family val="3"/>
        <charset val="134"/>
      </rPr>
      <t>）</t>
    </r>
    <phoneticPr fontId="18" type="noConversion"/>
  </si>
  <si>
    <r>
      <t>1</t>
    </r>
    <r>
      <rPr>
        <sz val="10"/>
        <color indexed="8"/>
        <rFont val="宋体"/>
        <family val="3"/>
        <charset val="134"/>
      </rPr>
      <t>）</t>
    </r>
    <phoneticPr fontId="16" type="noConversion"/>
  </si>
  <si>
    <r>
      <t>2</t>
    </r>
    <r>
      <rPr>
        <sz val="10"/>
        <color indexed="8"/>
        <rFont val="宋体"/>
        <family val="3"/>
        <charset val="134"/>
      </rPr>
      <t>）</t>
    </r>
    <phoneticPr fontId="16" type="noConversion"/>
  </si>
  <si>
    <t>A</t>
    <phoneticPr fontId="18" type="noConversion"/>
  </si>
  <si>
    <t>B</t>
    <phoneticPr fontId="18" type="noConversion"/>
  </si>
  <si>
    <t>1.</t>
    <phoneticPr fontId="78" type="noConversion"/>
  </si>
  <si>
    <t>2.</t>
    <phoneticPr fontId="78" type="noConversion"/>
  </si>
  <si>
    <t>3.</t>
    <phoneticPr fontId="78" type="noConversion"/>
  </si>
  <si>
    <t>4.</t>
    <phoneticPr fontId="3" type="noConversion"/>
  </si>
  <si>
    <t>5.</t>
    <phoneticPr fontId="3" type="noConversion"/>
  </si>
  <si>
    <t>6.</t>
    <phoneticPr fontId="3" type="noConversion"/>
  </si>
  <si>
    <t>7.</t>
    <phoneticPr fontId="3" type="noConversion"/>
  </si>
  <si>
    <t>十一级</t>
  </si>
  <si>
    <t>十二级</t>
  </si>
  <si>
    <t>一级</t>
    <phoneticPr fontId="78" type="noConversion"/>
  </si>
  <si>
    <t>Ⅰ—01</t>
    <phoneticPr fontId="3" type="noConversion"/>
  </si>
  <si>
    <t xml:space="preserve">— </t>
    <phoneticPr fontId="84" type="noConversion"/>
  </si>
  <si>
    <t>估价项目名称：</t>
    <phoneticPr fontId="84" type="noConversion"/>
  </si>
  <si>
    <t>估价委托人：</t>
    <phoneticPr fontId="84" type="noConversion"/>
  </si>
  <si>
    <t>房地产估价机构：</t>
    <phoneticPr fontId="84" type="noConversion"/>
  </si>
  <si>
    <t>北京康正宏基房地产评估有限公司</t>
    <phoneticPr fontId="84" type="noConversion"/>
  </si>
  <si>
    <t>注册房地产估价师：</t>
    <phoneticPr fontId="84" type="noConversion"/>
  </si>
  <si>
    <t>估价报告编号：</t>
    <phoneticPr fontId="84" type="noConversion"/>
  </si>
  <si>
    <t>估价目的</t>
    <phoneticPr fontId="86" type="noConversion"/>
  </si>
  <si>
    <t>优先受偿</t>
    <phoneticPr fontId="86" type="noConversion"/>
  </si>
  <si>
    <t>抵押</t>
    <phoneticPr fontId="86" type="noConversion"/>
  </si>
  <si>
    <t>2.估价师所知悉的法定优先受偿款</t>
    <phoneticPr fontId="86" type="noConversion"/>
  </si>
  <si>
    <t>2.估价师所知悉的除抵押担保权以外的法定优先受偿款</t>
    <phoneticPr fontId="86" type="noConversion"/>
  </si>
  <si>
    <t>价值类型及定义</t>
    <phoneticPr fontId="86" type="noConversion"/>
  </si>
  <si>
    <t>房地产价值</t>
    <phoneticPr fontId="86" type="noConversion"/>
  </si>
  <si>
    <t>房地产抵押价值</t>
    <phoneticPr fontId="86" type="noConversion"/>
  </si>
  <si>
    <t>已注销</t>
    <phoneticPr fontId="86" type="noConversion"/>
  </si>
  <si>
    <t>已注销及未注销</t>
    <phoneticPr fontId="86" type="noConversion"/>
  </si>
  <si>
    <t>抵押净值</t>
    <phoneticPr fontId="86" type="noConversion"/>
  </si>
  <si>
    <t>——</t>
    <phoneticPr fontId="16" type="noConversion"/>
  </si>
  <si>
    <t>XX</t>
  </si>
  <si>
    <t>附表：</t>
    <phoneticPr fontId="94" type="noConversion"/>
  </si>
  <si>
    <t>北京市区片基准地价因素总修正幅度表</t>
    <phoneticPr fontId="3" type="noConversion"/>
  </si>
  <si>
    <t>级别</t>
    <phoneticPr fontId="3" type="noConversion"/>
  </si>
  <si>
    <t>区片编号</t>
    <phoneticPr fontId="3" type="noConversion"/>
  </si>
  <si>
    <t>商业</t>
    <phoneticPr fontId="3" type="noConversion"/>
  </si>
  <si>
    <t>办公</t>
    <phoneticPr fontId="3" type="noConversion"/>
  </si>
  <si>
    <t>住宅</t>
    <phoneticPr fontId="3" type="noConversion"/>
  </si>
  <si>
    <t>工业</t>
    <phoneticPr fontId="3" type="noConversion"/>
  </si>
  <si>
    <t>一级</t>
    <phoneticPr fontId="3" type="noConversion"/>
  </si>
  <si>
    <t>Ⅰ—01</t>
    <phoneticPr fontId="3" type="noConversion"/>
  </si>
  <si>
    <t>Ⅰ—02</t>
    <phoneticPr fontId="3" type="noConversion"/>
  </si>
  <si>
    <t>Ⅱ—01</t>
    <phoneticPr fontId="3" type="noConversion"/>
  </si>
  <si>
    <t>Ⅱ—13</t>
    <phoneticPr fontId="3" type="noConversion"/>
  </si>
  <si>
    <t>Ⅲ—01</t>
    <phoneticPr fontId="3" type="noConversion"/>
  </si>
  <si>
    <t>Ⅳ-01</t>
    <phoneticPr fontId="3" type="noConversion"/>
  </si>
  <si>
    <t>Ⅳ-电子城东</t>
    <phoneticPr fontId="3" type="noConversion"/>
  </si>
  <si>
    <t>Ⅳ-电子城西</t>
    <phoneticPr fontId="3" type="noConversion"/>
  </si>
  <si>
    <t>Ⅳ-上地核心</t>
    <phoneticPr fontId="3" type="noConversion"/>
  </si>
  <si>
    <t>Ⅳ-丰台园东</t>
    <phoneticPr fontId="3" type="noConversion"/>
  </si>
  <si>
    <t>Ⅴ-01</t>
    <phoneticPr fontId="3" type="noConversion"/>
  </si>
  <si>
    <t>Ⅴ-电子城北</t>
    <phoneticPr fontId="3" type="noConversion"/>
  </si>
  <si>
    <t>Ⅴ-永丰产业基地</t>
    <phoneticPr fontId="3" type="noConversion"/>
  </si>
  <si>
    <t>Ⅴ-航天城</t>
    <phoneticPr fontId="3" type="noConversion"/>
  </si>
  <si>
    <r>
      <t>Ⅴ-西北旺</t>
    </r>
    <r>
      <rPr>
        <sz val="10"/>
        <color indexed="8"/>
        <rFont val="宋体"/>
        <family val="3"/>
        <charset val="134"/>
      </rPr>
      <t>Ⅰ</t>
    </r>
    <phoneticPr fontId="3" type="noConversion"/>
  </si>
  <si>
    <r>
      <t>Ⅴ-西北旺</t>
    </r>
    <r>
      <rPr>
        <sz val="10"/>
        <color indexed="8"/>
        <rFont val="宋体"/>
        <family val="3"/>
        <charset val="134"/>
      </rPr>
      <t>Ⅱ</t>
    </r>
    <phoneticPr fontId="3" type="noConversion"/>
  </si>
  <si>
    <t>Ⅴ-石景山园南区</t>
    <phoneticPr fontId="3" type="noConversion"/>
  </si>
  <si>
    <r>
      <t>Ⅴ-石景山园北</t>
    </r>
    <r>
      <rPr>
        <sz val="10"/>
        <color indexed="8"/>
        <rFont val="宋体"/>
        <family val="3"/>
        <charset val="134"/>
      </rPr>
      <t>Ⅰ</t>
    </r>
    <phoneticPr fontId="3" type="noConversion"/>
  </si>
  <si>
    <r>
      <t>Ⅴ-石景山园北</t>
    </r>
    <r>
      <rPr>
        <sz val="10"/>
        <color indexed="8"/>
        <rFont val="宋体"/>
        <family val="3"/>
        <charset val="134"/>
      </rPr>
      <t>Ⅱ</t>
    </r>
    <phoneticPr fontId="3" type="noConversion"/>
  </si>
  <si>
    <t>Ⅵ-01</t>
    <phoneticPr fontId="3" type="noConversion"/>
  </si>
  <si>
    <t>Ⅵ-通1</t>
    <phoneticPr fontId="3" type="noConversion"/>
  </si>
  <si>
    <t>Ⅵ-顺1</t>
    <phoneticPr fontId="3" type="noConversion"/>
  </si>
  <si>
    <t>Ⅵ-兴1</t>
    <phoneticPr fontId="3" type="noConversion"/>
  </si>
  <si>
    <t>Ⅵ-昌1</t>
    <phoneticPr fontId="3" type="noConversion"/>
  </si>
  <si>
    <t>Ⅵ-亦1</t>
    <phoneticPr fontId="3" type="noConversion"/>
  </si>
  <si>
    <t>Ⅵ-创新园</t>
    <phoneticPr fontId="3" type="noConversion"/>
  </si>
  <si>
    <t>Ⅵ-海淀环保园</t>
    <phoneticPr fontId="3" type="noConversion"/>
  </si>
  <si>
    <r>
      <t>Ⅵ-温泉科技</t>
    </r>
    <r>
      <rPr>
        <sz val="10"/>
        <color indexed="8"/>
        <rFont val="宋体"/>
        <family val="3"/>
        <charset val="134"/>
      </rPr>
      <t>Ⅰ</t>
    </r>
    <phoneticPr fontId="3" type="noConversion"/>
  </si>
  <si>
    <r>
      <t>Ⅵ-温泉科技</t>
    </r>
    <r>
      <rPr>
        <sz val="10"/>
        <color indexed="8"/>
        <rFont val="宋体"/>
        <family val="3"/>
        <charset val="134"/>
      </rPr>
      <t>Ⅱ</t>
    </r>
    <phoneticPr fontId="3" type="noConversion"/>
  </si>
  <si>
    <r>
      <t>Ⅵ-温泉科技</t>
    </r>
    <r>
      <rPr>
        <sz val="10"/>
        <color indexed="8"/>
        <rFont val="宋体"/>
        <family val="3"/>
        <charset val="134"/>
      </rPr>
      <t>Ⅲ</t>
    </r>
    <phoneticPr fontId="3" type="noConversion"/>
  </si>
  <si>
    <t>Ⅵ-天竺保税区南</t>
    <phoneticPr fontId="3" type="noConversion"/>
  </si>
  <si>
    <t>Ⅵ-天竺保税区北1</t>
    <phoneticPr fontId="3" type="noConversion"/>
  </si>
  <si>
    <t>Ⅵ-空港A</t>
    <phoneticPr fontId="3" type="noConversion"/>
  </si>
  <si>
    <t>Ⅵ-空港B</t>
    <phoneticPr fontId="3" type="noConversion"/>
  </si>
  <si>
    <t>Ⅵ-生命科学园</t>
    <phoneticPr fontId="3" type="noConversion"/>
  </si>
  <si>
    <t>Ⅵ-昌三一光电</t>
    <phoneticPr fontId="3" type="noConversion"/>
  </si>
  <si>
    <t>Ⅵ-BDA核心</t>
    <phoneticPr fontId="3" type="noConversion"/>
  </si>
  <si>
    <t>Ⅶ-01</t>
    <phoneticPr fontId="3" type="noConversion"/>
  </si>
  <si>
    <t>Ⅶ-门1</t>
    <phoneticPr fontId="3" type="noConversion"/>
  </si>
  <si>
    <t>Ⅶ-房1</t>
    <phoneticPr fontId="3" type="noConversion"/>
  </si>
  <si>
    <t>Ⅶ-通1</t>
    <phoneticPr fontId="3" type="noConversion"/>
  </si>
  <si>
    <t>Ⅶ-顺1</t>
    <phoneticPr fontId="3" type="noConversion"/>
  </si>
  <si>
    <t>Ⅶ-兴1</t>
    <phoneticPr fontId="3" type="noConversion"/>
  </si>
  <si>
    <t>Ⅶ-昌1</t>
    <phoneticPr fontId="3" type="noConversion"/>
  </si>
  <si>
    <t>Ⅶ-亦1</t>
    <phoneticPr fontId="3" type="noConversion"/>
  </si>
  <si>
    <t>Ⅶ-国际教育园</t>
    <phoneticPr fontId="3" type="noConversion"/>
  </si>
  <si>
    <t>Ⅶ-农林园</t>
    <phoneticPr fontId="3" type="noConversion"/>
  </si>
  <si>
    <t>Ⅶ-上庄科技</t>
    <phoneticPr fontId="3" type="noConversion"/>
  </si>
  <si>
    <t>Ⅶ-文化教育基地</t>
    <phoneticPr fontId="3" type="noConversion"/>
  </si>
  <si>
    <r>
      <t>Ⅶ-苏家坨科技</t>
    </r>
    <r>
      <rPr>
        <sz val="10"/>
        <color indexed="8"/>
        <rFont val="宋体"/>
        <family val="3"/>
        <charset val="134"/>
      </rPr>
      <t>Ⅰ</t>
    </r>
    <phoneticPr fontId="3" type="noConversion"/>
  </si>
  <si>
    <r>
      <t>Ⅶ-苏家坨科技</t>
    </r>
    <r>
      <rPr>
        <sz val="10"/>
        <color indexed="8"/>
        <rFont val="宋体"/>
        <family val="3"/>
        <charset val="134"/>
      </rPr>
      <t>Ⅱ</t>
    </r>
    <phoneticPr fontId="3" type="noConversion"/>
  </si>
  <si>
    <r>
      <t>Ⅶ-丰台园西</t>
    </r>
    <r>
      <rPr>
        <sz val="10"/>
        <color indexed="8"/>
        <rFont val="宋体"/>
        <family val="3"/>
        <charset val="134"/>
      </rPr>
      <t>Ⅰ</t>
    </r>
    <phoneticPr fontId="3" type="noConversion"/>
  </si>
  <si>
    <r>
      <t>Ⅶ-丰台园西</t>
    </r>
    <r>
      <rPr>
        <sz val="10"/>
        <color indexed="8"/>
        <rFont val="宋体"/>
        <family val="3"/>
        <charset val="134"/>
      </rPr>
      <t>Ⅱ</t>
    </r>
    <phoneticPr fontId="3" type="noConversion"/>
  </si>
  <si>
    <t>Ⅶ-石龙开发区</t>
    <phoneticPr fontId="3" type="noConversion"/>
  </si>
  <si>
    <t>Ⅶ-光机电</t>
    <phoneticPr fontId="3" type="noConversion"/>
  </si>
  <si>
    <t>Ⅶ-通州开发区西</t>
    <phoneticPr fontId="3" type="noConversion"/>
  </si>
  <si>
    <t>Ⅶ-林河开发区</t>
    <phoneticPr fontId="3" type="noConversion"/>
  </si>
  <si>
    <t>Ⅶ-大兴开发区</t>
    <phoneticPr fontId="3" type="noConversion"/>
  </si>
  <si>
    <r>
      <t>Ⅶ-昌平园南</t>
    </r>
    <r>
      <rPr>
        <sz val="10"/>
        <color indexed="8"/>
        <rFont val="宋体"/>
        <family val="3"/>
        <charset val="134"/>
      </rPr>
      <t>Ⅰ</t>
    </r>
    <phoneticPr fontId="3" type="noConversion"/>
  </si>
  <si>
    <r>
      <t>Ⅶ-昌平园南</t>
    </r>
    <r>
      <rPr>
        <sz val="10"/>
        <color indexed="8"/>
        <rFont val="宋体"/>
        <family val="3"/>
        <charset val="134"/>
      </rPr>
      <t>Ⅱ</t>
    </r>
    <phoneticPr fontId="3" type="noConversion"/>
  </si>
  <si>
    <r>
      <t>Ⅶ-昌平园北</t>
    </r>
    <r>
      <rPr>
        <sz val="10"/>
        <color indexed="8"/>
        <rFont val="宋体"/>
        <family val="3"/>
        <charset val="134"/>
      </rPr>
      <t>Ⅰ</t>
    </r>
    <phoneticPr fontId="3" type="noConversion"/>
  </si>
  <si>
    <r>
      <t>Ⅶ-昌平园北</t>
    </r>
    <r>
      <rPr>
        <sz val="10"/>
        <color indexed="8"/>
        <rFont val="宋体"/>
        <family val="3"/>
        <charset val="134"/>
      </rPr>
      <t>Ⅱ</t>
    </r>
    <phoneticPr fontId="3" type="noConversion"/>
  </si>
  <si>
    <r>
      <t>Ⅶ-昌平园北</t>
    </r>
    <r>
      <rPr>
        <sz val="10"/>
        <color indexed="8"/>
        <rFont val="宋体"/>
        <family val="3"/>
        <charset val="134"/>
      </rPr>
      <t>Ⅲ</t>
    </r>
    <phoneticPr fontId="3" type="noConversion"/>
  </si>
  <si>
    <t>Ⅶ-BDA东</t>
    <phoneticPr fontId="3" type="noConversion"/>
  </si>
  <si>
    <t>Ⅶ-BDA西</t>
    <phoneticPr fontId="3" type="noConversion"/>
  </si>
  <si>
    <t>Ⅷ-01</t>
    <phoneticPr fontId="3" type="noConversion"/>
  </si>
  <si>
    <t>Ⅷ-门1</t>
    <phoneticPr fontId="3" type="noConversion"/>
  </si>
  <si>
    <t>Ⅷ-门军</t>
    <phoneticPr fontId="3" type="noConversion"/>
  </si>
  <si>
    <t>Ⅷ-房1</t>
    <phoneticPr fontId="3" type="noConversion"/>
  </si>
  <si>
    <t>Ⅷ-通1</t>
    <phoneticPr fontId="3" type="noConversion"/>
  </si>
  <si>
    <t>Ⅷ-顺1</t>
    <phoneticPr fontId="3" type="noConversion"/>
  </si>
  <si>
    <t>Ⅷ-顺3</t>
    <phoneticPr fontId="3" type="noConversion"/>
  </si>
  <si>
    <t>Ⅷ-兴1</t>
    <phoneticPr fontId="3" type="noConversion"/>
  </si>
  <si>
    <t>Ⅷ-昌1</t>
    <phoneticPr fontId="3" type="noConversion"/>
  </si>
  <si>
    <t>Ⅷ-平1</t>
    <phoneticPr fontId="3" type="noConversion"/>
  </si>
  <si>
    <t>Ⅷ-怀1</t>
    <phoneticPr fontId="3" type="noConversion"/>
  </si>
  <si>
    <t>Ⅷ-密1</t>
    <phoneticPr fontId="3" type="noConversion"/>
  </si>
  <si>
    <t>Ⅷ-廷1</t>
    <phoneticPr fontId="3" type="noConversion"/>
  </si>
  <si>
    <t>Ⅷ-亦1</t>
    <phoneticPr fontId="3" type="noConversion"/>
  </si>
  <si>
    <t>Ⅷ-良乡开发区A</t>
    <phoneticPr fontId="3" type="noConversion"/>
  </si>
  <si>
    <t>Ⅷ-良乡开发区B</t>
    <phoneticPr fontId="3" type="noConversion"/>
  </si>
  <si>
    <t>Ⅷ-良乡开发区C</t>
    <phoneticPr fontId="3" type="noConversion"/>
  </si>
  <si>
    <t>Ⅷ-通州环保园</t>
    <phoneticPr fontId="3" type="noConversion"/>
  </si>
  <si>
    <t>Ⅷ-空港北区A</t>
    <phoneticPr fontId="3" type="noConversion"/>
  </si>
  <si>
    <t>Ⅷ-空港北区B</t>
    <phoneticPr fontId="3" type="noConversion"/>
  </si>
  <si>
    <t>Ⅷ-生物医药基地</t>
    <phoneticPr fontId="3" type="noConversion"/>
  </si>
  <si>
    <t>Ⅷ-小汤山工业园</t>
    <phoneticPr fontId="3" type="noConversion"/>
  </si>
  <si>
    <t>Ⅸ-01</t>
    <phoneticPr fontId="3" type="noConversion"/>
  </si>
  <si>
    <t>Ⅸ-门1</t>
    <phoneticPr fontId="3" type="noConversion"/>
  </si>
  <si>
    <t>Ⅸ-门2</t>
    <phoneticPr fontId="3" type="noConversion"/>
  </si>
  <si>
    <t>Ⅸ-门潭</t>
    <phoneticPr fontId="3" type="noConversion"/>
  </si>
  <si>
    <t>Ⅸ-房1</t>
    <phoneticPr fontId="3" type="noConversion"/>
  </si>
  <si>
    <t>Ⅸ-通1</t>
    <phoneticPr fontId="3" type="noConversion"/>
  </si>
  <si>
    <t>Ⅸ-顺1</t>
    <phoneticPr fontId="3" type="noConversion"/>
  </si>
  <si>
    <t>Ⅸ-兴1</t>
    <phoneticPr fontId="3" type="noConversion"/>
  </si>
  <si>
    <t>Ⅸ-昌1</t>
    <phoneticPr fontId="3" type="noConversion"/>
  </si>
  <si>
    <t>Ⅸ-昌南</t>
    <phoneticPr fontId="3" type="noConversion"/>
  </si>
  <si>
    <t>Ⅸ-平1</t>
    <phoneticPr fontId="3" type="noConversion"/>
  </si>
  <si>
    <t>Ⅸ-怀1</t>
    <phoneticPr fontId="3" type="noConversion"/>
  </si>
  <si>
    <t>Ⅸ-密1</t>
    <phoneticPr fontId="3" type="noConversion"/>
  </si>
  <si>
    <t>Ⅸ-延1</t>
    <phoneticPr fontId="3" type="noConversion"/>
  </si>
  <si>
    <t>Ⅸ-亦1</t>
    <phoneticPr fontId="3" type="noConversion"/>
  </si>
  <si>
    <t>Ⅸ-房山工业园东</t>
    <phoneticPr fontId="3" type="noConversion"/>
  </si>
  <si>
    <t>Ⅸ-房山工业园西</t>
    <phoneticPr fontId="3" type="noConversion"/>
  </si>
  <si>
    <t>Ⅸ-通州开发区东</t>
    <phoneticPr fontId="3" type="noConversion"/>
  </si>
  <si>
    <t>Ⅸ-永乐开发区</t>
    <phoneticPr fontId="3" type="noConversion"/>
  </si>
  <si>
    <t>Ⅸ-采育开发区</t>
    <phoneticPr fontId="3" type="noConversion"/>
  </si>
  <si>
    <t>Ⅸ-兴谷开发区A</t>
    <phoneticPr fontId="3" type="noConversion"/>
  </si>
  <si>
    <t>Ⅸ-兴谷开发区B</t>
    <phoneticPr fontId="3" type="noConversion"/>
  </si>
  <si>
    <t>Ⅸ-雁栖开发区A</t>
    <phoneticPr fontId="3" type="noConversion"/>
  </si>
  <si>
    <t>Ⅸ-雁栖开发区B</t>
    <phoneticPr fontId="3" type="noConversion"/>
  </si>
  <si>
    <t>Ⅸ-雁栖开发区C</t>
    <phoneticPr fontId="3" type="noConversion"/>
  </si>
  <si>
    <t>Ⅸ-密云开发区</t>
    <phoneticPr fontId="3" type="noConversion"/>
  </si>
  <si>
    <t>Ⅹ-01</t>
    <phoneticPr fontId="3" type="noConversion"/>
  </si>
  <si>
    <t>Ⅹ-门1</t>
    <phoneticPr fontId="3" type="noConversion"/>
  </si>
  <si>
    <t>Ⅹ-门斋</t>
    <phoneticPr fontId="3" type="noConversion"/>
  </si>
  <si>
    <t>Ⅹ-房1</t>
    <phoneticPr fontId="3" type="noConversion"/>
  </si>
  <si>
    <t>Ⅹ-通1</t>
    <phoneticPr fontId="3" type="noConversion"/>
  </si>
  <si>
    <t>Ⅹ-顺1</t>
    <phoneticPr fontId="3" type="noConversion"/>
  </si>
  <si>
    <t>Ⅹ-兴1</t>
    <phoneticPr fontId="3" type="noConversion"/>
  </si>
  <si>
    <t>Ⅹ-昌1</t>
    <phoneticPr fontId="3" type="noConversion"/>
  </si>
  <si>
    <t>Ⅹ-平1</t>
    <phoneticPr fontId="3" type="noConversion"/>
  </si>
  <si>
    <t>Ⅹ-怀1</t>
    <phoneticPr fontId="3" type="noConversion"/>
  </si>
  <si>
    <t>Ⅹ-密1</t>
    <phoneticPr fontId="3" type="noConversion"/>
  </si>
  <si>
    <t>Ⅹ-延1</t>
    <phoneticPr fontId="3" type="noConversion"/>
  </si>
  <si>
    <t>Ⅹ-亦1</t>
    <phoneticPr fontId="3" type="noConversion"/>
  </si>
  <si>
    <t>Ⅹ-马坊工业园</t>
    <phoneticPr fontId="3" type="noConversion"/>
  </si>
  <si>
    <t>Ⅹ-延庆开发区</t>
    <phoneticPr fontId="3" type="noConversion"/>
  </si>
  <si>
    <t>Ⅹ-八达岭开发区</t>
    <phoneticPr fontId="3" type="noConversion"/>
  </si>
  <si>
    <t>十一级</t>
    <phoneticPr fontId="3" type="noConversion"/>
  </si>
  <si>
    <t>Ⅺ-门1</t>
    <phoneticPr fontId="3" type="noConversion"/>
  </si>
  <si>
    <t>Ⅺ-门斋</t>
    <phoneticPr fontId="3" type="noConversion"/>
  </si>
  <si>
    <t>Ⅺ-房1</t>
    <phoneticPr fontId="3" type="noConversion"/>
  </si>
  <si>
    <t>Ⅺ-通1</t>
    <phoneticPr fontId="3" type="noConversion"/>
  </si>
  <si>
    <t>Ⅺ-顺1</t>
    <phoneticPr fontId="3" type="noConversion"/>
  </si>
  <si>
    <t>Ⅺ-兴1</t>
    <phoneticPr fontId="3" type="noConversion"/>
  </si>
  <si>
    <t>Ⅺ-兴2</t>
    <phoneticPr fontId="3" type="noConversion"/>
  </si>
  <si>
    <t>Ⅺ-昌1</t>
    <phoneticPr fontId="3" type="noConversion"/>
  </si>
  <si>
    <t>Ⅺ-平1</t>
    <phoneticPr fontId="3" type="noConversion"/>
  </si>
  <si>
    <t>Ⅺ-怀1</t>
    <phoneticPr fontId="3" type="noConversion"/>
  </si>
  <si>
    <t>Ⅺ-密1</t>
    <phoneticPr fontId="3" type="noConversion"/>
  </si>
  <si>
    <t>Ⅺ-延1</t>
    <phoneticPr fontId="3" type="noConversion"/>
  </si>
  <si>
    <t>十二级</t>
    <phoneticPr fontId="3" type="noConversion"/>
  </si>
  <si>
    <t>Ⅻ-门1</t>
    <phoneticPr fontId="3" type="noConversion"/>
  </si>
  <si>
    <t>Ⅻ-房1</t>
    <phoneticPr fontId="3" type="noConversion"/>
  </si>
  <si>
    <t>Ⅻ-昌1</t>
    <phoneticPr fontId="3" type="noConversion"/>
  </si>
  <si>
    <t>Ⅻ-平1</t>
    <phoneticPr fontId="3" type="noConversion"/>
  </si>
  <si>
    <t>Ⅻ-怀1</t>
    <phoneticPr fontId="3" type="noConversion"/>
  </si>
  <si>
    <t>Ⅻ-密1</t>
    <phoneticPr fontId="3" type="noConversion"/>
  </si>
  <si>
    <t>Ⅻ-延1</t>
    <phoneticPr fontId="3" type="noConversion"/>
  </si>
  <si>
    <t>-</t>
    <phoneticPr fontId="3" type="noConversion"/>
  </si>
  <si>
    <t>3</t>
    <phoneticPr fontId="3" type="noConversion"/>
  </si>
  <si>
    <t>4</t>
    <phoneticPr fontId="3" type="noConversion"/>
  </si>
  <si>
    <t>5</t>
    <phoneticPr fontId="3" type="noConversion"/>
  </si>
  <si>
    <t>6</t>
    <phoneticPr fontId="3" type="noConversion"/>
  </si>
  <si>
    <r>
      <t>1</t>
    </r>
    <r>
      <rPr>
        <sz val="10"/>
        <color indexed="8"/>
        <rFont val="宋体"/>
        <family val="3"/>
        <charset val="134"/>
      </rPr>
      <t>）</t>
    </r>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</si>
  <si>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</si>
  <si>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</si>
  <si>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t>
    </r>
    <r>
      <rPr>
        <sz val="10"/>
        <color indexed="8"/>
        <rFont val="Arial"/>
        <family val="2"/>
      </rPr>
      <t>6</t>
    </r>
    <r>
      <rPr>
        <sz val="10"/>
        <color indexed="8"/>
        <rFont val="宋体"/>
        <family val="3"/>
        <charset val="134"/>
      </rPr>
      <t>）</t>
    </r>
    <phoneticPr fontId="3" type="noConversion"/>
  </si>
  <si>
    <r>
      <rPr>
        <sz val="10"/>
        <color indexed="8"/>
        <rFont val="宋体"/>
        <family val="3"/>
        <charset val="134"/>
      </rPr>
      <t>（</t>
    </r>
    <r>
      <rPr>
        <sz val="10"/>
        <color indexed="8"/>
        <rFont val="Arial"/>
        <family val="2"/>
      </rPr>
      <t>7</t>
    </r>
    <r>
      <rPr>
        <sz val="10"/>
        <color indexed="8"/>
        <rFont val="宋体"/>
        <family val="3"/>
        <charset val="134"/>
      </rPr>
      <t>）</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</si>
  <si>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</si>
  <si>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t>A</t>
  </si>
  <si>
    <t>B</t>
  </si>
  <si>
    <t>(A)</t>
  </si>
  <si>
    <t>(B)</t>
  </si>
  <si>
    <t>(C)</t>
  </si>
  <si>
    <t>(D)</t>
  </si>
  <si>
    <t>C</t>
  </si>
  <si>
    <t>A+B</t>
  </si>
  <si>
    <t>a</t>
  </si>
  <si>
    <t>b</t>
  </si>
  <si>
    <t>c</t>
  </si>
  <si>
    <t>a-b×c</t>
    <phoneticPr fontId="3" type="noConversion"/>
  </si>
  <si>
    <t>(E)</t>
    <phoneticPr fontId="3" type="noConversion"/>
  </si>
  <si>
    <t>Ⅷ-延1</t>
    <phoneticPr fontId="3"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</si>
  <si>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</si>
  <si>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</si>
  <si>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</si>
  <si>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t>（3）</t>
    <phoneticPr fontId="18"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</si>
  <si>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</si>
  <si>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t>（4）</t>
    <phoneticPr fontId="18" type="noConversion"/>
  </si>
  <si>
    <r>
      <rPr>
        <sz val="10"/>
        <rFont val="楷体_GB2312"/>
        <family val="3"/>
        <charset val="134"/>
      </rPr>
      <t>（</t>
    </r>
    <r>
      <rPr>
        <sz val="10"/>
        <rFont val="Arial"/>
        <family val="2"/>
      </rPr>
      <t>4</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</si>
  <si>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）项产生的利息</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</si>
  <si>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phoneticPr fontId="16" type="noConversion"/>
  </si>
  <si>
    <r>
      <rPr>
        <sz val="10"/>
        <rFont val="楷体_GB2312"/>
        <family val="3"/>
        <charset val="134"/>
      </rPr>
      <t>（</t>
    </r>
    <r>
      <rPr>
        <sz val="10"/>
        <rFont val="Arial"/>
        <family val="2"/>
      </rPr>
      <t>4</t>
    </r>
    <r>
      <rPr>
        <sz val="10"/>
        <rFont val="楷体_GB2312"/>
        <family val="3"/>
        <charset val="134"/>
      </rPr>
      <t>）项产生的利润</t>
    </r>
    <phoneticPr fontId="16"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</si>
  <si>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</si>
  <si>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phoneticPr fontId="16"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</si>
  <si>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</si>
  <si>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3</t>
    </r>
    <r>
      <rPr>
        <sz val="10"/>
        <rFont val="楷体_GB2312"/>
        <family val="3"/>
        <charset val="134"/>
      </rPr>
      <t>）项产生的利润</t>
    </r>
    <phoneticPr fontId="16" type="noConversion"/>
  </si>
  <si>
    <t>以前述2项为基数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</si>
  <si>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phoneticPr fontId="16" type="noConversion"/>
  </si>
  <si>
    <r>
      <rPr>
        <b/>
        <sz val="10"/>
        <rFont val="楷体_GB2312"/>
        <family val="3"/>
        <charset val="134"/>
      </rPr>
      <t>前述</t>
    </r>
    <r>
      <rPr>
        <b/>
        <sz val="10"/>
        <rFont val="Arial"/>
        <family val="2"/>
      </rPr>
      <t>7</t>
    </r>
    <r>
      <rPr>
        <b/>
        <sz val="10"/>
        <rFont val="楷体_GB2312"/>
        <family val="3"/>
        <charset val="134"/>
      </rPr>
      <t>项相加</t>
    </r>
    <phoneticPr fontId="16" type="noConversion"/>
  </si>
  <si>
    <t>以（1）为基数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</si>
  <si>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phoneticPr fontId="16" type="noConversion"/>
  </si>
  <si>
    <r>
      <rPr>
        <b/>
        <sz val="10"/>
        <rFont val="楷体_GB2312"/>
        <family val="3"/>
        <charset val="134"/>
      </rPr>
      <t>前述</t>
    </r>
    <r>
      <rPr>
        <b/>
        <sz val="10"/>
        <rFont val="Arial"/>
        <family val="2"/>
      </rPr>
      <t>6</t>
    </r>
    <r>
      <rPr>
        <b/>
        <sz val="10"/>
        <rFont val="楷体_GB2312"/>
        <family val="3"/>
        <charset val="134"/>
      </rPr>
      <t>项相加</t>
    </r>
    <phoneticPr fontId="16" type="noConversion"/>
  </si>
  <si>
    <t>未包含在土地取得成本中</t>
  </si>
  <si>
    <r>
      <rPr>
        <sz val="10"/>
        <color indexed="8"/>
        <rFont val="宋体"/>
        <family val="3"/>
        <charset val="134"/>
      </rPr>
      <t>（</t>
    </r>
    <r>
      <rPr>
        <sz val="10"/>
        <color indexed="8"/>
        <rFont val="Arial"/>
        <family val="2"/>
      </rPr>
      <t>3</t>
    </r>
    <r>
      <rPr>
        <sz val="10"/>
        <color indexed="8"/>
        <rFont val="宋体"/>
        <family val="3"/>
        <charset val="134"/>
      </rPr>
      <t>）</t>
    </r>
    <phoneticPr fontId="3" type="noConversion"/>
  </si>
  <si>
    <t>1.年总收入</t>
    <phoneticPr fontId="3" type="noConversion"/>
  </si>
  <si>
    <t>（1）客房</t>
    <phoneticPr fontId="3" type="noConversion"/>
  </si>
  <si>
    <t>房型</t>
    <phoneticPr fontId="3" type="noConversion"/>
  </si>
  <si>
    <t>间数</t>
    <phoneticPr fontId="3" type="noConversion"/>
  </si>
  <si>
    <t>收费标准</t>
    <phoneticPr fontId="3" type="noConversion"/>
  </si>
  <si>
    <t>折扣率</t>
    <phoneticPr fontId="3" type="noConversion"/>
  </si>
  <si>
    <t>出租率</t>
    <phoneticPr fontId="3" type="noConversion"/>
  </si>
  <si>
    <t>天数</t>
    <phoneticPr fontId="3" type="noConversion"/>
  </si>
  <si>
    <t>年收入</t>
    <phoneticPr fontId="3" type="noConversion"/>
  </si>
  <si>
    <t>总统套房</t>
    <phoneticPr fontId="3" type="noConversion"/>
  </si>
  <si>
    <t>行政套房</t>
    <phoneticPr fontId="3" type="noConversion"/>
  </si>
  <si>
    <t>沙龙套房</t>
    <phoneticPr fontId="3" type="noConversion"/>
  </si>
  <si>
    <t>标准房</t>
    <phoneticPr fontId="3" type="noConversion"/>
  </si>
  <si>
    <t>单间公寓</t>
    <phoneticPr fontId="3" type="noConversion"/>
  </si>
  <si>
    <t>单房公寓</t>
    <phoneticPr fontId="3" type="noConversion"/>
  </si>
  <si>
    <t>双房公寓</t>
    <phoneticPr fontId="3" type="noConversion"/>
  </si>
  <si>
    <t>小计</t>
    <phoneticPr fontId="3" type="noConversion"/>
  </si>
  <si>
    <t>（2）餐厅</t>
    <phoneticPr fontId="3" type="noConversion"/>
  </si>
  <si>
    <t>餐厅</t>
    <phoneticPr fontId="3" type="noConversion"/>
  </si>
  <si>
    <t>人均消费</t>
    <phoneticPr fontId="3" type="noConversion"/>
  </si>
  <si>
    <t>座位数</t>
    <phoneticPr fontId="3" type="noConversion"/>
  </si>
  <si>
    <t>上座率</t>
    <phoneticPr fontId="3" type="noConversion"/>
  </si>
  <si>
    <t>——</t>
    <phoneticPr fontId="3" type="noConversion"/>
  </si>
  <si>
    <t>中餐厅</t>
    <phoneticPr fontId="3" type="noConversion"/>
  </si>
  <si>
    <t>西餐厅</t>
    <phoneticPr fontId="3" type="noConversion"/>
  </si>
  <si>
    <t>其他</t>
    <phoneticPr fontId="3" type="noConversion"/>
  </si>
  <si>
    <t>（3）会议中心</t>
    <phoneticPr fontId="3" type="noConversion"/>
  </si>
  <si>
    <t>会议室</t>
    <phoneticPr fontId="3" type="noConversion"/>
  </si>
  <si>
    <t>收费（元/间.天）</t>
    <phoneticPr fontId="3" type="noConversion"/>
  </si>
  <si>
    <t>平均使用率</t>
    <phoneticPr fontId="3" type="noConversion"/>
  </si>
  <si>
    <t>大</t>
    <phoneticPr fontId="3" type="noConversion"/>
  </si>
  <si>
    <t>中</t>
    <phoneticPr fontId="3" type="noConversion"/>
  </si>
  <si>
    <t>小</t>
    <phoneticPr fontId="3" type="noConversion"/>
  </si>
  <si>
    <t>（4）其他收入（可按客房收入比率计算）</t>
    <phoneticPr fontId="3" type="noConversion"/>
  </si>
  <si>
    <t>（5）出租部分</t>
    <phoneticPr fontId="3" type="noConversion"/>
  </si>
  <si>
    <t>建筑面积</t>
    <phoneticPr fontId="3" type="noConversion"/>
  </si>
  <si>
    <t>日租金</t>
    <phoneticPr fontId="3" type="noConversion"/>
  </si>
  <si>
    <t>天数</t>
    <phoneticPr fontId="3" type="noConversion"/>
  </si>
  <si>
    <t>空置率</t>
    <phoneticPr fontId="3" type="noConversion"/>
  </si>
  <si>
    <t>——</t>
    <phoneticPr fontId="3" type="noConversion"/>
  </si>
  <si>
    <t>年收入</t>
    <phoneticPr fontId="3" type="noConversion"/>
  </si>
  <si>
    <t>（一）年净收入（剥离非房地产带来的收益）</t>
    <phoneticPr fontId="3" type="noConversion"/>
  </si>
  <si>
    <t>年总收入</t>
    <phoneticPr fontId="3" type="noConversion"/>
  </si>
  <si>
    <t>（1）</t>
    <phoneticPr fontId="3" type="noConversion"/>
  </si>
  <si>
    <t>客房收入</t>
    <phoneticPr fontId="3" type="noConversion"/>
  </si>
  <si>
    <t>（2）</t>
    <phoneticPr fontId="3" type="noConversion"/>
  </si>
  <si>
    <t>其他收入</t>
    <phoneticPr fontId="3" type="noConversion"/>
  </si>
  <si>
    <t>餐厅、会议中心、出租等收入，按主收入（客房收入）比例计算</t>
    <phoneticPr fontId="3" type="noConversion"/>
  </si>
  <si>
    <t>经营成本</t>
    <phoneticPr fontId="3" type="noConversion"/>
  </si>
  <si>
    <t>包含耗用物品以及原材料等，以年总收入为基数计算</t>
    <phoneticPr fontId="3" type="noConversion"/>
  </si>
  <si>
    <t>其他营业费用</t>
    <phoneticPr fontId="3" type="noConversion"/>
  </si>
  <si>
    <t>工资、水电费、宣传费、差旅费、公司经费、审计费、咨询费、银行手续费、特殊行业税费等等，以年总收入为基数计算</t>
    <phoneticPr fontId="3" type="noConversion"/>
  </si>
  <si>
    <t>行业利润</t>
    <phoneticPr fontId="3" type="noConversion"/>
  </si>
  <si>
    <t>（二）年经营费用（房地产）</t>
    <phoneticPr fontId="3" type="noConversion"/>
  </si>
  <si>
    <t>税费</t>
    <phoneticPr fontId="3" type="noConversion"/>
  </si>
  <si>
    <t>保险费</t>
    <phoneticPr fontId="3" type="noConversion"/>
  </si>
  <si>
    <t>维修费</t>
    <phoneticPr fontId="3" type="noConversion"/>
  </si>
  <si>
    <t>管理费</t>
    <phoneticPr fontId="3" type="noConversion"/>
  </si>
  <si>
    <t>（三）净收益</t>
    <phoneticPr fontId="3" type="noConversion"/>
  </si>
  <si>
    <t>1</t>
    <phoneticPr fontId="3" type="noConversion"/>
  </si>
  <si>
    <r>
      <rPr>
        <b/>
        <sz val="10"/>
        <color indexed="8"/>
        <rFont val="宋体"/>
        <family val="3"/>
        <charset val="134"/>
      </rPr>
      <t>（</t>
    </r>
    <r>
      <rPr>
        <b/>
        <sz val="10"/>
        <color indexed="8"/>
        <rFont val="Arial"/>
        <family val="2"/>
      </rPr>
      <t>1</t>
    </r>
    <r>
      <rPr>
        <b/>
        <sz val="10"/>
        <color indexed="8"/>
        <rFont val="宋体"/>
        <family val="3"/>
        <charset val="134"/>
      </rPr>
      <t>）</t>
    </r>
    <phoneticPr fontId="3" type="noConversion"/>
  </si>
  <si>
    <r>
      <rPr>
        <b/>
        <sz val="10"/>
        <color indexed="8"/>
        <rFont val="宋体"/>
        <family val="3"/>
        <charset val="134"/>
      </rPr>
      <t>（</t>
    </r>
    <r>
      <rPr>
        <b/>
        <sz val="10"/>
        <color indexed="8"/>
        <rFont val="Arial"/>
        <family val="2"/>
      </rPr>
      <t>2</t>
    </r>
    <r>
      <rPr>
        <b/>
        <sz val="10"/>
        <color indexed="8"/>
        <rFont val="宋体"/>
        <family val="3"/>
        <charset val="134"/>
      </rPr>
      <t>）</t>
    </r>
    <phoneticPr fontId="3" type="noConversion"/>
  </si>
  <si>
    <t>基础设施水平</t>
    <phoneticPr fontId="16" type="noConversion"/>
  </si>
  <si>
    <t>六通</t>
    <phoneticPr fontId="16" type="noConversion"/>
  </si>
  <si>
    <t>七通</t>
    <phoneticPr fontId="16" type="noConversion"/>
  </si>
  <si>
    <t>五通</t>
    <phoneticPr fontId="16" type="noConversion"/>
  </si>
  <si>
    <t>四通</t>
    <phoneticPr fontId="16" type="noConversion"/>
  </si>
  <si>
    <t>三通</t>
    <phoneticPr fontId="16" type="noConversion"/>
  </si>
  <si>
    <t>公共配套设施</t>
    <phoneticPr fontId="16" type="noConversion"/>
  </si>
  <si>
    <t>成本法 (元)</t>
    <phoneticPr fontId="16" type="noConversion"/>
  </si>
  <si>
    <t>收益法 (元)</t>
    <phoneticPr fontId="16" type="noConversion"/>
  </si>
  <si>
    <t>收益法（汇总）</t>
    <phoneticPr fontId="16" type="noConversion"/>
  </si>
  <si>
    <t>已包含在土地购买价格中</t>
  </si>
  <si>
    <t>公示地价指数</t>
    <phoneticPr fontId="148" type="noConversion"/>
  </si>
  <si>
    <r>
      <rPr>
        <b/>
        <sz val="10"/>
        <color theme="1"/>
        <rFont val="楷体_GB2312"/>
        <family val="2"/>
        <charset val="134"/>
      </rPr>
      <t>公示增长率</t>
    </r>
    <phoneticPr fontId="148" type="noConversion"/>
  </si>
  <si>
    <r>
      <rPr>
        <b/>
        <sz val="10"/>
        <color theme="1"/>
        <rFont val="楷体_GB2312"/>
        <family val="2"/>
        <charset val="134"/>
      </rPr>
      <t>核算至百分数</t>
    </r>
    <phoneticPr fontId="148" type="noConversion"/>
  </si>
  <si>
    <r>
      <rPr>
        <b/>
        <sz val="10"/>
        <color theme="1"/>
        <rFont val="楷体_GB2312"/>
        <family val="2"/>
        <charset val="134"/>
      </rPr>
      <t>验证</t>
    </r>
    <phoneticPr fontId="148" type="noConversion"/>
  </si>
  <si>
    <t>季度连乘</t>
    <phoneticPr fontId="140" type="noConversion"/>
  </si>
  <si>
    <t>平均增幅</t>
    <phoneticPr fontId="140" type="noConversion"/>
  </si>
  <si>
    <t>综合</t>
    <phoneticPr fontId="3" type="noConversion"/>
  </si>
  <si>
    <r>
      <rPr>
        <sz val="11"/>
        <color indexed="8"/>
        <rFont val="楷体_GB2312"/>
        <family val="3"/>
        <charset val="134"/>
      </rPr>
      <t>商业</t>
    </r>
    <phoneticPr fontId="3" type="noConversion"/>
  </si>
  <si>
    <t>办公</t>
    <phoneticPr fontId="3" type="noConversion"/>
  </si>
  <si>
    <t>住宅</t>
    <phoneticPr fontId="3" type="noConversion"/>
  </si>
  <si>
    <r>
      <rPr>
        <sz val="11"/>
        <color indexed="8"/>
        <rFont val="楷体_GB2312"/>
        <family val="3"/>
        <charset val="134"/>
      </rPr>
      <t>工业</t>
    </r>
    <phoneticPr fontId="3" type="noConversion"/>
  </si>
  <si>
    <t>2017-1</t>
    <phoneticPr fontId="3" type="noConversion"/>
  </si>
  <si>
    <t>基准季度</t>
    <phoneticPr fontId="140" type="noConversion"/>
  </si>
  <si>
    <t>2013-4</t>
    <phoneticPr fontId="140" type="noConversion"/>
  </si>
  <si>
    <t>2013-3</t>
    <phoneticPr fontId="140" type="noConversion"/>
  </si>
  <si>
    <t>2013-2</t>
    <phoneticPr fontId="140" type="noConversion"/>
  </si>
  <si>
    <t>2013-1</t>
    <phoneticPr fontId="140" type="noConversion"/>
  </si>
  <si>
    <r>
      <t>2</t>
    </r>
    <r>
      <rPr>
        <sz val="10"/>
        <color theme="1"/>
        <rFont val="Arial"/>
        <family val="2"/>
      </rPr>
      <t>012-4</t>
    </r>
    <phoneticPr fontId="140" type="noConversion"/>
  </si>
  <si>
    <r>
      <t>2</t>
    </r>
    <r>
      <rPr>
        <sz val="10"/>
        <color theme="1"/>
        <rFont val="Arial"/>
        <family val="2"/>
      </rPr>
      <t>012-3</t>
    </r>
    <phoneticPr fontId="140" type="noConversion"/>
  </si>
  <si>
    <r>
      <t>2</t>
    </r>
    <r>
      <rPr>
        <sz val="10"/>
        <color theme="1"/>
        <rFont val="Arial"/>
        <family val="2"/>
      </rPr>
      <t>012-2</t>
    </r>
    <phoneticPr fontId="140" type="noConversion"/>
  </si>
  <si>
    <r>
      <t>2</t>
    </r>
    <r>
      <rPr>
        <sz val="10"/>
        <color theme="1"/>
        <rFont val="Arial"/>
        <family val="2"/>
      </rPr>
      <t>012-1</t>
    </r>
    <phoneticPr fontId="140" type="noConversion"/>
  </si>
  <si>
    <r>
      <t>2</t>
    </r>
    <r>
      <rPr>
        <sz val="10"/>
        <color theme="1"/>
        <rFont val="Arial"/>
        <family val="2"/>
      </rPr>
      <t>011-4</t>
    </r>
    <phoneticPr fontId="140" type="noConversion"/>
  </si>
  <si>
    <r>
      <t>2</t>
    </r>
    <r>
      <rPr>
        <sz val="10"/>
        <color theme="1"/>
        <rFont val="Arial"/>
        <family val="2"/>
      </rPr>
      <t>011-3</t>
    </r>
    <phoneticPr fontId="140" type="noConversion"/>
  </si>
  <si>
    <r>
      <t>2</t>
    </r>
    <r>
      <rPr>
        <sz val="10"/>
        <color theme="1"/>
        <rFont val="Arial"/>
        <family val="2"/>
      </rPr>
      <t>011-2</t>
    </r>
    <phoneticPr fontId="140" type="noConversion"/>
  </si>
  <si>
    <r>
      <t>2</t>
    </r>
    <r>
      <rPr>
        <sz val="10"/>
        <color theme="1"/>
        <rFont val="Arial"/>
        <family val="2"/>
      </rPr>
      <t>011-1</t>
    </r>
    <phoneticPr fontId="140" type="noConversion"/>
  </si>
  <si>
    <r>
      <t>2</t>
    </r>
    <r>
      <rPr>
        <sz val="10"/>
        <color theme="1"/>
        <rFont val="Arial"/>
        <family val="2"/>
      </rPr>
      <t>010-4</t>
    </r>
    <phoneticPr fontId="140" type="noConversion"/>
  </si>
  <si>
    <r>
      <t>2</t>
    </r>
    <r>
      <rPr>
        <sz val="10"/>
        <color theme="1"/>
        <rFont val="Arial"/>
        <family val="2"/>
      </rPr>
      <t>010-3</t>
    </r>
    <phoneticPr fontId="140" type="noConversion"/>
  </si>
  <si>
    <r>
      <t>2</t>
    </r>
    <r>
      <rPr>
        <sz val="10"/>
        <color theme="1"/>
        <rFont val="Arial"/>
        <family val="2"/>
      </rPr>
      <t>010-2</t>
    </r>
    <phoneticPr fontId="140" type="noConversion"/>
  </si>
  <si>
    <r>
      <t>2</t>
    </r>
    <r>
      <rPr>
        <sz val="10"/>
        <color theme="1"/>
        <rFont val="Arial"/>
        <family val="2"/>
      </rPr>
      <t>010-1</t>
    </r>
    <phoneticPr fontId="140" type="noConversion"/>
  </si>
  <si>
    <r>
      <t>2</t>
    </r>
    <r>
      <rPr>
        <sz val="10"/>
        <color theme="1"/>
        <rFont val="Arial"/>
        <family val="2"/>
      </rPr>
      <t>009-4</t>
    </r>
    <phoneticPr fontId="140" type="noConversion"/>
  </si>
  <si>
    <r>
      <t>2</t>
    </r>
    <r>
      <rPr>
        <sz val="10"/>
        <color theme="1"/>
        <rFont val="Arial"/>
        <family val="2"/>
      </rPr>
      <t>009-3</t>
    </r>
    <phoneticPr fontId="140" type="noConversion"/>
  </si>
  <si>
    <r>
      <t>2</t>
    </r>
    <r>
      <rPr>
        <sz val="10"/>
        <color theme="1"/>
        <rFont val="Arial"/>
        <family val="2"/>
      </rPr>
      <t>009-2</t>
    </r>
    <phoneticPr fontId="140" type="noConversion"/>
  </si>
  <si>
    <r>
      <t>2</t>
    </r>
    <r>
      <rPr>
        <sz val="10"/>
        <color theme="1"/>
        <rFont val="Arial"/>
        <family val="2"/>
      </rPr>
      <t>009-1</t>
    </r>
    <phoneticPr fontId="140" type="noConversion"/>
  </si>
  <si>
    <r>
      <t>2</t>
    </r>
    <r>
      <rPr>
        <sz val="10"/>
        <color theme="1"/>
        <rFont val="Arial"/>
        <family val="2"/>
      </rPr>
      <t>008-4</t>
    </r>
    <phoneticPr fontId="140" type="noConversion"/>
  </si>
  <si>
    <r>
      <t>2</t>
    </r>
    <r>
      <rPr>
        <sz val="10"/>
        <color theme="1"/>
        <rFont val="Arial"/>
        <family val="2"/>
      </rPr>
      <t>008-3</t>
    </r>
    <phoneticPr fontId="140" type="noConversion"/>
  </si>
  <si>
    <r>
      <t>2</t>
    </r>
    <r>
      <rPr>
        <sz val="10"/>
        <color theme="1"/>
        <rFont val="Arial"/>
        <family val="2"/>
      </rPr>
      <t>008-2</t>
    </r>
    <phoneticPr fontId="140" type="noConversion"/>
  </si>
  <si>
    <r>
      <t>2</t>
    </r>
    <r>
      <rPr>
        <sz val="10"/>
        <color theme="1"/>
        <rFont val="Arial"/>
        <family val="2"/>
      </rPr>
      <t>008-1</t>
    </r>
    <phoneticPr fontId="140" type="noConversion"/>
  </si>
  <si>
    <r>
      <t>2</t>
    </r>
    <r>
      <rPr>
        <sz val="10"/>
        <color theme="1"/>
        <rFont val="Arial"/>
        <family val="2"/>
      </rPr>
      <t>007-4</t>
    </r>
    <phoneticPr fontId="140" type="noConversion"/>
  </si>
  <si>
    <r>
      <t>2</t>
    </r>
    <r>
      <rPr>
        <sz val="10"/>
        <color theme="1"/>
        <rFont val="Arial"/>
        <family val="2"/>
      </rPr>
      <t>007-3</t>
    </r>
    <phoneticPr fontId="140" type="noConversion"/>
  </si>
  <si>
    <r>
      <t>2</t>
    </r>
    <r>
      <rPr>
        <sz val="10"/>
        <color theme="1"/>
        <rFont val="Arial"/>
        <family val="2"/>
      </rPr>
      <t>007-2</t>
    </r>
    <phoneticPr fontId="140" type="noConversion"/>
  </si>
  <si>
    <r>
      <t>2</t>
    </r>
    <r>
      <rPr>
        <sz val="10"/>
        <color theme="1"/>
        <rFont val="Arial"/>
        <family val="2"/>
      </rPr>
      <t>007-1</t>
    </r>
    <phoneticPr fontId="140" type="noConversion"/>
  </si>
  <si>
    <r>
      <t>2</t>
    </r>
    <r>
      <rPr>
        <sz val="10"/>
        <color theme="1"/>
        <rFont val="Arial"/>
        <family val="2"/>
      </rPr>
      <t>006-4</t>
    </r>
    <phoneticPr fontId="140" type="noConversion"/>
  </si>
  <si>
    <t>2006-3</t>
    <phoneticPr fontId="140" type="noConversion"/>
  </si>
  <si>
    <t>2006-2</t>
    <phoneticPr fontId="140" type="noConversion"/>
  </si>
  <si>
    <t>2006-1</t>
    <phoneticPr fontId="140" type="noConversion"/>
  </si>
  <si>
    <r>
      <t>2</t>
    </r>
    <r>
      <rPr>
        <sz val="10"/>
        <color theme="1"/>
        <rFont val="Arial"/>
        <family val="2"/>
      </rPr>
      <t>005-4</t>
    </r>
    <phoneticPr fontId="140" type="noConversion"/>
  </si>
  <si>
    <r>
      <t>2</t>
    </r>
    <r>
      <rPr>
        <sz val="10"/>
        <color theme="1"/>
        <rFont val="Arial"/>
        <family val="2"/>
      </rPr>
      <t>005-3</t>
    </r>
    <phoneticPr fontId="140" type="noConversion"/>
  </si>
  <si>
    <r>
      <t>2</t>
    </r>
    <r>
      <rPr>
        <sz val="10"/>
        <color theme="1"/>
        <rFont val="Arial"/>
        <family val="2"/>
      </rPr>
      <t>005-2</t>
    </r>
    <phoneticPr fontId="140" type="noConversion"/>
  </si>
  <si>
    <r>
      <t>2</t>
    </r>
    <r>
      <rPr>
        <sz val="10"/>
        <color theme="1"/>
        <rFont val="Arial"/>
        <family val="2"/>
      </rPr>
      <t>005-1</t>
    </r>
    <phoneticPr fontId="140" type="noConversion"/>
  </si>
  <si>
    <r>
      <t>2</t>
    </r>
    <r>
      <rPr>
        <sz val="10"/>
        <color theme="1"/>
        <rFont val="Arial"/>
        <family val="2"/>
      </rPr>
      <t>004-4</t>
    </r>
    <phoneticPr fontId="140" type="noConversion"/>
  </si>
  <si>
    <r>
      <t>2</t>
    </r>
    <r>
      <rPr>
        <sz val="10"/>
        <color theme="1"/>
        <rFont val="Arial"/>
        <family val="2"/>
      </rPr>
      <t>004-3</t>
    </r>
    <phoneticPr fontId="140" type="noConversion"/>
  </si>
  <si>
    <r>
      <t>2</t>
    </r>
    <r>
      <rPr>
        <sz val="10"/>
        <color theme="1"/>
        <rFont val="Arial"/>
        <family val="2"/>
      </rPr>
      <t>004-2</t>
    </r>
    <phoneticPr fontId="140" type="noConversion"/>
  </si>
  <si>
    <r>
      <t>2</t>
    </r>
    <r>
      <rPr>
        <sz val="10"/>
        <color theme="1"/>
        <rFont val="Arial"/>
        <family val="2"/>
      </rPr>
      <t>004-1</t>
    </r>
    <phoneticPr fontId="140" type="noConversion"/>
  </si>
  <si>
    <r>
      <t>2</t>
    </r>
    <r>
      <rPr>
        <sz val="10"/>
        <color theme="1"/>
        <rFont val="Arial"/>
        <family val="2"/>
      </rPr>
      <t>003-4</t>
    </r>
    <phoneticPr fontId="140" type="noConversion"/>
  </si>
  <si>
    <r>
      <t>2</t>
    </r>
    <r>
      <rPr>
        <sz val="10"/>
        <color theme="1"/>
        <rFont val="Arial"/>
        <family val="2"/>
      </rPr>
      <t>003-3</t>
    </r>
    <phoneticPr fontId="140" type="noConversion"/>
  </si>
  <si>
    <r>
      <t>2</t>
    </r>
    <r>
      <rPr>
        <sz val="10"/>
        <color theme="1"/>
        <rFont val="Arial"/>
        <family val="2"/>
      </rPr>
      <t>003-2</t>
    </r>
    <phoneticPr fontId="140" type="noConversion"/>
  </si>
  <si>
    <r>
      <t>2</t>
    </r>
    <r>
      <rPr>
        <sz val="10"/>
        <color theme="1"/>
        <rFont val="Arial"/>
        <family val="2"/>
      </rPr>
      <t>003-1</t>
    </r>
    <phoneticPr fontId="140" type="noConversion"/>
  </si>
  <si>
    <r>
      <t>2</t>
    </r>
    <r>
      <rPr>
        <sz val="10"/>
        <color theme="1"/>
        <rFont val="Arial"/>
        <family val="2"/>
      </rPr>
      <t>002-4</t>
    </r>
    <phoneticPr fontId="140" type="noConversion"/>
  </si>
  <si>
    <r>
      <t>2</t>
    </r>
    <r>
      <rPr>
        <sz val="10"/>
        <color theme="1"/>
        <rFont val="Arial"/>
        <family val="2"/>
      </rPr>
      <t>002-3</t>
    </r>
    <phoneticPr fontId="140" type="noConversion"/>
  </si>
  <si>
    <r>
      <t>2</t>
    </r>
    <r>
      <rPr>
        <sz val="10"/>
        <color theme="1"/>
        <rFont val="Arial"/>
        <family val="2"/>
      </rPr>
      <t>002-2</t>
    </r>
    <phoneticPr fontId="140" type="noConversion"/>
  </si>
  <si>
    <r>
      <t>2</t>
    </r>
    <r>
      <rPr>
        <sz val="10"/>
        <color theme="1"/>
        <rFont val="Arial"/>
        <family val="2"/>
      </rPr>
      <t>002-1</t>
    </r>
    <phoneticPr fontId="140" type="noConversion"/>
  </si>
  <si>
    <t>说明</t>
    <phoneticPr fontId="140"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</si>
  <si>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0"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</si>
  <si>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0"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</si>
  <si>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0"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</si>
  <si>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</si>
  <si>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</si>
  <si>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</si>
  <si>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</si>
  <si>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0" type="noConversion"/>
  </si>
  <si>
    <t>封皮-估价项目名称</t>
    <phoneticPr fontId="140" type="noConversion"/>
  </si>
  <si>
    <t>封皮-估价委托人</t>
    <phoneticPr fontId="140" type="noConversion"/>
  </si>
  <si>
    <t>封皮-注册房地产估价师</t>
    <phoneticPr fontId="140" type="noConversion"/>
  </si>
  <si>
    <t>封皮-估价报告编号</t>
    <phoneticPr fontId="140" type="noConversion"/>
  </si>
  <si>
    <t>致函-委托事项</t>
    <phoneticPr fontId="140" type="noConversion"/>
  </si>
  <si>
    <t>致函-估价目的</t>
    <phoneticPr fontId="140" type="noConversion"/>
  </si>
  <si>
    <t>致函-价值时点</t>
    <phoneticPr fontId="140" type="noConversion"/>
  </si>
  <si>
    <t>致函-价值类型-房地产</t>
    <phoneticPr fontId="140" type="noConversion"/>
  </si>
  <si>
    <t>致函-价值类型-建筑物/土地</t>
    <phoneticPr fontId="148" type="noConversion"/>
  </si>
  <si>
    <t>致函-价值类型-抵押</t>
    <phoneticPr fontId="148" type="noConversion"/>
  </si>
  <si>
    <t>致函-价值类型-优先受偿</t>
    <phoneticPr fontId="148" type="noConversion"/>
  </si>
  <si>
    <t>致函-价值类型-净值</t>
    <phoneticPr fontId="148" type="noConversion"/>
  </si>
  <si>
    <t>致函-估价方法</t>
    <phoneticPr fontId="148" type="noConversion"/>
  </si>
  <si>
    <t>致函-估价结果</t>
    <phoneticPr fontId="140" type="noConversion"/>
  </si>
  <si>
    <t>致函-估价结果-表1-总</t>
    <phoneticPr fontId="148" type="noConversion"/>
  </si>
  <si>
    <t>致函-估价结果-表1-单</t>
    <phoneticPr fontId="148" type="noConversion"/>
  </si>
  <si>
    <t>致函-估价结果-表1-大</t>
    <phoneticPr fontId="148" type="noConversion"/>
  </si>
  <si>
    <t>致函-估价结果-表1-优先（大）</t>
    <phoneticPr fontId="148" type="noConversion"/>
  </si>
  <si>
    <t>致函-估价结果-表1-优先-抵押</t>
    <phoneticPr fontId="148" type="noConversion"/>
  </si>
  <si>
    <t>致函-估价结果-表1-优先-工程</t>
    <phoneticPr fontId="148" type="noConversion"/>
  </si>
  <si>
    <t>致函-估价结果-表1-优先-其他</t>
    <phoneticPr fontId="148" type="noConversion"/>
  </si>
  <si>
    <t>致函-估价结果-表1-抵押（大）</t>
    <phoneticPr fontId="148" type="noConversion"/>
  </si>
  <si>
    <t>致函-估价结果-表1-已注（大）</t>
    <phoneticPr fontId="148" type="noConversion"/>
  </si>
  <si>
    <t>致函-估价结果-表1-净值（单）</t>
    <phoneticPr fontId="148" type="noConversion"/>
  </si>
  <si>
    <t>致函-估价结果-表1-净值（大）</t>
    <phoneticPr fontId="148" type="noConversion"/>
  </si>
  <si>
    <t>致函-估价结果-表2-土地面积</t>
    <phoneticPr fontId="148" type="noConversion"/>
  </si>
  <si>
    <t>致函-估价结果-表2-地（总）</t>
    <phoneticPr fontId="148" type="noConversion"/>
  </si>
  <si>
    <t>致函-估价结果-表2-地（单）</t>
    <phoneticPr fontId="148" type="noConversion"/>
  </si>
  <si>
    <t>致函-估价结果-表2-地（大）</t>
    <phoneticPr fontId="148" type="noConversion"/>
  </si>
  <si>
    <t>致函-估价结果-表2-建（总）</t>
    <phoneticPr fontId="148" type="noConversion"/>
  </si>
  <si>
    <t>致函-估价结果-表2-建（单）</t>
    <phoneticPr fontId="148" type="noConversion"/>
  </si>
  <si>
    <t>致函-特别提示-1</t>
    <phoneticPr fontId="148" type="noConversion"/>
  </si>
  <si>
    <t>致函-特别提示-2</t>
  </si>
  <si>
    <t>致函-特别提示-优先受偿-1</t>
    <phoneticPr fontId="148" type="noConversion"/>
  </si>
  <si>
    <t>致函-特别提示-优先受偿-2</t>
  </si>
  <si>
    <t>致函-特别提示-优先受偿-3</t>
  </si>
  <si>
    <t>致函-特别提示-优先受偿-4</t>
  </si>
  <si>
    <t>致函-特别提示-4</t>
    <phoneticPr fontId="148" type="noConversion"/>
  </si>
  <si>
    <t>致函-特别提示-5</t>
  </si>
  <si>
    <t>致函-出具日期</t>
    <phoneticPr fontId="140" type="noConversion"/>
  </si>
  <si>
    <t>致函-估价师1</t>
    <phoneticPr fontId="140" type="noConversion"/>
  </si>
  <si>
    <t>致函-估价师1-证号</t>
    <phoneticPr fontId="140" type="noConversion"/>
  </si>
  <si>
    <t>致函-估价师2</t>
    <phoneticPr fontId="140" type="noConversion"/>
  </si>
  <si>
    <t>致函-估价师2-证号</t>
    <phoneticPr fontId="140" type="noConversion"/>
  </si>
  <si>
    <t>致函-估价对象-现房-1</t>
    <phoneticPr fontId="140" type="noConversion"/>
  </si>
  <si>
    <t>致函-估价对象-现房-2</t>
  </si>
  <si>
    <t>致函-估价对象-在建-1</t>
    <phoneticPr fontId="140" type="noConversion"/>
  </si>
  <si>
    <t>致函-估价对象-在建-2</t>
  </si>
  <si>
    <t>致函-特别提示-优先受偿-5</t>
  </si>
  <si>
    <t>致函-特别提示-6</t>
  </si>
  <si>
    <t>致函-特别提示-7</t>
  </si>
  <si>
    <t>致函-估价结果-表2-地（名称）</t>
    <phoneticPr fontId="148" type="noConversion"/>
  </si>
  <si>
    <t>致函-估价结果-表2-建（名称）</t>
    <phoneticPr fontId="148" type="noConversion"/>
  </si>
  <si>
    <t>致函-估价结果-表2-土地面积（名称）</t>
    <phoneticPr fontId="148" type="noConversion"/>
  </si>
  <si>
    <t>致函-估价结果-表1-抵押（单）</t>
    <phoneticPr fontId="148" type="noConversion"/>
  </si>
  <si>
    <t>致函-估价结果-表1-已注（单）</t>
    <phoneticPr fontId="148" type="noConversion"/>
  </si>
  <si>
    <t>致函-估价结果-表1-已注（名称）</t>
    <phoneticPr fontId="148" type="noConversion"/>
  </si>
  <si>
    <t>致函-估价结果-表1-净值（名称）</t>
    <phoneticPr fontId="148" type="noConversion"/>
  </si>
  <si>
    <t>致函-估价结果-表2-建（大）</t>
  </si>
  <si>
    <t>致函-估价结果-表2-已注（名称）</t>
    <phoneticPr fontId="148" type="noConversion"/>
  </si>
  <si>
    <t>致函-估价结果-表2-净值（名称）</t>
    <phoneticPr fontId="148" type="noConversion"/>
  </si>
  <si>
    <t>本次估价的“房地产抵押价值”是指估价对象在价值时点的“房地产价值”扣减估价师于价值时点所知悉的法定优先受偿款后的余额。</t>
    <phoneticPr fontId="86" type="noConversion"/>
  </si>
  <si>
    <t>本次估价的“抵押担保权已注销时的房地产抵押价值”是指估价对象在价值时点的“房地产价值”扣减估价师于价值时点所知悉的除抵押担保权以外的其他法定优先受偿款后的余额。</t>
    <phoneticPr fontId="86" type="noConversion"/>
  </si>
  <si>
    <t>本次估价的“抵押净值”是指估价对象“房地产抵押价值”减去估价对象在价值时点以“房地产销售收入”为基数计算的预计抵押权实现进行处置时需缴纳的各项费用、税金等相关费用后的价值。</t>
    <phoneticPr fontId="86" type="noConversion"/>
  </si>
  <si>
    <t>为估价委托人了解估价对象房地产市场价值提供参考依据。</t>
    <phoneticPr fontId="16" type="noConversion"/>
  </si>
  <si>
    <t>抵押净值</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</si>
  <si>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phoneticPr fontId="86" type="noConversion"/>
  </si>
  <si>
    <t>致函-估价结果-表1-优先（名称）</t>
    <phoneticPr fontId="148" type="noConversion"/>
  </si>
  <si>
    <t>致函-估价结果-表2-建筑面积（名称）</t>
    <phoneticPr fontId="148" type="noConversion"/>
  </si>
  <si>
    <t>致函-估价结果-表2-建筑面积</t>
    <phoneticPr fontId="148" type="noConversion"/>
  </si>
  <si>
    <t>致函-估价结果-表2-项目名称</t>
    <phoneticPr fontId="148" type="noConversion"/>
  </si>
  <si>
    <t>致函-估价结果-表1-抵押（名称）</t>
    <phoneticPr fontId="148" type="noConversion"/>
  </si>
  <si>
    <t>致函-估价结果-表1-抵押（总）</t>
    <phoneticPr fontId="148" type="noConversion"/>
  </si>
  <si>
    <t>致函-估价结果-表1-优先（总）</t>
    <phoneticPr fontId="148" type="noConversion"/>
  </si>
  <si>
    <t>致函-估价结果-表1-已注（总）</t>
    <phoneticPr fontId="148" type="noConversion"/>
  </si>
  <si>
    <t>致函-估价结果-表1-净值（总）</t>
    <phoneticPr fontId="148" type="noConversion"/>
  </si>
  <si>
    <t>致函-估价结果-表2-抵押（名称）</t>
    <phoneticPr fontId="140" type="noConversion"/>
  </si>
  <si>
    <t>致函-估价结果-表2-优先（名称）</t>
    <phoneticPr fontId="148"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</si>
  <si>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8" type="noConversion"/>
  </si>
  <si>
    <t>致函-其他专业人员</t>
    <phoneticPr fontId="140" type="noConversion"/>
  </si>
  <si>
    <t>价值时点</t>
    <phoneticPr fontId="3" type="noConversion"/>
  </si>
  <si>
    <t>开发期</t>
    <phoneticPr fontId="140" type="noConversion"/>
  </si>
  <si>
    <t>贷款利率</t>
    <phoneticPr fontId="3" type="noConversion"/>
  </si>
  <si>
    <t>贷款利率</t>
    <phoneticPr fontId="140" type="noConversion"/>
  </si>
  <si>
    <t>存款利率</t>
    <phoneticPr fontId="140" type="noConversion"/>
  </si>
  <si>
    <t>半年以内（含）</t>
    <phoneticPr fontId="3" type="noConversion"/>
  </si>
  <si>
    <t>0.5-1年（含）</t>
    <phoneticPr fontId="3" type="noConversion"/>
  </si>
  <si>
    <t>1-3年（含）</t>
    <phoneticPr fontId="3" type="noConversion"/>
  </si>
  <si>
    <t>3-5年（含）</t>
    <phoneticPr fontId="3" type="noConversion"/>
  </si>
  <si>
    <t>5年以上</t>
    <phoneticPr fontId="3" type="noConversion"/>
  </si>
  <si>
    <t>更新利率时，不要插入或删减行，会影响公式判断。当期行（13行）为固定行，只录入当期数据，如有更新，需要将历史数据从第14行起复制黏贴</t>
    <phoneticPr fontId="140"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</si>
  <si>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</si>
  <si>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</si>
  <si>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3" type="noConversion"/>
  </si>
  <si>
    <t>日期</t>
  </si>
  <si>
    <t>短期</t>
  </si>
  <si>
    <t>中长期</t>
  </si>
  <si>
    <t>个人住房公积金</t>
  </si>
  <si>
    <t>活期</t>
  </si>
  <si>
    <t>整存整取</t>
  </si>
  <si>
    <t>零存整取</t>
    <phoneticPr fontId="3" type="noConversion"/>
  </si>
  <si>
    <t>协定</t>
  </si>
  <si>
    <t>一天通</t>
  </si>
  <si>
    <t>七天通</t>
  </si>
  <si>
    <t>0半年以内（含）</t>
    <phoneticPr fontId="3" type="noConversion"/>
  </si>
  <si>
    <t>0.5-1年（含）</t>
    <phoneticPr fontId="3" type="noConversion"/>
  </si>
  <si>
    <t>1-3年（含）</t>
    <phoneticPr fontId="3" type="noConversion"/>
  </si>
  <si>
    <t>3-5年（含）</t>
    <phoneticPr fontId="3" type="noConversion"/>
  </si>
  <si>
    <t>5年以</t>
  </si>
  <si>
    <t>3个月</t>
  </si>
  <si>
    <t>当期</t>
  </si>
  <si>
    <t>--</t>
  </si>
  <si>
    <t>1年期存款利率</t>
    <phoneticPr fontId="3" type="noConversion"/>
  </si>
  <si>
    <t>A</t>
    <phoneticPr fontId="16" type="noConversion"/>
  </si>
  <si>
    <t>B</t>
    <phoneticPr fontId="16" type="noConversion"/>
  </si>
  <si>
    <t>C</t>
    <phoneticPr fontId="18" type="noConversion"/>
  </si>
  <si>
    <t>D</t>
    <phoneticPr fontId="18" type="noConversion"/>
  </si>
  <si>
    <t>E</t>
    <phoneticPr fontId="18" type="noConversion"/>
  </si>
  <si>
    <r>
      <t>3</t>
    </r>
    <r>
      <rPr>
        <sz val="11"/>
        <color theme="1"/>
        <rFont val="宋体"/>
        <family val="3"/>
        <charset val="134"/>
      </rPr>
      <t>）</t>
    </r>
    <phoneticPr fontId="16" type="noConversion"/>
  </si>
  <si>
    <t>此处对应收益法中未来第一年总收益</t>
    <phoneticPr fontId="140" type="noConversion"/>
  </si>
  <si>
    <t>估价对象10</t>
  </si>
  <si>
    <t>估价对象9</t>
  </si>
  <si>
    <t>估价对象8</t>
  </si>
  <si>
    <t>估价对象7</t>
  </si>
  <si>
    <t>估价对象6</t>
  </si>
  <si>
    <t>估价对象5</t>
  </si>
  <si>
    <t>估价对象4</t>
  </si>
  <si>
    <t>估价对象3</t>
  </si>
  <si>
    <t>估价对象2</t>
    <phoneticPr fontId="140" type="noConversion"/>
  </si>
  <si>
    <t>估价对象1（本表）</t>
    <phoneticPr fontId="140" type="noConversion"/>
  </si>
  <si>
    <t>抵押净值（万元）</t>
    <phoneticPr fontId="140" type="noConversion"/>
  </si>
  <si>
    <t>抵押价值（万元）</t>
    <phoneticPr fontId="140"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</si>
  <si>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0" type="noConversion"/>
  </si>
  <si>
    <t>租金</t>
    <phoneticPr fontId="140" type="noConversion"/>
  </si>
  <si>
    <t>总投</t>
    <phoneticPr fontId="140" type="noConversion"/>
  </si>
  <si>
    <t>抵押价值</t>
  </si>
  <si>
    <t>市场价值</t>
  </si>
  <si>
    <t>地面单价（元/平方米）</t>
    <phoneticPr fontId="140" type="noConversion"/>
  </si>
  <si>
    <t>楼面单价（元/平方米）</t>
  </si>
  <si>
    <t>总价（万元）</t>
  </si>
  <si>
    <t>价值类型</t>
  </si>
  <si>
    <t>价值时点/估价期日</t>
    <phoneticPr fontId="140" type="noConversion"/>
  </si>
  <si>
    <t>抵押价值-已注销（万元）</t>
    <phoneticPr fontId="140" type="noConversion"/>
  </si>
  <si>
    <t>抵押价值-已注销</t>
    <phoneticPr fontId="140"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</si>
  <si>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0"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</si>
  <si>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0" type="noConversion"/>
  </si>
  <si>
    <t>市场价值（万元）</t>
    <phoneticPr fontId="140"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</si>
  <si>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0" type="noConversion"/>
  </si>
  <si>
    <t>项目名称</t>
    <phoneticPr fontId="140" type="noConversion"/>
  </si>
  <si>
    <t>重置成新价</t>
    <phoneticPr fontId="140"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</si>
  <si>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3" type="noConversion"/>
  </si>
  <si>
    <t>北京市基准地价表</t>
  </si>
  <si>
    <t>（一）北京市级别基准地价表</t>
  </si>
  <si>
    <t>基准期日：２０１４年１月１日                        单位：元／建筑平方米</t>
  </si>
  <si>
    <t>用途</t>
  </si>
  <si>
    <t>地价类型</t>
  </si>
  <si>
    <t>商业</t>
  </si>
  <si>
    <t>居住</t>
  </si>
  <si>
    <t>土地级别</t>
  </si>
  <si>
    <t>楼面熟地价</t>
  </si>
  <si>
    <t>低限</t>
    <phoneticPr fontId="140" type="noConversion"/>
  </si>
  <si>
    <t>高限</t>
    <phoneticPr fontId="140" type="noConversion"/>
  </si>
  <si>
    <t>平均</t>
    <phoneticPr fontId="140" type="noConversion"/>
  </si>
  <si>
    <t>商服</t>
    <phoneticPr fontId="3" type="noConversion"/>
  </si>
  <si>
    <t>2017-2</t>
    <phoneticPr fontId="3" type="noConversion"/>
  </si>
  <si>
    <r>
      <rPr>
        <sz val="12"/>
        <rFont val="宋体"/>
        <family val="3"/>
        <charset val="134"/>
      </rPr>
      <t>收益年期</t>
    </r>
    <r>
      <rPr>
        <sz val="12"/>
        <rFont val="Arial"/>
        <family val="2"/>
      </rPr>
      <t>(</t>
    </r>
    <r>
      <rPr>
        <sz val="12"/>
        <rFont val="宋体"/>
        <family val="3"/>
        <charset val="134"/>
      </rPr>
      <t>总</t>
    </r>
    <r>
      <rPr>
        <sz val="12"/>
        <rFont val="Arial"/>
        <family val="2"/>
      </rPr>
      <t>)</t>
    </r>
    <phoneticPr fontId="3" type="noConversion"/>
  </si>
  <si>
    <r>
      <rPr>
        <i/>
        <sz val="10"/>
        <color indexed="8"/>
        <rFont val="宋体"/>
        <family val="3"/>
        <charset val="134"/>
      </rPr>
      <t>（自定义押金）</t>
    </r>
    <r>
      <rPr>
        <b/>
        <i/>
        <sz val="10"/>
        <color rgb="FFFF0000"/>
        <rFont val="宋体"/>
        <family val="3"/>
        <charset val="134"/>
      </rPr>
      <t>单位：元</t>
    </r>
    <phoneticPr fontId="3" type="noConversion"/>
  </si>
  <si>
    <r>
      <t>3</t>
    </r>
    <r>
      <rPr>
        <sz val="10"/>
        <color indexed="8"/>
        <rFont val="宋体"/>
        <family val="3"/>
        <charset val="134"/>
      </rPr>
      <t>）</t>
    </r>
    <phoneticPr fontId="3" type="noConversion"/>
  </si>
  <si>
    <r>
      <t>4</t>
    </r>
    <r>
      <rPr>
        <sz val="10"/>
        <color indexed="8"/>
        <rFont val="宋体"/>
        <family val="3"/>
        <charset val="134"/>
      </rPr>
      <t>）</t>
    </r>
    <phoneticPr fontId="3" type="noConversion"/>
  </si>
  <si>
    <r>
      <t>5</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</si>
  <si>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</si>
  <si>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</si>
  <si>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b/>
        <sz val="12"/>
        <rFont val="宋体"/>
        <family val="3"/>
        <charset val="134"/>
      </rPr>
      <t>总价</t>
    </r>
    <phoneticPr fontId="18" type="noConversion"/>
  </si>
  <si>
    <r>
      <rPr>
        <b/>
        <sz val="12"/>
        <rFont val="宋体"/>
        <family val="3"/>
        <charset val="134"/>
      </rPr>
      <t>楼面单价</t>
    </r>
    <phoneticPr fontId="18"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</si>
  <si>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</si>
  <si>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</si>
  <si>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</si>
  <si>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</si>
  <si>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</si>
  <si>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</si>
  <si>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</si>
  <si>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sz val="10"/>
        <color indexed="8"/>
        <rFont val="宋体"/>
        <family val="3"/>
        <charset val="134"/>
      </rPr>
      <t>年租金收入（年经营收入）</t>
    </r>
    <phoneticPr fontId="3" type="noConversion"/>
  </si>
  <si>
    <r>
      <rPr>
        <sz val="10"/>
        <color indexed="8"/>
        <rFont val="宋体"/>
        <family val="3"/>
        <charset val="134"/>
      </rPr>
      <t>租金</t>
    </r>
    <r>
      <rPr>
        <sz val="10"/>
        <color indexed="8"/>
        <rFont val="Arial"/>
        <family val="2"/>
      </rPr>
      <t>×</t>
    </r>
    <r>
      <rPr>
        <sz val="10"/>
        <color indexed="8"/>
        <rFont val="宋体"/>
        <family val="3"/>
        <charset val="134"/>
      </rPr>
      <t>月数</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</si>
  <si>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phoneticPr fontId="3"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</si>
  <si>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3" type="noConversion"/>
  </si>
  <si>
    <r>
      <rPr>
        <sz val="10"/>
        <color indexed="8"/>
        <rFont val="宋体"/>
        <family val="3"/>
        <charset val="134"/>
      </rPr>
      <t>天</t>
    </r>
    <r>
      <rPr>
        <sz val="10"/>
        <color indexed="8"/>
        <rFont val="Arial"/>
        <family val="2"/>
      </rPr>
      <t>/</t>
    </r>
    <r>
      <rPr>
        <sz val="10"/>
        <color indexed="8"/>
        <rFont val="宋体"/>
        <family val="3"/>
        <charset val="134"/>
      </rPr>
      <t>月</t>
    </r>
    <phoneticPr fontId="3"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</si>
  <si>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3" type="noConversion"/>
  </si>
  <si>
    <r>
      <rPr>
        <sz val="10"/>
        <color indexed="8"/>
        <rFont val="宋体"/>
        <family val="3"/>
        <charset val="134"/>
      </rPr>
      <t>押金利息收入</t>
    </r>
    <phoneticPr fontId="3" type="noConversion"/>
  </si>
  <si>
    <r>
      <rPr>
        <sz val="10"/>
        <color indexed="8"/>
        <rFont val="宋体"/>
        <family val="3"/>
        <charset val="134"/>
      </rPr>
      <t>押金方式</t>
    </r>
    <phoneticPr fontId="3" type="noConversion"/>
  </si>
  <si>
    <r>
      <rPr>
        <b/>
        <sz val="10"/>
        <color indexed="8"/>
        <rFont val="宋体"/>
        <family val="3"/>
        <charset val="134"/>
      </rPr>
      <t>押二</t>
    </r>
  </si>
  <si>
    <r>
      <rPr>
        <sz val="10"/>
        <color indexed="8"/>
        <rFont val="宋体"/>
        <family val="3"/>
        <charset val="134"/>
      </rPr>
      <t>一年期存款利率</t>
    </r>
    <phoneticPr fontId="3" type="noConversion"/>
  </si>
  <si>
    <r>
      <rPr>
        <sz val="10"/>
        <color indexed="8"/>
        <rFont val="宋体"/>
        <family val="3"/>
        <charset val="134"/>
      </rPr>
      <t>其他收入</t>
    </r>
    <phoneticPr fontId="3" type="noConversion"/>
  </si>
  <si>
    <r>
      <rPr>
        <b/>
        <sz val="10"/>
        <color indexed="8"/>
        <rFont val="宋体"/>
        <family val="3"/>
        <charset val="134"/>
      </rPr>
      <t>建筑物现值</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</si>
  <si>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3"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</si>
  <si>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3"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</si>
  <si>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</si>
  <si>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</si>
  <si>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建筑物重置价值</t>
    </r>
    <phoneticPr fontId="3" type="noConversion"/>
  </si>
  <si>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</si>
  <si>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</si>
  <si>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</si>
  <si>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rPr>
        <sz val="10"/>
        <color indexed="8"/>
        <rFont val="宋体"/>
        <family val="3"/>
        <charset val="134"/>
      </rPr>
      <t>公共配套设施费用</t>
    </r>
  </si>
  <si>
    <r>
      <rPr>
        <b/>
        <sz val="10"/>
        <color indexed="8"/>
        <rFont val="宋体"/>
        <family val="3"/>
        <charset val="134"/>
      </rPr>
      <t>年经营费用</t>
    </r>
    <phoneticPr fontId="3"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</si>
  <si>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3" type="noConversion"/>
  </si>
  <si>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</si>
  <si>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</si>
  <si>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3"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</si>
  <si>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</si>
  <si>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3" type="noConversion"/>
  </si>
  <si>
    <r>
      <rPr>
        <sz val="10"/>
        <color indexed="8"/>
        <rFont val="宋体"/>
        <family val="3"/>
        <charset val="134"/>
      </rPr>
      <t>综合税率</t>
    </r>
    <phoneticPr fontId="3" type="noConversion"/>
  </si>
  <si>
    <r>
      <rPr>
        <sz val="10"/>
        <color indexed="8"/>
        <rFont val="宋体"/>
        <family val="3"/>
        <charset val="134"/>
      </rPr>
      <t>相关税费</t>
    </r>
  </si>
  <si>
    <r>
      <rPr>
        <sz val="10"/>
        <color indexed="8"/>
        <rFont val="宋体"/>
        <family val="3"/>
        <charset val="134"/>
      </rPr>
      <t>两税两费</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</si>
  <si>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</si>
  <si>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</si>
  <si>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3" type="noConversion"/>
  </si>
  <si>
    <r>
      <rPr>
        <sz val="10"/>
        <color indexed="8"/>
        <rFont val="宋体"/>
        <family val="3"/>
        <charset val="134"/>
      </rPr>
      <t>房产税</t>
    </r>
    <phoneticPr fontId="3"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</si>
  <si>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</si>
  <si>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</si>
  <si>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3" type="noConversion"/>
  </si>
  <si>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</si>
  <si>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</si>
  <si>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</si>
  <si>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销售费用</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</si>
  <si>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3"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</si>
  <si>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</si>
  <si>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</si>
  <si>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贷款利息</t>
    </r>
    <phoneticPr fontId="3" type="noConversion"/>
  </si>
  <si>
    <r>
      <rPr>
        <sz val="10"/>
        <color indexed="8"/>
        <rFont val="宋体"/>
        <family val="3"/>
        <charset val="134"/>
      </rPr>
      <t>维修费</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</si>
  <si>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</si>
  <si>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）项产生的利息</t>
    </r>
    <phoneticPr fontId="3" type="noConversion"/>
  </si>
  <si>
    <r>
      <rPr>
        <sz val="10"/>
        <color indexed="8"/>
        <rFont val="宋体"/>
        <family val="3"/>
        <charset val="134"/>
      </rPr>
      <t>建设周期（年）</t>
    </r>
    <phoneticPr fontId="3"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</si>
  <si>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</si>
  <si>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</si>
  <si>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</si>
  <si>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</si>
  <si>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销售费用产生的利息</t>
    </r>
    <phoneticPr fontId="3" type="noConversion"/>
  </si>
  <si>
    <r>
      <rPr>
        <sz val="10"/>
        <color indexed="8"/>
        <rFont val="宋体"/>
        <family val="3"/>
        <charset val="134"/>
      </rPr>
      <t>利息（</t>
    </r>
    <r>
      <rPr>
        <sz val="10"/>
        <color indexed="8"/>
        <rFont val="Arial"/>
        <family val="2"/>
      </rPr>
      <t>%</t>
    </r>
    <r>
      <rPr>
        <sz val="10"/>
        <color indexed="8"/>
        <rFont val="宋体"/>
        <family val="3"/>
        <charset val="134"/>
      </rPr>
      <t>）</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</si>
  <si>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</si>
  <si>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color indexed="8"/>
        <rFont val="宋体"/>
        <family val="3"/>
        <charset val="134"/>
      </rPr>
      <t>（</t>
    </r>
    <r>
      <rPr>
        <sz val="10"/>
        <color indexed="8"/>
        <rFont val="Arial"/>
        <family val="2"/>
      </rPr>
      <t>5</t>
    </r>
    <r>
      <rPr>
        <sz val="10"/>
        <color indexed="8"/>
        <rFont val="宋体"/>
        <family val="3"/>
        <charset val="134"/>
      </rPr>
      <t>）</t>
    </r>
    <phoneticPr fontId="3"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</si>
  <si>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</si>
  <si>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</si>
  <si>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</si>
  <si>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</si>
  <si>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）项产生的利润</t>
    </r>
    <phoneticPr fontId="3"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</si>
  <si>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3"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</si>
  <si>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3" type="noConversion"/>
  </si>
  <si>
    <r>
      <rPr>
        <b/>
        <sz val="10"/>
        <color indexed="8"/>
        <rFont val="宋体"/>
        <family val="3"/>
        <charset val="134"/>
      </rPr>
      <t>租约外房地产收益价值</t>
    </r>
    <phoneticPr fontId="3" type="noConversion"/>
  </si>
  <si>
    <r>
      <rPr>
        <sz val="10"/>
        <color indexed="8"/>
        <rFont val="宋体"/>
        <family val="3"/>
        <charset val="134"/>
      </rPr>
      <t>房地产未来第一年净收益</t>
    </r>
    <r>
      <rPr>
        <sz val="10"/>
        <color indexed="8"/>
        <rFont val="Arial"/>
        <family val="2"/>
      </rPr>
      <t>×</t>
    </r>
    <phoneticPr fontId="3"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</si>
  <si>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3"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</si>
  <si>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</si>
  <si>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</si>
  <si>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3" type="noConversion"/>
  </si>
  <si>
    <r>
      <rPr>
        <sz val="10"/>
        <color indexed="8"/>
        <rFont val="宋体"/>
        <family val="3"/>
        <charset val="134"/>
      </rPr>
      <t>收益年期</t>
    </r>
    <r>
      <rPr>
        <sz val="10"/>
        <color indexed="8"/>
        <rFont val="Arial"/>
        <family val="2"/>
      </rPr>
      <t>(n)</t>
    </r>
    <phoneticPr fontId="3"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</si>
  <si>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</si>
  <si>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</si>
  <si>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年增长比率</t>
    </r>
    <r>
      <rPr>
        <sz val="10"/>
        <color indexed="8"/>
        <rFont val="Arial"/>
        <family val="2"/>
      </rPr>
      <t>(g)</t>
    </r>
    <phoneticPr fontId="3"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</si>
  <si>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3" type="noConversion"/>
  </si>
  <si>
    <r>
      <rPr>
        <b/>
        <sz val="10"/>
        <color indexed="8"/>
        <rFont val="宋体"/>
        <family val="3"/>
        <charset val="134"/>
      </rPr>
      <t>折现价值</t>
    </r>
    <phoneticPr fontId="3"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</si>
  <si>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</si>
  <si>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综合税率</t>
    </r>
    <phoneticPr fontId="20"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</si>
  <si>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</si>
  <si>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</si>
  <si>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</si>
  <si>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b/>
        <sz val="10"/>
        <color indexed="8"/>
        <rFont val="宋体"/>
        <family val="3"/>
        <charset val="134"/>
      </rPr>
      <t>收益价值</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</si>
  <si>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20"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</si>
  <si>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3"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</si>
  <si>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</si>
  <si>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建筑面积（㎡）</t>
    </r>
    <phoneticPr fontId="3" type="noConversion"/>
  </si>
  <si>
    <r>
      <rPr>
        <b/>
        <sz val="10"/>
        <color indexed="8"/>
        <rFont val="宋体"/>
        <family val="3"/>
        <charset val="134"/>
      </rPr>
      <t>租金收入</t>
    </r>
    <phoneticPr fontId="3" type="noConversion"/>
  </si>
  <si>
    <r>
      <rPr>
        <sz val="10"/>
        <color indexed="8"/>
        <rFont val="宋体"/>
        <family val="3"/>
        <charset val="134"/>
      </rPr>
      <t>市场租金</t>
    </r>
    <phoneticPr fontId="3" type="noConversion"/>
  </si>
  <si>
    <r>
      <t>2</t>
    </r>
    <r>
      <rPr>
        <sz val="10"/>
        <color indexed="8"/>
        <rFont val="宋体"/>
        <family val="3"/>
        <charset val="134"/>
      </rPr>
      <t>）</t>
    </r>
  </si>
  <si>
    <r>
      <rPr>
        <sz val="10"/>
        <color indexed="8"/>
        <rFont val="宋体"/>
        <family val="3"/>
        <charset val="134"/>
      </rPr>
      <t>房产税</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</si>
  <si>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</si>
  <si>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3</t>
    </r>
    <r>
      <rPr>
        <sz val="10"/>
        <color indexed="8"/>
        <rFont val="宋体"/>
        <family val="3"/>
        <charset val="134"/>
      </rPr>
      <t>）</t>
    </r>
  </si>
  <si>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</si>
  <si>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</si>
  <si>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</si>
  <si>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</si>
  <si>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</si>
  <si>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r>
      <rPr>
        <sz val="10"/>
        <color indexed="8"/>
        <rFont val="宋体"/>
        <family val="3"/>
        <charset val="134"/>
      </rPr>
      <t>维修费</t>
    </r>
    <phoneticPr fontId="3"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</si>
  <si>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</si>
  <si>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</si>
  <si>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</si>
  <si>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</si>
  <si>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rFont val="宋体"/>
        <family val="3"/>
        <charset val="134"/>
      </rPr>
      <t>房屋年纯收益</t>
    </r>
    <phoneticPr fontId="3" type="noConversion"/>
  </si>
  <si>
    <r>
      <rPr>
        <sz val="10"/>
        <rFont val="宋体"/>
        <family val="3"/>
        <charset val="134"/>
      </rPr>
      <t>建筑物资本化率</t>
    </r>
    <phoneticPr fontId="3" type="noConversion"/>
  </si>
  <si>
    <r>
      <rPr>
        <b/>
        <sz val="10"/>
        <color indexed="8"/>
        <rFont val="宋体"/>
        <family val="3"/>
        <charset val="134"/>
      </rPr>
      <t>确定合理的建筑物与土地价值比例</t>
    </r>
    <phoneticPr fontId="3" type="noConversion"/>
  </si>
  <si>
    <r>
      <t>1.</t>
    </r>
    <r>
      <rPr>
        <b/>
        <sz val="10"/>
        <color indexed="10"/>
        <rFont val="宋体"/>
        <family val="3"/>
        <charset val="134"/>
      </rPr>
      <t>收益比率</t>
    </r>
    <phoneticPr fontId="3" type="noConversion"/>
  </si>
  <si>
    <r>
      <rPr>
        <sz val="10"/>
        <rFont val="宋体"/>
        <family val="3"/>
        <charset val="134"/>
      </rPr>
      <t>土地收益比率</t>
    </r>
    <phoneticPr fontId="3" type="noConversion"/>
  </si>
  <si>
    <r>
      <rPr>
        <sz val="10"/>
        <rFont val="宋体"/>
        <family val="3"/>
        <charset val="134"/>
      </rPr>
      <t>建筑物收益比率</t>
    </r>
    <phoneticPr fontId="3" type="noConversion"/>
  </si>
  <si>
    <r>
      <t>2.</t>
    </r>
    <r>
      <rPr>
        <b/>
        <sz val="10"/>
        <color indexed="10"/>
        <rFont val="宋体"/>
        <family val="3"/>
        <charset val="134"/>
      </rPr>
      <t>成本比率</t>
    </r>
    <phoneticPr fontId="3" type="noConversion"/>
  </si>
  <si>
    <r>
      <rPr>
        <sz val="10"/>
        <color indexed="8"/>
        <rFont val="宋体"/>
        <family val="3"/>
        <charset val="134"/>
      </rPr>
      <t>土地成本比率</t>
    </r>
    <phoneticPr fontId="3" type="noConversion"/>
  </si>
  <si>
    <r>
      <rPr>
        <sz val="10"/>
        <color indexed="8"/>
        <rFont val="宋体"/>
        <family val="3"/>
        <charset val="134"/>
      </rPr>
      <t>建筑物成本比率</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</si>
  <si>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</si>
  <si>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</si>
  <si>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</si>
  <si>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</si>
  <si>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b/>
        <sz val="10"/>
        <color rgb="FFFF0000"/>
        <rFont val="宋体"/>
        <family val="3"/>
        <charset val="134"/>
      </rPr>
      <t>计算建筑物剩余价值折现</t>
    </r>
    <phoneticPr fontId="3" type="noConversion"/>
  </si>
  <si>
    <r>
      <rPr>
        <b/>
        <sz val="10"/>
        <color rgb="FFFF0000"/>
        <rFont val="宋体"/>
        <family val="3"/>
        <charset val="134"/>
      </rPr>
      <t>承租人权益价值</t>
    </r>
    <phoneticPr fontId="3" type="noConversion"/>
  </si>
  <si>
    <r>
      <rPr>
        <b/>
        <sz val="10"/>
        <color rgb="FFFF0000"/>
        <rFont val="宋体"/>
        <family val="3"/>
        <charset val="134"/>
      </rPr>
      <t>超出收益期的土地使用年限或建筑物价值折现计算</t>
    </r>
    <phoneticPr fontId="3" type="noConversion"/>
  </si>
  <si>
    <r>
      <rPr>
        <sz val="10"/>
        <color theme="1"/>
        <rFont val="宋体"/>
        <family val="3"/>
        <charset val="134"/>
      </rPr>
      <t>序号</t>
    </r>
  </si>
  <si>
    <r>
      <rPr>
        <sz val="10"/>
        <color theme="1"/>
        <rFont val="宋体"/>
        <family val="3"/>
        <charset val="134"/>
      </rPr>
      <t>项目</t>
    </r>
  </si>
  <si>
    <r>
      <rPr>
        <sz val="10"/>
        <color theme="1"/>
        <rFont val="宋体"/>
        <family val="3"/>
        <charset val="134"/>
      </rPr>
      <t>数额</t>
    </r>
  </si>
  <si>
    <r>
      <rPr>
        <sz val="10"/>
        <color theme="1"/>
        <rFont val="宋体"/>
        <family val="3"/>
        <charset val="134"/>
      </rPr>
      <t>计算公式</t>
    </r>
  </si>
  <si>
    <r>
      <rPr>
        <sz val="10"/>
        <rFont val="宋体"/>
        <family val="3"/>
        <charset val="134"/>
      </rPr>
      <t>建筑物结构</t>
    </r>
    <phoneticPr fontId="3" type="noConversion"/>
  </si>
  <si>
    <r>
      <rPr>
        <sz val="10"/>
        <rFont val="宋体"/>
        <family val="3"/>
        <charset val="134"/>
      </rPr>
      <t>土地使用年限</t>
    </r>
    <phoneticPr fontId="3" type="noConversion"/>
  </si>
  <si>
    <r>
      <rPr>
        <sz val="10"/>
        <color theme="1"/>
        <rFont val="宋体"/>
        <family val="3"/>
        <charset val="134"/>
      </rPr>
      <t>收益期内收益价值（万元）</t>
    </r>
    <phoneticPr fontId="3" type="noConversion"/>
  </si>
  <si>
    <r>
      <rPr>
        <sz val="10"/>
        <color theme="1"/>
        <rFont val="宋体"/>
        <family val="3"/>
        <charset val="134"/>
      </rPr>
      <t>依前述测算</t>
    </r>
  </si>
  <si>
    <r>
      <rPr>
        <sz val="10"/>
        <rFont val="宋体"/>
        <family val="3"/>
        <charset val="134"/>
      </rPr>
      <t>建筑使用方向</t>
    </r>
    <phoneticPr fontId="3" type="noConversion"/>
  </si>
  <si>
    <r>
      <rPr>
        <sz val="10"/>
        <color theme="1"/>
        <rFont val="宋体"/>
        <family val="3"/>
        <charset val="134"/>
      </rPr>
      <t>剩余土地使用年限</t>
    </r>
    <phoneticPr fontId="3" type="noConversion"/>
  </si>
  <si>
    <r>
      <rPr>
        <sz val="10"/>
        <color theme="1"/>
        <rFont val="宋体"/>
        <family val="3"/>
        <charset val="134"/>
      </rPr>
      <t>建筑物在收益期结束时的价值折现到价值时点的价值（万元）</t>
    </r>
    <phoneticPr fontId="3" type="noConversion"/>
  </si>
  <si>
    <r>
      <rPr>
        <sz val="10"/>
        <color theme="1"/>
        <rFont val="宋体"/>
        <family val="3"/>
        <charset val="134"/>
      </rPr>
      <t>建筑物重置价值</t>
    </r>
    <r>
      <rPr>
        <sz val="10"/>
        <color theme="1"/>
        <rFont val="Arial"/>
        <family val="2"/>
      </rPr>
      <t>×</t>
    </r>
    <r>
      <rPr>
        <sz val="10"/>
        <color theme="1"/>
        <rFont val="宋体"/>
        <family val="3"/>
        <charset val="134"/>
      </rPr>
      <t>成新率</t>
    </r>
    <r>
      <rPr>
        <sz val="10"/>
        <color theme="1"/>
        <rFont val="Arial"/>
        <family val="2"/>
      </rPr>
      <t>/</t>
    </r>
    <r>
      <rPr>
        <sz val="10"/>
        <color theme="1"/>
        <rFont val="宋体"/>
        <family val="3"/>
        <charset val="134"/>
      </rPr>
      <t>（</t>
    </r>
    <r>
      <rPr>
        <sz val="10"/>
        <color theme="1"/>
        <rFont val="Arial"/>
        <family val="2"/>
      </rPr>
      <t>1+</t>
    </r>
    <r>
      <rPr>
        <sz val="10"/>
        <color theme="1"/>
        <rFont val="宋体"/>
        <family val="3"/>
        <charset val="134"/>
      </rPr>
      <t>建筑物报酬率）</t>
    </r>
    <r>
      <rPr>
        <vertAlign val="superscript"/>
        <sz val="10"/>
        <color theme="1"/>
        <rFont val="宋体"/>
        <family val="3"/>
        <charset val="134"/>
      </rPr>
      <t>折现年期</t>
    </r>
  </si>
  <si>
    <r>
      <rPr>
        <sz val="10"/>
        <rFont val="宋体"/>
        <family val="3"/>
        <charset val="134"/>
      </rPr>
      <t>建成年代</t>
    </r>
    <phoneticPr fontId="3" type="noConversion"/>
  </si>
  <si>
    <r>
      <rPr>
        <sz val="10"/>
        <color theme="1"/>
        <rFont val="宋体"/>
        <family val="3"/>
        <charset val="134"/>
      </rPr>
      <t>比较法土地结果</t>
    </r>
    <phoneticPr fontId="3" type="noConversion"/>
  </si>
  <si>
    <r>
      <rPr>
        <sz val="10"/>
        <color theme="1"/>
        <rFont val="宋体"/>
        <family val="3"/>
        <charset val="134"/>
      </rPr>
      <t>建筑物重置价值（万元）</t>
    </r>
    <phoneticPr fontId="3" type="noConversion"/>
  </si>
  <si>
    <r>
      <rPr>
        <sz val="10"/>
        <rFont val="宋体"/>
        <family val="3"/>
        <charset val="134"/>
      </rPr>
      <t>建筑物耐用年限</t>
    </r>
    <phoneticPr fontId="3" type="noConversion"/>
  </si>
  <si>
    <r>
      <rPr>
        <sz val="10"/>
        <color theme="1"/>
        <rFont val="宋体"/>
        <family val="3"/>
        <charset val="134"/>
      </rPr>
      <t>基准地价土地结果</t>
    </r>
    <phoneticPr fontId="3" type="noConversion"/>
  </si>
  <si>
    <r>
      <rPr>
        <sz val="10"/>
        <color theme="1"/>
        <rFont val="宋体"/>
        <family val="3"/>
        <charset val="134"/>
      </rPr>
      <t>成新率（</t>
    </r>
    <r>
      <rPr>
        <sz val="10"/>
        <color theme="1"/>
        <rFont val="Arial"/>
        <family val="2"/>
      </rPr>
      <t>%</t>
    </r>
    <r>
      <rPr>
        <sz val="10"/>
        <color theme="1"/>
        <rFont val="宋体"/>
        <family val="3"/>
        <charset val="134"/>
      </rPr>
      <t>）</t>
    </r>
    <phoneticPr fontId="3" type="noConversion"/>
  </si>
  <si>
    <r>
      <rPr>
        <sz val="10"/>
        <rFont val="宋体"/>
        <family val="3"/>
        <charset val="134"/>
      </rPr>
      <t>建筑物剩余耐用年限</t>
    </r>
    <phoneticPr fontId="3" type="noConversion"/>
  </si>
  <si>
    <r>
      <rPr>
        <sz val="10"/>
        <rFont val="宋体"/>
        <family val="3"/>
        <charset val="134"/>
      </rPr>
      <t>收益还原法土地结果</t>
    </r>
    <phoneticPr fontId="3" type="noConversion"/>
  </si>
  <si>
    <r>
      <rPr>
        <sz val="10"/>
        <color theme="1"/>
        <rFont val="宋体"/>
        <family val="3"/>
        <charset val="134"/>
      </rPr>
      <t>建筑物报酬率（</t>
    </r>
    <r>
      <rPr>
        <sz val="10"/>
        <color theme="1"/>
        <rFont val="Arial"/>
        <family val="2"/>
      </rPr>
      <t>%</t>
    </r>
    <r>
      <rPr>
        <sz val="10"/>
        <color theme="1"/>
        <rFont val="宋体"/>
        <family val="3"/>
        <charset val="134"/>
      </rPr>
      <t>）</t>
    </r>
    <phoneticPr fontId="3" type="noConversion"/>
  </si>
  <si>
    <r>
      <rPr>
        <sz val="10"/>
        <rFont val="宋体"/>
        <family val="3"/>
        <charset val="134"/>
      </rPr>
      <t>建筑物报酬率</t>
    </r>
    <phoneticPr fontId="3" type="noConversion"/>
  </si>
  <si>
    <r>
      <rPr>
        <sz val="10"/>
        <rFont val="宋体"/>
        <family val="3"/>
        <charset val="134"/>
      </rPr>
      <t>土地报酬率</t>
    </r>
    <phoneticPr fontId="3" type="noConversion"/>
  </si>
  <si>
    <r>
      <rPr>
        <sz val="10"/>
        <color theme="1"/>
        <rFont val="宋体"/>
        <family val="3"/>
        <charset val="134"/>
      </rPr>
      <t>折现年期（年）</t>
    </r>
  </si>
  <si>
    <r>
      <rPr>
        <sz val="10"/>
        <color theme="1"/>
        <rFont val="宋体"/>
        <family val="3"/>
        <charset val="134"/>
      </rPr>
      <t>即收益年期</t>
    </r>
  </si>
  <si>
    <r>
      <rPr>
        <sz val="10"/>
        <rFont val="宋体"/>
        <family val="3"/>
        <charset val="134"/>
      </rPr>
      <t>收益期（按照规范取最低值，住宅只取建筑物）</t>
    </r>
    <phoneticPr fontId="3"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</si>
  <si>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3" type="noConversion"/>
  </si>
  <si>
    <r>
      <rPr>
        <sz val="10"/>
        <color theme="1"/>
        <rFont val="宋体"/>
        <family val="3"/>
        <charset val="134"/>
      </rPr>
      <t>收益价值（万元）</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</si>
  <si>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比较法</t>
    </r>
    <r>
      <rPr>
        <b/>
        <sz val="10"/>
        <color rgb="FFFF0000"/>
        <rFont val="Arial"/>
        <family val="2"/>
      </rPr>
      <t>/</t>
    </r>
    <r>
      <rPr>
        <b/>
        <sz val="10"/>
        <color rgb="FFFF0000"/>
        <rFont val="宋体"/>
        <family val="3"/>
        <charset val="134"/>
      </rPr>
      <t>基准地价系数修正法</t>
    </r>
    <phoneticPr fontId="3" type="noConversion"/>
  </si>
  <si>
    <r>
      <rPr>
        <b/>
        <sz val="10"/>
        <rFont val="宋体"/>
        <family val="3"/>
        <charset val="134"/>
      </rPr>
      <t>建筑物计算</t>
    </r>
    <phoneticPr fontId="3" type="noConversion"/>
  </si>
  <si>
    <r>
      <rPr>
        <b/>
        <sz val="10"/>
        <rFont val="宋体"/>
        <family val="3"/>
        <charset val="134"/>
      </rPr>
      <t>土地使用权计算</t>
    </r>
    <phoneticPr fontId="3" type="noConversion"/>
  </si>
  <si>
    <r>
      <rPr>
        <sz val="10"/>
        <rFont val="宋体"/>
        <family val="3"/>
        <charset val="134"/>
      </rPr>
      <t>收益还原</t>
    </r>
  </si>
  <si>
    <r>
      <rPr>
        <sz val="10"/>
        <rFont val="宋体"/>
        <family val="3"/>
        <charset val="134"/>
      </rPr>
      <t>是否约定土地使用期结束后无偿收回房地产（非住宅）</t>
    </r>
    <phoneticPr fontId="3" type="noConversion"/>
  </si>
  <si>
    <r>
      <rPr>
        <sz val="10"/>
        <rFont val="宋体"/>
        <family val="3"/>
        <charset val="134"/>
      </rPr>
      <t>建筑物耐用年限结束后剩余土地使用年限</t>
    </r>
    <phoneticPr fontId="3" type="noConversion"/>
  </si>
  <si>
    <r>
      <rPr>
        <sz val="10"/>
        <rFont val="宋体"/>
        <family val="3"/>
        <charset val="134"/>
      </rPr>
      <t>土地使用年限结束后建筑物耐用年期</t>
    </r>
    <phoneticPr fontId="3" type="noConversion"/>
  </si>
  <si>
    <r>
      <rPr>
        <sz val="10"/>
        <rFont val="宋体"/>
        <family val="3"/>
        <charset val="134"/>
      </rPr>
      <t>价值时点下的土地价值（土地购买价格）</t>
    </r>
    <r>
      <rPr>
        <sz val="10"/>
        <rFont val="Arial"/>
        <family val="2"/>
      </rPr>
      <t>Vn</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</si>
  <si>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</si>
  <si>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</si>
  <si>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土地使用年限结束后建筑物成新度</t>
    </r>
    <phoneticPr fontId="3" type="noConversion"/>
  </si>
  <si>
    <r>
      <rPr>
        <sz val="10"/>
        <rFont val="宋体"/>
        <family val="3"/>
        <charset val="134"/>
      </rPr>
      <t>剩余土地使用年期下的土地年期修正系数</t>
    </r>
    <r>
      <rPr>
        <sz val="10"/>
        <rFont val="Arial"/>
        <family val="2"/>
      </rPr>
      <t>KN</t>
    </r>
    <phoneticPr fontId="3" type="noConversion"/>
  </si>
  <si>
    <r>
      <rPr>
        <sz val="10"/>
        <color theme="1"/>
        <rFont val="宋体"/>
        <family val="3"/>
        <charset val="134"/>
      </rPr>
      <t>剩余土地使用年限下的土地价值</t>
    </r>
    <r>
      <rPr>
        <sz val="10"/>
        <color theme="1"/>
        <rFont val="Arial"/>
        <family val="2"/>
      </rPr>
      <t>V</t>
    </r>
    <r>
      <rPr>
        <vertAlign val="subscript"/>
        <sz val="10"/>
        <color theme="1"/>
        <rFont val="Arial"/>
        <family val="2"/>
      </rPr>
      <t>n</t>
    </r>
    <r>
      <rPr>
        <sz val="10"/>
        <color theme="1"/>
        <rFont val="宋体"/>
        <family val="3"/>
        <charset val="134"/>
      </rPr>
      <t>（万元）</t>
    </r>
    <phoneticPr fontId="3" type="noConversion"/>
  </si>
  <si>
    <r>
      <rPr>
        <sz val="10"/>
        <rFont val="宋体"/>
        <family val="3"/>
        <charset val="134"/>
      </rPr>
      <t>土地使用年限结束后建筑物现值</t>
    </r>
    <phoneticPr fontId="3" type="noConversion"/>
  </si>
  <si>
    <r>
      <rPr>
        <sz val="10"/>
        <color theme="1"/>
        <rFont val="宋体"/>
        <family val="3"/>
        <charset val="134"/>
      </rPr>
      <t>土地报酬率</t>
    </r>
    <r>
      <rPr>
        <sz val="10"/>
        <color theme="1"/>
        <rFont val="Arial"/>
        <family val="2"/>
      </rPr>
      <t>r</t>
    </r>
    <r>
      <rPr>
        <sz val="10"/>
        <color theme="1"/>
        <rFont val="宋体"/>
        <family val="3"/>
        <charset val="134"/>
      </rPr>
      <t>（</t>
    </r>
    <r>
      <rPr>
        <sz val="10"/>
        <color theme="1"/>
        <rFont val="Arial"/>
        <family val="2"/>
      </rPr>
      <t>%</t>
    </r>
    <r>
      <rPr>
        <sz val="10"/>
        <color theme="1"/>
        <rFont val="宋体"/>
        <family val="3"/>
        <charset val="134"/>
      </rPr>
      <t>）</t>
    </r>
    <phoneticPr fontId="3" type="noConversion"/>
  </si>
  <si>
    <r>
      <rPr>
        <b/>
        <sz val="10"/>
        <rFont val="宋体"/>
        <family val="3"/>
        <charset val="134"/>
      </rPr>
      <t>建筑物剩余价值折现值</t>
    </r>
    <phoneticPr fontId="3" type="noConversion"/>
  </si>
  <si>
    <r>
      <rPr>
        <b/>
        <sz val="10"/>
        <rFont val="宋体"/>
        <family val="3"/>
        <charset val="134"/>
      </rPr>
      <t>剩余土地价值折现值</t>
    </r>
    <phoneticPr fontId="3" type="noConversion"/>
  </si>
  <si>
    <r>
      <rPr>
        <sz val="10"/>
        <color theme="1"/>
        <rFont val="宋体"/>
        <family val="3"/>
        <charset val="134"/>
      </rPr>
      <t>剩余土地使用年期下的土地年期修正系数</t>
    </r>
    <r>
      <rPr>
        <sz val="10"/>
        <color theme="1"/>
        <rFont val="Arial"/>
        <family val="2"/>
      </rPr>
      <t>K</t>
    </r>
    <r>
      <rPr>
        <vertAlign val="subscript"/>
        <sz val="10"/>
        <color theme="1"/>
        <rFont val="Arial"/>
        <family val="2"/>
      </rPr>
      <t>N</t>
    </r>
  </si>
  <si>
    <r>
      <t>[1</t>
    </r>
    <r>
      <rPr>
        <sz val="10"/>
        <color theme="1"/>
        <rFont val="宋体"/>
        <family val="3"/>
        <charset val="134"/>
      </rPr>
      <t>－</t>
    </r>
    <r>
      <rPr>
        <sz val="10"/>
        <color theme="1"/>
        <rFont val="Arial"/>
        <family val="2"/>
      </rPr>
      <t>1÷(1+r) N]</t>
    </r>
  </si>
  <si>
    <r>
      <t>[1</t>
    </r>
    <r>
      <rPr>
        <sz val="10"/>
        <color theme="1"/>
        <rFont val="宋体"/>
        <family val="3"/>
        <charset val="134"/>
      </rPr>
      <t>－</t>
    </r>
    <r>
      <rPr>
        <sz val="10"/>
        <color theme="1"/>
        <rFont val="Arial"/>
        <family val="2"/>
      </rPr>
      <t>1÷(1+r) n]</t>
    </r>
  </si>
  <si>
    <r>
      <rPr>
        <sz val="10"/>
        <rFont val="宋体"/>
        <family val="3"/>
        <charset val="134"/>
      </rPr>
      <t>结构类型</t>
    </r>
  </si>
  <si>
    <r>
      <rPr>
        <sz val="10"/>
        <rFont val="宋体"/>
        <family val="3"/>
        <charset val="134"/>
      </rPr>
      <t>生产用房</t>
    </r>
  </si>
  <si>
    <r>
      <rPr>
        <sz val="10"/>
        <rFont val="宋体"/>
        <family val="3"/>
        <charset val="134"/>
      </rPr>
      <t>受腐蚀的生产用房</t>
    </r>
  </si>
  <si>
    <r>
      <rPr>
        <sz val="10"/>
        <rFont val="宋体"/>
        <family val="3"/>
        <charset val="134"/>
      </rPr>
      <t>非生产用房</t>
    </r>
  </si>
  <si>
    <r>
      <rPr>
        <sz val="10"/>
        <rFont val="宋体"/>
        <family val="3"/>
        <charset val="134"/>
      </rPr>
      <t>残值率</t>
    </r>
    <phoneticPr fontId="3" type="noConversion"/>
  </si>
  <si>
    <r>
      <rPr>
        <sz val="10"/>
        <color theme="1"/>
        <rFont val="宋体"/>
        <family val="3"/>
        <charset val="134"/>
      </rPr>
      <t>收益价值（万元）</t>
    </r>
    <phoneticPr fontId="3" type="noConversion"/>
  </si>
  <si>
    <r>
      <rPr>
        <sz val="10"/>
        <rFont val="宋体"/>
        <family val="3"/>
        <charset val="134"/>
      </rPr>
      <t>钢</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</si>
  <si>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收益法</t>
    </r>
    <phoneticPr fontId="3" type="noConversion"/>
  </si>
  <si>
    <r>
      <rPr>
        <sz val="10"/>
        <rFont val="宋体"/>
        <family val="3"/>
        <charset val="134"/>
      </rPr>
      <t>钢混</t>
    </r>
    <phoneticPr fontId="3" type="noConversion"/>
  </si>
  <si>
    <r>
      <rPr>
        <sz val="10"/>
        <rFont val="宋体"/>
        <family val="3"/>
        <charset val="134"/>
      </rPr>
      <t>砖混</t>
    </r>
    <phoneticPr fontId="3" type="noConversion"/>
  </si>
  <si>
    <r>
      <rPr>
        <sz val="10"/>
        <color theme="1"/>
        <rFont val="宋体"/>
        <family val="3"/>
        <charset val="134"/>
      </rPr>
      <t>收益期内收益价值（万元）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</si>
  <si>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</si>
  <si>
    <r>
      <t>(a</t>
    </r>
    <r>
      <rPr>
        <vertAlign val="subscript"/>
        <sz val="10"/>
        <color theme="1"/>
        <rFont val="Arial"/>
        <family val="2"/>
      </rPr>
      <t>t</t>
    </r>
    <r>
      <rPr>
        <sz val="10"/>
        <color theme="1"/>
        <rFont val="Arial"/>
        <family val="2"/>
      </rPr>
      <t>÷r)[1-1÷(1+r)</t>
    </r>
    <r>
      <rPr>
        <vertAlign val="superscript"/>
        <sz val="10"/>
        <color theme="1"/>
        <rFont val="Arial"/>
        <family val="2"/>
      </rPr>
      <t>N</t>
    </r>
    <r>
      <rPr>
        <sz val="10"/>
        <color theme="1"/>
        <rFont val="Arial"/>
        <family val="2"/>
      </rPr>
      <t>]</t>
    </r>
    <phoneticPr fontId="3" type="noConversion"/>
  </si>
  <si>
    <r>
      <rPr>
        <sz val="10"/>
        <color rgb="FF000000"/>
        <rFont val="宋体"/>
        <family val="3"/>
        <charset val="134"/>
      </rPr>
      <t>土地纯收益</t>
    </r>
    <r>
      <rPr>
        <sz val="10"/>
        <color theme="1"/>
        <rFont val="Arial"/>
        <family val="2"/>
      </rPr>
      <t>a</t>
    </r>
    <r>
      <rPr>
        <vertAlign val="subscript"/>
        <sz val="10"/>
        <color theme="1"/>
        <rFont val="Arial"/>
        <family val="2"/>
      </rPr>
      <t>t</t>
    </r>
    <r>
      <rPr>
        <sz val="10"/>
        <color theme="1"/>
        <rFont val="宋体"/>
        <family val="3"/>
        <charset val="134"/>
      </rPr>
      <t>（万元）</t>
    </r>
    <phoneticPr fontId="3" type="noConversion"/>
  </si>
  <si>
    <r>
      <rPr>
        <sz val="10"/>
        <color rgb="FF000000"/>
        <rFont val="宋体"/>
        <family val="3"/>
        <charset val="134"/>
      </rPr>
      <t>房地纯收益（万元）</t>
    </r>
    <phoneticPr fontId="3" type="noConversion"/>
  </si>
  <si>
    <r>
      <rPr>
        <sz val="10"/>
        <color rgb="FF000000"/>
        <rFont val="宋体"/>
        <family val="3"/>
        <charset val="134"/>
      </rPr>
      <t>建筑物现值（万元）</t>
    </r>
    <phoneticPr fontId="3" type="noConversion"/>
  </si>
  <si>
    <r>
      <rPr>
        <sz val="10"/>
        <color rgb="FF000000"/>
        <rFont val="宋体"/>
        <family val="3"/>
        <charset val="134"/>
      </rPr>
      <t>建筑物资本化率</t>
    </r>
    <r>
      <rPr>
        <sz val="10"/>
        <color rgb="FF000000"/>
        <rFont val="Arial"/>
        <family val="2"/>
      </rPr>
      <t>g</t>
    </r>
    <r>
      <rPr>
        <sz val="10"/>
        <color rgb="FF000000"/>
        <rFont val="宋体"/>
        <family val="3"/>
        <charset val="134"/>
      </rPr>
      <t>（</t>
    </r>
    <r>
      <rPr>
        <sz val="10"/>
        <color rgb="FF000000"/>
        <rFont val="Arial"/>
        <family val="2"/>
      </rPr>
      <t>%</t>
    </r>
    <r>
      <rPr>
        <sz val="10"/>
        <color rgb="FF000000"/>
        <rFont val="宋体"/>
        <family val="3"/>
        <charset val="134"/>
      </rPr>
      <t>）</t>
    </r>
    <phoneticPr fontId="3" type="noConversion"/>
  </si>
  <si>
    <r>
      <rPr>
        <sz val="10"/>
        <color indexed="8"/>
        <rFont val="宋体"/>
        <family val="3"/>
        <charset val="134"/>
      </rPr>
      <t>分摊土地</t>
    </r>
    <r>
      <rPr>
        <sz val="10"/>
        <color indexed="8"/>
        <rFont val="Arial"/>
        <family val="2"/>
      </rPr>
      <t>/</t>
    </r>
    <r>
      <rPr>
        <sz val="10"/>
        <color indexed="8"/>
        <rFont val="宋体"/>
        <family val="3"/>
        <charset val="134"/>
      </rPr>
      <t>建筑物价值</t>
    </r>
    <phoneticPr fontId="3" type="noConversion"/>
  </si>
  <si>
    <r>
      <rPr>
        <b/>
        <sz val="12"/>
        <rFont val="宋体"/>
        <family val="3"/>
        <charset val="134"/>
      </rPr>
      <t>租约外</t>
    </r>
    <phoneticPr fontId="3" type="noConversion"/>
  </si>
  <si>
    <r>
      <rPr>
        <b/>
        <sz val="16"/>
        <color indexed="10"/>
        <rFont val="宋体"/>
        <family val="3"/>
        <charset val="134"/>
      </rPr>
      <t>收益法</t>
    </r>
    <r>
      <rPr>
        <b/>
        <sz val="12"/>
        <rFont val="宋体"/>
        <family val="3"/>
        <charset val="134"/>
      </rPr>
      <t>（无租约及租期内）</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</si>
  <si>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</si>
  <si>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</si>
  <si>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sz val="10"/>
        <rFont val="宋体"/>
        <family val="3"/>
        <charset val="134"/>
      </rPr>
      <t>元</t>
    </r>
    <phoneticPr fontId="143"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</si>
  <si>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</si>
  <si>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</si>
  <si>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</si>
  <si>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</si>
  <si>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</si>
  <si>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</si>
  <si>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</si>
  <si>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</si>
  <si>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</si>
  <si>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i/>
        <sz val="10"/>
        <color indexed="8"/>
        <rFont val="宋体"/>
        <family val="3"/>
        <charset val="134"/>
      </rPr>
      <t>（合同押金）</t>
    </r>
    <phoneticPr fontId="3" type="noConversion"/>
  </si>
  <si>
    <r>
      <rPr>
        <i/>
        <sz val="10"/>
        <color indexed="8"/>
        <rFont val="宋体"/>
        <family val="3"/>
        <charset val="134"/>
      </rPr>
      <t>自定义押金</t>
    </r>
    <phoneticPr fontId="3" type="noConversion"/>
  </si>
  <si>
    <r>
      <rPr>
        <sz val="10"/>
        <color indexed="8"/>
        <rFont val="宋体"/>
        <family val="3"/>
        <charset val="134"/>
      </rPr>
      <t>元</t>
    </r>
    <phoneticPr fontId="143" type="noConversion"/>
  </si>
  <si>
    <r>
      <rPr>
        <sz val="10"/>
        <rFont val="宋体"/>
        <family val="3"/>
        <charset val="134"/>
      </rPr>
      <t>价值时点下的土地价值（土地购买价格）</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</si>
  <si>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</si>
  <si>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</si>
  <si>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剩余土地使用年期下的土地年期修正系数</t>
    </r>
    <phoneticPr fontId="3" type="noConversion"/>
  </si>
  <si>
    <r>
      <rPr>
        <b/>
        <sz val="14"/>
        <color theme="1"/>
        <rFont val="宋体"/>
        <family val="3"/>
        <charset val="134"/>
      </rPr>
      <t>估价方法：</t>
    </r>
    <phoneticPr fontId="86" type="noConversion"/>
  </si>
  <si>
    <r>
      <rPr>
        <sz val="14"/>
        <color theme="9" tint="-0.249977111117893"/>
        <rFont val="宋体"/>
        <family val="3"/>
        <charset val="134"/>
      </rPr>
      <t>（本页下方空白无内容）</t>
    </r>
  </si>
  <si>
    <r>
      <rPr>
        <b/>
        <sz val="18"/>
        <color theme="1"/>
        <rFont val="宋体"/>
        <family val="3"/>
        <charset val="134"/>
      </rPr>
      <t>评估意见函</t>
    </r>
    <phoneticPr fontId="86" type="noConversion"/>
  </si>
  <si>
    <r>
      <rPr>
        <b/>
        <sz val="14"/>
        <color rgb="FF000000"/>
        <rFont val="宋体"/>
        <family val="3"/>
        <charset val="134"/>
      </rPr>
      <t>估价对象：</t>
    </r>
    <phoneticPr fontId="86" type="noConversion"/>
  </si>
  <si>
    <r>
      <rPr>
        <b/>
        <i/>
        <sz val="14"/>
        <color theme="3" tint="0.39997558519241921"/>
        <rFont val="宋体"/>
        <family val="3"/>
        <charset val="134"/>
      </rPr>
      <t>现房：</t>
    </r>
    <phoneticPr fontId="86" type="noConversion"/>
  </si>
  <si>
    <r>
      <rPr>
        <i/>
        <sz val="14"/>
        <color theme="3" tint="0.39997558519241921"/>
        <rFont val="宋体"/>
        <family val="3"/>
        <charset val="134"/>
      </rPr>
      <t>估价对象简述。项目推广名，项目类型（用途），估价对象分布，各用途面积明细情况：</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t>
    </r>
    <r>
      <rPr>
        <i/>
        <sz val="14"/>
        <color theme="3" tint="0.39997558519241921"/>
        <rFont val="宋体"/>
        <family val="3"/>
        <charset val="134"/>
      </rPr>
      <t>。复杂面积清单需设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t>
    </r>
    <phoneticPr fontId="87" type="noConversion"/>
  </si>
  <si>
    <r>
      <rPr>
        <b/>
        <i/>
        <sz val="14"/>
        <color theme="3" tint="0.39997558519241921"/>
        <rFont val="宋体"/>
        <family val="3"/>
        <charset val="134"/>
      </rPr>
      <t>在建：</t>
    </r>
    <phoneticPr fontId="86" type="noConversion"/>
  </si>
  <si>
    <r>
      <rPr>
        <i/>
        <sz val="14"/>
        <color theme="3" tint="0.39997558519241921"/>
        <rFont val="宋体"/>
        <family val="3"/>
        <charset val="134"/>
      </rPr>
      <t>估价对象为局部时需描述范围，各用途面积明细情况：经营性用途用途规划建筑面积</t>
    </r>
    <r>
      <rPr>
        <i/>
        <sz val="14"/>
        <color theme="3" tint="0.39997558519241921"/>
        <rFont val="Arial"/>
        <family val="2"/>
      </rPr>
      <t>XX</t>
    </r>
    <r>
      <rPr>
        <i/>
        <sz val="14"/>
        <color theme="3" tint="0.39997558519241921"/>
        <rFont val="宋体"/>
        <family val="3"/>
        <charset val="134"/>
      </rPr>
      <t>平方米（其中：），非经营性用途规划建筑面积</t>
    </r>
    <r>
      <rPr>
        <i/>
        <sz val="14"/>
        <color theme="3" tint="0.39997558519241921"/>
        <rFont val="Arial"/>
        <family val="2"/>
      </rPr>
      <t>XX</t>
    </r>
    <r>
      <rPr>
        <i/>
        <sz val="14"/>
        <color theme="3" tint="0.39997558519241921"/>
        <rFont val="宋体"/>
        <family val="3"/>
        <charset val="134"/>
      </rPr>
      <t>平方米（其中：）。复杂面积或有分楼栋、分户清单时需设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列示：抵押物清单详见附表。工程进度情况。</t>
    </r>
    <phoneticPr fontId="87" type="noConversion"/>
  </si>
  <si>
    <r>
      <rPr>
        <b/>
        <sz val="14"/>
        <color rgb="FF000000"/>
        <rFont val="宋体"/>
        <family val="3"/>
        <charset val="134"/>
      </rPr>
      <t>估价目的：</t>
    </r>
    <phoneticPr fontId="86" type="noConversion"/>
  </si>
  <si>
    <r>
      <rPr>
        <b/>
        <sz val="14"/>
        <color theme="1"/>
        <rFont val="宋体"/>
        <family val="3"/>
        <charset val="134"/>
      </rPr>
      <t>价值时点：</t>
    </r>
    <phoneticPr fontId="86" type="noConversion"/>
  </si>
  <si>
    <r>
      <rPr>
        <b/>
        <sz val="14"/>
        <color theme="1"/>
        <rFont val="宋体"/>
        <family val="3"/>
        <charset val="134"/>
      </rPr>
      <t>价值类型：</t>
    </r>
    <phoneticPr fontId="86"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</si>
  <si>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6" type="noConversion"/>
  </si>
  <si>
    <r>
      <rPr>
        <b/>
        <sz val="14"/>
        <color theme="1"/>
        <rFont val="宋体"/>
        <family val="3"/>
        <charset val="134"/>
      </rPr>
      <t>估价结果：</t>
    </r>
    <phoneticPr fontId="86" type="noConversion"/>
  </si>
  <si>
    <r>
      <t>1.</t>
    </r>
    <r>
      <rPr>
        <b/>
        <sz val="12"/>
        <color indexed="8"/>
        <rFont val="宋体"/>
        <family val="3"/>
        <charset val="134"/>
      </rPr>
      <t>房地产价值</t>
    </r>
    <phoneticPr fontId="86" type="noConversion"/>
  </si>
  <si>
    <r>
      <rPr>
        <b/>
        <sz val="12"/>
        <color theme="1"/>
        <rFont val="宋体"/>
        <family val="3"/>
        <charset val="134"/>
      </rPr>
      <t>总价</t>
    </r>
    <phoneticPr fontId="86" type="noConversion"/>
  </si>
  <si>
    <r>
      <rPr>
        <b/>
        <sz val="12"/>
        <color theme="1"/>
        <rFont val="宋体"/>
        <family val="3"/>
        <charset val="134"/>
      </rPr>
      <t>大写金额</t>
    </r>
    <phoneticPr fontId="88" type="noConversion"/>
  </si>
  <si>
    <r>
      <rPr>
        <sz val="12"/>
        <color theme="1"/>
        <rFont val="宋体"/>
        <family val="3"/>
        <charset val="134"/>
      </rPr>
      <t>单价</t>
    </r>
    <phoneticPr fontId="86" type="noConversion"/>
  </si>
  <si>
    <r>
      <rPr>
        <b/>
        <sz val="12"/>
        <color rgb="FF000000"/>
        <rFont val="宋体"/>
        <family val="3"/>
        <charset val="134"/>
      </rPr>
      <t>总额</t>
    </r>
    <phoneticPr fontId="86" type="noConversion"/>
  </si>
  <si>
    <r>
      <rPr>
        <sz val="12"/>
        <color rgb="FF000000"/>
        <rFont val="宋体"/>
        <family val="3"/>
        <charset val="134"/>
      </rPr>
      <t>总额</t>
    </r>
    <phoneticPr fontId="86" type="noConversion"/>
  </si>
  <si>
    <r>
      <rPr>
        <sz val="14"/>
        <color theme="1"/>
        <rFont val="宋体"/>
        <family val="3"/>
        <charset val="134"/>
      </rPr>
      <t>（转下页）</t>
    </r>
    <phoneticPr fontId="88"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</si>
  <si>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6" type="noConversion"/>
  </si>
  <si>
    <r>
      <rPr>
        <b/>
        <sz val="14"/>
        <color theme="1"/>
        <rFont val="宋体"/>
        <family val="3"/>
        <charset val="134"/>
      </rPr>
      <t>结果表</t>
    </r>
    <r>
      <rPr>
        <b/>
        <sz val="14"/>
        <color theme="1"/>
        <rFont val="Arial"/>
        <family val="2"/>
      </rPr>
      <t>-1</t>
    </r>
    <phoneticPr fontId="8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</si>
  <si>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6" type="noConversion"/>
  </si>
  <si>
    <r>
      <rPr>
        <sz val="12"/>
        <color rgb="FF000000"/>
        <rFont val="宋体"/>
        <family val="3"/>
        <charset val="134"/>
      </rPr>
      <t>总额</t>
    </r>
    <phoneticPr fontId="86" type="noConversion"/>
  </si>
  <si>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6" type="noConversion"/>
  </si>
  <si>
    <r>
      <rPr>
        <sz val="12"/>
        <color theme="1"/>
        <rFont val="宋体"/>
        <family val="3"/>
        <charset val="134"/>
      </rPr>
      <t>单价</t>
    </r>
    <phoneticPr fontId="86" type="noConversion"/>
  </si>
  <si>
    <r>
      <rPr>
        <b/>
        <sz val="12"/>
        <color theme="1"/>
        <rFont val="宋体"/>
        <family val="3"/>
        <charset val="134"/>
      </rPr>
      <t>总价</t>
    </r>
    <phoneticPr fontId="86" type="noConversion"/>
  </si>
  <si>
    <r>
      <rPr>
        <b/>
        <sz val="12"/>
        <color theme="1"/>
        <rFont val="宋体"/>
        <family val="3"/>
        <charset val="134"/>
      </rPr>
      <t>大写金额</t>
    </r>
    <phoneticPr fontId="88" type="noConversion"/>
  </si>
  <si>
    <r>
      <rPr>
        <sz val="10"/>
        <color theme="1"/>
        <rFont val="宋体"/>
        <family val="3"/>
        <charset val="134"/>
      </rPr>
      <t>单位：万元、元</t>
    </r>
    <r>
      <rPr>
        <sz val="10"/>
        <color theme="1"/>
        <rFont val="Arial"/>
        <family val="2"/>
      </rPr>
      <t>/</t>
    </r>
    <r>
      <rPr>
        <sz val="10"/>
        <color theme="1"/>
        <rFont val="宋体"/>
        <family val="3"/>
        <charset val="134"/>
      </rPr>
      <t>平方米（币种：人民币）</t>
    </r>
    <phoneticPr fontId="88" type="noConversion"/>
  </si>
  <si>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</si>
  <si>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</si>
  <si>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</si>
  <si>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2"/>
        <color indexed="8"/>
        <rFont val="宋体"/>
        <family val="3"/>
        <charset val="134"/>
      </rPr>
      <t>项目名称</t>
    </r>
    <phoneticPr fontId="88" type="noConversion"/>
  </si>
  <si>
    <r>
      <rPr>
        <sz val="12"/>
        <color indexed="8"/>
        <rFont val="宋体"/>
        <family val="3"/>
        <charset val="134"/>
      </rPr>
      <t>建筑面积</t>
    </r>
    <phoneticPr fontId="86" type="noConversion"/>
  </si>
  <si>
    <r>
      <t>(</t>
    </r>
    <r>
      <rPr>
        <sz val="12"/>
        <color indexed="8"/>
        <rFont val="宋体"/>
        <family val="3"/>
        <charset val="134"/>
      </rPr>
      <t>分摊</t>
    </r>
    <r>
      <rPr>
        <sz val="12"/>
        <color indexed="8"/>
        <rFont val="Arial"/>
        <family val="2"/>
      </rPr>
      <t>)</t>
    </r>
    <r>
      <rPr>
        <sz val="12"/>
        <color indexed="8"/>
        <rFont val="宋体"/>
        <family val="3"/>
        <charset val="134"/>
      </rPr>
      <t>土地面积</t>
    </r>
    <phoneticPr fontId="86" type="noConversion"/>
  </si>
  <si>
    <r>
      <rPr>
        <sz val="12"/>
        <color indexed="8"/>
        <rFont val="宋体"/>
        <family val="3"/>
        <charset val="134"/>
      </rPr>
      <t>楼面单价</t>
    </r>
    <phoneticPr fontId="86" type="noConversion"/>
  </si>
  <si>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86"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</si>
  <si>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</si>
  <si>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</si>
  <si>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</si>
  <si>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</si>
  <si>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</si>
  <si>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3" type="noConversion"/>
  </si>
  <si>
    <r>
      <rPr>
        <b/>
        <sz val="14"/>
        <color theme="1"/>
        <rFont val="宋体"/>
        <family val="3"/>
        <charset val="134"/>
      </rPr>
      <t>其他评估专业人员</t>
    </r>
    <phoneticPr fontId="93" type="noConversion"/>
  </si>
  <si>
    <r>
      <rPr>
        <sz val="14"/>
        <color theme="1"/>
        <rFont val="宋体"/>
        <family val="3"/>
        <charset val="134"/>
      </rPr>
      <t>相关资格或职称</t>
    </r>
  </si>
  <si>
    <r>
      <rPr>
        <b/>
        <sz val="14"/>
        <color theme="1"/>
        <rFont val="宋体"/>
        <family val="3"/>
        <charset val="134"/>
      </rPr>
      <t>特别提示：</t>
    </r>
    <phoneticPr fontId="3" type="noConversion"/>
  </si>
  <si>
    <r>
      <t>1.</t>
    </r>
    <r>
      <rPr>
        <sz val="12"/>
        <color indexed="8"/>
        <rFont val="宋体"/>
        <family val="3"/>
        <charset val="134"/>
      </rPr>
      <t>本《评估意见函》中所列估价结果为初评结果，准确金额以本公司出具的正式《房地产评估报告》为准。</t>
    </r>
    <phoneticPr fontId="92" type="noConversion"/>
  </si>
  <si>
    <r>
      <rPr>
        <sz val="12"/>
        <color theme="9" tint="-0.249977111117893"/>
        <rFont val="宋体"/>
        <family val="3"/>
        <charset val="134"/>
      </rPr>
      <t>（</t>
    </r>
    <r>
      <rPr>
        <sz val="12"/>
        <color theme="9" tint="-0.249977111117893"/>
        <rFont val="Arial"/>
        <family val="2"/>
      </rPr>
      <t>2</t>
    </r>
    <r>
      <rPr>
        <sz val="12"/>
        <color theme="9" tint="-0.249977111117893"/>
        <rFont val="宋体"/>
        <family val="3"/>
        <charset val="134"/>
      </rPr>
      <t>）根据《工程款支付情况说明》，截至价值时点，估价对象不存在应付未付工程款项。（只要没有施工方盖章的，均</t>
    </r>
    <r>
      <rPr>
        <sz val="12"/>
        <color theme="9" tint="-0.249977111117893"/>
        <rFont val="Arial"/>
        <family val="2"/>
      </rPr>
      <t>“</t>
    </r>
    <r>
      <rPr>
        <sz val="12"/>
        <color theme="9" tint="-0.249977111117893"/>
        <rFont val="宋体"/>
        <family val="3"/>
        <charset val="134"/>
      </rPr>
      <t>设定</t>
    </r>
    <r>
      <rPr>
        <sz val="12"/>
        <color theme="9" tint="-0.249977111117893"/>
        <rFont val="Arial"/>
        <family val="2"/>
      </rPr>
      <t>”</t>
    </r>
    <r>
      <rPr>
        <sz val="12"/>
        <color theme="9" tint="-0.249977111117893"/>
        <rFont val="宋体"/>
        <family val="3"/>
        <charset val="134"/>
      </rPr>
      <t>进行表述）</t>
    </r>
    <phoneticPr fontId="93" type="noConversion"/>
  </si>
  <si>
    <r>
      <rPr>
        <sz val="12"/>
        <color theme="9" tint="-0.249977111117893"/>
        <rFont val="宋体"/>
        <family val="3"/>
        <charset val="134"/>
      </rPr>
      <t>（</t>
    </r>
    <r>
      <rPr>
        <sz val="12"/>
        <color theme="9" tint="-0.249977111117893"/>
        <rFont val="Arial"/>
        <family val="2"/>
      </rPr>
      <t>3</t>
    </r>
    <r>
      <rPr>
        <sz val="12"/>
        <color theme="9" tint="-0.249977111117893"/>
        <rFont val="宋体"/>
        <family val="3"/>
        <charset val="134"/>
      </rPr>
      <t>）根据《国有建设用地使用权出让合同》及附件</t>
    </r>
    <r>
      <rPr>
        <sz val="12"/>
        <color theme="9" tint="-0.249977111117893"/>
        <rFont val="Arial"/>
        <family val="2"/>
      </rPr>
      <t>[]</t>
    </r>
    <r>
      <rPr>
        <sz val="12"/>
        <color theme="9" tint="-0.249977111117893"/>
        <rFont val="宋体"/>
        <family val="3"/>
        <charset val="134"/>
      </rPr>
      <t>以及相关款项支付凭证，截至价值时点，估价委托人依据合同已缴纳全部土地成交价款及契税。根据《建设工程规划许可证》</t>
    </r>
    <r>
      <rPr>
        <sz val="12"/>
        <color theme="9" tint="-0.249977111117893"/>
        <rFont val="Arial"/>
        <family val="2"/>
      </rPr>
      <t>[]/</t>
    </r>
    <r>
      <rPr>
        <sz val="12"/>
        <color theme="9" tint="-0.249977111117893"/>
        <rFont val="宋体"/>
        <family val="3"/>
        <charset val="134"/>
      </rPr>
      <t>《预测报告》，估价对象规划建筑面积未超过《国有建设用地使用权出让合同》及附件的约定，本次评估设定估价对象不存在需补缴政府土地收益。</t>
    </r>
    <r>
      <rPr>
        <sz val="12"/>
        <color theme="9" tint="-0.249977111117893"/>
        <rFont val="Arial"/>
        <family val="2"/>
      </rPr>
      <t>OR</t>
    </r>
    <r>
      <rPr>
        <sz val="12"/>
        <color theme="9" tint="-0.249977111117893"/>
        <rFont val="宋体"/>
        <family val="3"/>
        <charset val="134"/>
      </rPr>
      <t>根据《建设工程规划许可证》</t>
    </r>
    <r>
      <rPr>
        <sz val="12"/>
        <color theme="9" tint="-0.249977111117893"/>
        <rFont val="Arial"/>
        <family val="2"/>
      </rPr>
      <t>[]</t>
    </r>
    <r>
      <rPr>
        <sz val="12"/>
        <color theme="9" tint="-0.249977111117893"/>
        <rFont val="宋体"/>
        <family val="3"/>
        <charset val="134"/>
      </rPr>
      <t>，估价对象规划建筑面积超出《国有建设用地使用权出让合同》的约定，新增地上经营性商业用房及地下车库规划建筑面积为</t>
    </r>
    <r>
      <rPr>
        <sz val="12"/>
        <color theme="9" tint="-0.249977111117893"/>
        <rFont val="Arial"/>
        <family val="2"/>
      </rPr>
      <t>XX</t>
    </r>
    <r>
      <rPr>
        <sz val="12"/>
        <color theme="9" tint="-0.249977111117893"/>
        <rFont val="宋体"/>
        <family val="3"/>
        <charset val="134"/>
      </rPr>
      <t>平方米。根据上述《国有建设用地使用权出让合同》及附件约定的计算标准，该部分需补缴的政府土地收益及契税、印花税为</t>
    </r>
    <r>
      <rPr>
        <sz val="12"/>
        <color theme="9" tint="-0.249977111117893"/>
        <rFont val="Arial"/>
        <family val="2"/>
      </rPr>
      <t>XX</t>
    </r>
    <r>
      <rPr>
        <sz val="12"/>
        <color theme="9" tint="-0.249977111117893"/>
        <rFont val="宋体"/>
        <family val="3"/>
        <charset val="134"/>
      </rPr>
      <t>万元。上述应补缴的政府土地收益金额仅为测算值，最终应补缴的金额应以土地管理部门的审定结果为准。如上述情况发生变化，估价结果需做相应调整。</t>
    </r>
  </si>
  <si>
    <r>
      <rPr>
        <sz val="11"/>
        <color indexed="53"/>
        <rFont val="Arial"/>
        <family val="2"/>
      </rPr>
      <t>8.</t>
    </r>
    <r>
      <rPr>
        <sz val="11"/>
        <color indexed="53"/>
        <rFont val="宋体"/>
        <family val="3"/>
        <charset val="134"/>
      </rPr>
      <t>其他需特殊说明事项：无</t>
    </r>
    <r>
      <rPr>
        <i/>
        <sz val="11"/>
        <color theme="3" tint="0.39997558519241921"/>
        <rFont val="宋体"/>
        <family val="3"/>
        <charset val="134"/>
      </rPr>
      <t>（注意调整序号）</t>
    </r>
    <phoneticPr fontId="90" type="noConversion"/>
  </si>
  <si>
    <r>
      <t xml:space="preserve">    </t>
    </r>
    <r>
      <rPr>
        <sz val="14"/>
        <color theme="1"/>
        <rFont val="宋体"/>
        <family val="3"/>
        <charset val="134"/>
      </rPr>
      <t>顺致</t>
    </r>
    <phoneticPr fontId="3" type="noConversion"/>
  </si>
  <si>
    <r>
      <rPr>
        <sz val="14"/>
        <color theme="1"/>
        <rFont val="宋体"/>
        <family val="3"/>
        <charset val="134"/>
      </rPr>
      <t>商祺</t>
    </r>
    <phoneticPr fontId="3" type="noConversion"/>
  </si>
  <si>
    <r>
      <rPr>
        <sz val="14"/>
        <color theme="1"/>
        <rFont val="宋体"/>
        <family val="3"/>
        <charset val="134"/>
      </rPr>
      <t>北京康正宏基房地产评估有限公司</t>
    </r>
    <phoneticPr fontId="3" type="noConversion"/>
  </si>
  <si>
    <r>
      <rPr>
        <b/>
        <sz val="14"/>
        <color theme="1"/>
        <rFont val="宋体"/>
        <family val="3"/>
        <charset val="134"/>
      </rPr>
      <t>参与本次估价工作的评估专业人员：</t>
    </r>
    <r>
      <rPr>
        <b/>
        <i/>
        <sz val="14"/>
        <color theme="3" tint="0.39997558519241921"/>
        <rFont val="宋体"/>
        <family val="3"/>
        <charset val="134"/>
      </rPr>
      <t>（仅华夏）</t>
    </r>
    <phoneticPr fontId="3" type="noConversion"/>
  </si>
  <si>
    <r>
      <rPr>
        <b/>
        <sz val="14"/>
        <color indexed="10"/>
        <rFont val="宋体"/>
        <family val="3"/>
        <charset val="134"/>
        <scheme val="minor"/>
      </rPr>
      <t>请用EXCEL2010以上版本打开，否则个别格式设置会与原表不一致，影响使用</t>
    </r>
    <phoneticPr fontId="34" type="noConversion"/>
  </si>
  <si>
    <r>
      <rPr>
        <sz val="11"/>
        <color indexed="8"/>
        <rFont val="宋体"/>
        <family val="3"/>
        <charset val="134"/>
        <scheme val="minor"/>
      </rPr>
      <t>无底纹单元格</t>
    </r>
    <phoneticPr fontId="34" type="noConversion"/>
  </si>
  <si>
    <r>
      <rPr>
        <sz val="11"/>
        <color indexed="8"/>
        <rFont val="宋体"/>
        <family val="3"/>
        <charset val="134"/>
        <scheme val="minor"/>
      </rPr>
      <t>黄色底纹单元格</t>
    </r>
    <phoneticPr fontId="34" type="noConversion"/>
  </si>
  <si>
    <r>
      <rPr>
        <sz val="11"/>
        <color indexed="8"/>
        <rFont val="宋体"/>
        <family val="3"/>
        <charset val="134"/>
        <scheme val="minor"/>
      </rPr>
      <t>灰色底纹单元格</t>
    </r>
    <phoneticPr fontId="34" type="noConversion"/>
  </si>
  <si>
    <r>
      <rPr>
        <sz val="11"/>
        <color indexed="8"/>
        <rFont val="宋体"/>
        <family val="3"/>
        <charset val="134"/>
        <scheme val="minor"/>
      </rPr>
      <t>红色底纹黄色字体</t>
    </r>
    <phoneticPr fontId="34" type="noConversion"/>
  </si>
  <si>
    <r>
      <rPr>
        <b/>
        <sz val="12"/>
        <color indexed="8"/>
        <rFont val="宋体"/>
        <family val="3"/>
        <charset val="134"/>
        <scheme val="minor"/>
      </rPr>
      <t>关注批注角标</t>
    </r>
    <phoneticPr fontId="34" type="noConversion"/>
  </si>
  <si>
    <r>
      <rPr>
        <sz val="11"/>
        <color indexed="8"/>
        <rFont val="宋体"/>
        <family val="3"/>
        <charset val="134"/>
        <scheme val="minor"/>
      </rPr>
      <t>基础表</t>
    </r>
    <phoneticPr fontId="3" type="noConversion"/>
  </si>
  <si>
    <r>
      <rPr>
        <sz val="11"/>
        <color indexed="8"/>
        <rFont val="宋体"/>
        <family val="3"/>
        <charset val="134"/>
        <scheme val="minor"/>
      </rPr>
      <t>数据表</t>
    </r>
    <phoneticPr fontId="3" type="noConversion"/>
  </si>
  <si>
    <r>
      <rPr>
        <sz val="11"/>
        <color indexed="8"/>
        <rFont val="宋体"/>
        <family val="3"/>
        <charset val="134"/>
        <scheme val="minor"/>
      </rPr>
      <t>汇总表</t>
    </r>
    <phoneticPr fontId="3" type="noConversion"/>
  </si>
  <si>
    <r>
      <rPr>
        <sz val="11"/>
        <color indexed="8"/>
        <rFont val="宋体"/>
        <family val="3"/>
        <charset val="134"/>
        <scheme val="minor"/>
      </rPr>
      <t>取费表</t>
    </r>
    <phoneticPr fontId="3" type="noConversion"/>
  </si>
  <si>
    <r>
      <rPr>
        <sz val="11"/>
        <color indexed="8"/>
        <rFont val="宋体"/>
        <family val="3"/>
        <charset val="134"/>
        <scheme val="minor"/>
      </rPr>
      <t>房地状况</t>
    </r>
    <phoneticPr fontId="3" type="noConversion"/>
  </si>
  <si>
    <r>
      <rPr>
        <sz val="11"/>
        <color indexed="8"/>
        <rFont val="宋体"/>
        <family val="3"/>
        <charset val="134"/>
        <scheme val="minor"/>
      </rPr>
      <t>结果表</t>
    </r>
    <phoneticPr fontId="3" type="noConversion"/>
  </si>
  <si>
    <r>
      <rPr>
        <sz val="11"/>
        <color indexed="8"/>
        <rFont val="宋体"/>
        <family val="3"/>
        <charset val="134"/>
        <scheme val="minor"/>
      </rPr>
      <t>方法</t>
    </r>
    <phoneticPr fontId="3" type="noConversion"/>
  </si>
  <si>
    <r>
      <rPr>
        <sz val="11"/>
        <color indexed="8"/>
        <rFont val="宋体"/>
        <family val="3"/>
        <charset val="134"/>
        <scheme val="minor"/>
      </rPr>
      <t>成本</t>
    </r>
    <phoneticPr fontId="3" type="noConversion"/>
  </si>
  <si>
    <r>
      <rPr>
        <sz val="11"/>
        <color indexed="8"/>
        <rFont val="宋体"/>
        <family val="3"/>
        <charset val="134"/>
        <scheme val="minor"/>
      </rPr>
      <t>假开</t>
    </r>
    <phoneticPr fontId="3" type="noConversion"/>
  </si>
  <si>
    <r>
      <rPr>
        <sz val="11"/>
        <color indexed="8"/>
        <rFont val="宋体"/>
        <family val="3"/>
        <charset val="134"/>
        <scheme val="minor"/>
      </rPr>
      <t>收益</t>
    </r>
    <phoneticPr fontId="3" type="noConversion"/>
  </si>
  <si>
    <r>
      <rPr>
        <sz val="11"/>
        <color indexed="8"/>
        <rFont val="宋体"/>
        <family val="3"/>
        <charset val="134"/>
        <scheme val="minor"/>
      </rPr>
      <t>比较</t>
    </r>
    <phoneticPr fontId="3" type="noConversion"/>
  </si>
  <si>
    <r>
      <rPr>
        <sz val="11"/>
        <color indexed="8"/>
        <rFont val="宋体"/>
        <family val="3"/>
        <charset val="134"/>
        <scheme val="minor"/>
      </rPr>
      <t>住宅</t>
    </r>
    <phoneticPr fontId="3" type="noConversion"/>
  </si>
  <si>
    <r>
      <rPr>
        <sz val="11"/>
        <color indexed="8"/>
        <rFont val="宋体"/>
        <family val="3"/>
        <charset val="134"/>
        <scheme val="minor"/>
      </rPr>
      <t>商业</t>
    </r>
    <phoneticPr fontId="3" type="noConversion"/>
  </si>
  <si>
    <r>
      <rPr>
        <sz val="11"/>
        <color indexed="8"/>
        <rFont val="宋体"/>
        <family val="3"/>
        <charset val="134"/>
        <scheme val="minor"/>
      </rPr>
      <t>办公</t>
    </r>
    <phoneticPr fontId="3" type="noConversion"/>
  </si>
  <si>
    <r>
      <rPr>
        <sz val="11"/>
        <color indexed="8"/>
        <rFont val="宋体"/>
        <family val="3"/>
        <charset val="134"/>
        <scheme val="minor"/>
      </rPr>
      <t>工业</t>
    </r>
    <phoneticPr fontId="34" type="noConversion"/>
  </si>
  <si>
    <r>
      <rPr>
        <sz val="11"/>
        <color indexed="8"/>
        <rFont val="宋体"/>
        <family val="3"/>
        <charset val="134"/>
        <scheme val="minor"/>
      </rPr>
      <t>车位</t>
    </r>
    <phoneticPr fontId="34" type="noConversion"/>
  </si>
  <si>
    <r>
      <rPr>
        <sz val="11"/>
        <color indexed="8"/>
        <rFont val="宋体"/>
        <family val="3"/>
        <charset val="134"/>
        <scheme val="minor"/>
      </rPr>
      <t>仓储</t>
    </r>
    <phoneticPr fontId="34" type="noConversion"/>
  </si>
  <si>
    <r>
      <rPr>
        <sz val="11"/>
        <color indexed="8"/>
        <rFont val="宋体"/>
        <family val="3"/>
        <charset val="134"/>
        <scheme val="minor"/>
      </rPr>
      <t>土地-住宅、综合</t>
    </r>
    <phoneticPr fontId="34" type="noConversion"/>
  </si>
  <si>
    <r>
      <rPr>
        <sz val="11"/>
        <color indexed="8"/>
        <rFont val="宋体"/>
        <family val="3"/>
        <charset val="134"/>
        <scheme val="minor"/>
      </rPr>
      <t>土地-工业</t>
    </r>
    <phoneticPr fontId="34" type="noConversion"/>
  </si>
  <si>
    <r>
      <rPr>
        <sz val="11"/>
        <color indexed="8"/>
        <rFont val="宋体"/>
        <family val="3"/>
        <charset val="134"/>
        <scheme val="minor"/>
      </rPr>
      <t>典型户型修正</t>
    </r>
    <phoneticPr fontId="34" type="noConversion"/>
  </si>
  <si>
    <r>
      <rPr>
        <b/>
        <sz val="12"/>
        <color indexed="10"/>
        <rFont val="宋体"/>
        <family val="3"/>
        <charset val="134"/>
        <scheme val="minor"/>
      </rPr>
      <t>数据-基础表  面积录入特殊说明</t>
    </r>
    <phoneticPr fontId="34" type="noConversion"/>
  </si>
  <si>
    <r>
      <rPr>
        <sz val="11"/>
        <color indexed="8"/>
        <rFont val="宋体"/>
        <family val="3"/>
        <charset val="134"/>
        <scheme val="minor"/>
      </rPr>
      <t>估价方法</t>
    </r>
    <phoneticPr fontId="16" type="noConversion"/>
  </si>
  <si>
    <r>
      <rPr>
        <sz val="11"/>
        <color indexed="8"/>
        <rFont val="宋体"/>
        <family val="3"/>
        <charset val="134"/>
        <scheme val="minor"/>
      </rPr>
      <t>判定</t>
    </r>
    <phoneticPr fontId="16" type="noConversion"/>
  </si>
  <si>
    <r>
      <rPr>
        <sz val="11"/>
        <color indexed="8"/>
        <rFont val="宋体"/>
        <family val="3"/>
        <charset val="134"/>
        <scheme val="minor"/>
      </rPr>
      <t>位置</t>
    </r>
    <phoneticPr fontId="16" type="noConversion"/>
  </si>
  <si>
    <r>
      <rPr>
        <sz val="11"/>
        <color indexed="8"/>
        <rFont val="宋体"/>
        <family val="3"/>
        <charset val="134"/>
        <scheme val="minor"/>
      </rPr>
      <t>主用途</t>
    </r>
    <phoneticPr fontId="16" type="noConversion"/>
  </si>
  <si>
    <r>
      <rPr>
        <sz val="11"/>
        <color indexed="8"/>
        <rFont val="宋体"/>
        <family val="3"/>
        <charset val="134"/>
        <scheme val="minor"/>
      </rPr>
      <t>法定最高年限</t>
    </r>
    <phoneticPr fontId="16" type="noConversion"/>
  </si>
  <si>
    <r>
      <rPr>
        <sz val="11"/>
        <color indexed="8"/>
        <rFont val="宋体"/>
        <family val="3"/>
        <charset val="134"/>
        <scheme val="minor"/>
      </rPr>
      <t>地类判定</t>
    </r>
    <phoneticPr fontId="16" type="noConversion"/>
  </si>
  <si>
    <r>
      <rPr>
        <sz val="11"/>
        <color indexed="8"/>
        <rFont val="宋体"/>
        <family val="3"/>
        <charset val="134"/>
        <scheme val="minor"/>
      </rPr>
      <t>土地年限区间</t>
    </r>
    <phoneticPr fontId="16" type="noConversion"/>
  </si>
  <si>
    <r>
      <rPr>
        <sz val="11"/>
        <color indexed="8"/>
        <rFont val="宋体"/>
        <family val="3"/>
        <charset val="134"/>
        <scheme val="minor"/>
      </rPr>
      <t>类别</t>
    </r>
    <phoneticPr fontId="16" type="noConversion"/>
  </si>
  <si>
    <r>
      <rPr>
        <sz val="11"/>
        <color indexed="8"/>
        <rFont val="宋体"/>
        <family val="3"/>
        <charset val="134"/>
        <scheme val="minor"/>
      </rPr>
      <t>居住社区成熟度</t>
    </r>
    <phoneticPr fontId="16" type="noConversion"/>
  </si>
  <si>
    <r>
      <rPr>
        <sz val="11"/>
        <color indexed="8"/>
        <rFont val="宋体"/>
        <family val="3"/>
        <charset val="134"/>
        <scheme val="minor"/>
      </rPr>
      <t>商业繁华度</t>
    </r>
    <phoneticPr fontId="16" type="noConversion"/>
  </si>
  <si>
    <r>
      <rPr>
        <sz val="11"/>
        <color indexed="8"/>
        <rFont val="宋体"/>
        <family val="3"/>
        <charset val="134"/>
        <scheme val="minor"/>
      </rPr>
      <t>办公集聚程度</t>
    </r>
    <phoneticPr fontId="16" type="noConversion"/>
  </si>
  <si>
    <r>
      <rPr>
        <sz val="11"/>
        <color indexed="8"/>
        <rFont val="宋体"/>
        <family val="3"/>
        <charset val="134"/>
        <scheme val="minor"/>
      </rPr>
      <t>产业集聚程度</t>
    </r>
    <phoneticPr fontId="16" type="noConversion"/>
  </si>
  <si>
    <r>
      <rPr>
        <sz val="11"/>
        <color indexed="8"/>
        <rFont val="宋体"/>
        <family val="3"/>
        <charset val="134"/>
        <scheme val="minor"/>
      </rPr>
      <t>交通便捷度</t>
    </r>
    <phoneticPr fontId="16" type="noConversion"/>
  </si>
  <si>
    <r>
      <rPr>
        <sz val="11"/>
        <color indexed="8"/>
        <rFont val="宋体"/>
        <family val="3"/>
        <charset val="134"/>
        <scheme val="minor"/>
      </rPr>
      <t>环境质量</t>
    </r>
    <phoneticPr fontId="16" type="noConversion"/>
  </si>
  <si>
    <t>临街状况</t>
    <phoneticPr fontId="45" type="noConversion"/>
  </si>
  <si>
    <r>
      <rPr>
        <sz val="11"/>
        <color indexed="8"/>
        <rFont val="宋体"/>
        <family val="3"/>
        <charset val="134"/>
        <scheme val="minor"/>
      </rPr>
      <t>内部装修维护情况</t>
    </r>
    <phoneticPr fontId="16" type="noConversion"/>
  </si>
  <si>
    <r>
      <rPr>
        <sz val="11"/>
        <color indexed="8"/>
        <rFont val="宋体"/>
        <family val="3"/>
        <charset val="134"/>
        <scheme val="minor"/>
      </rPr>
      <t>单价内涵</t>
    </r>
    <phoneticPr fontId="16" type="noConversion"/>
  </si>
  <si>
    <r>
      <rPr>
        <sz val="11"/>
        <color indexed="8"/>
        <rFont val="宋体"/>
        <family val="3"/>
        <charset val="134"/>
        <scheme val="minor"/>
      </rPr>
      <t>成本法</t>
    </r>
    <phoneticPr fontId="16" type="noConversion"/>
  </si>
  <si>
    <r>
      <rPr>
        <sz val="11"/>
        <color indexed="8"/>
        <rFont val="宋体"/>
        <family val="3"/>
        <charset val="134"/>
        <scheme val="minor"/>
      </rPr>
      <t>是</t>
    </r>
    <phoneticPr fontId="16" type="noConversion"/>
  </si>
  <si>
    <r>
      <rPr>
        <sz val="11"/>
        <color indexed="8"/>
        <rFont val="宋体"/>
        <family val="3"/>
        <charset val="134"/>
        <scheme val="minor"/>
      </rPr>
      <t>地上</t>
    </r>
    <phoneticPr fontId="16" type="noConversion"/>
  </si>
  <si>
    <r>
      <rPr>
        <sz val="11"/>
        <color indexed="8"/>
        <rFont val="宋体"/>
        <family val="3"/>
        <charset val="134"/>
        <scheme val="minor"/>
      </rPr>
      <t>住宅</t>
    </r>
    <phoneticPr fontId="16" type="noConversion"/>
  </si>
  <si>
    <r>
      <t>60-70</t>
    </r>
    <r>
      <rPr>
        <sz val="11"/>
        <color indexed="8"/>
        <rFont val="宋体"/>
        <family val="3"/>
        <charset val="134"/>
        <scheme val="minor"/>
      </rPr>
      <t>（含）</t>
    </r>
    <phoneticPr fontId="16" type="noConversion"/>
  </si>
  <si>
    <r>
      <rPr>
        <sz val="11"/>
        <color indexed="8"/>
        <rFont val="宋体"/>
        <family val="3"/>
        <charset val="134"/>
        <scheme val="minor"/>
      </rPr>
      <t>经营性</t>
    </r>
    <phoneticPr fontId="16" type="noConversion"/>
  </si>
  <si>
    <r>
      <rPr>
        <sz val="11"/>
        <color indexed="8"/>
        <rFont val="宋体"/>
        <family val="3"/>
        <charset val="134"/>
        <scheme val="minor"/>
      </rPr>
      <t>好</t>
    </r>
  </si>
  <si>
    <r>
      <rPr>
        <sz val="11"/>
        <color indexed="8"/>
        <rFont val="宋体"/>
        <family val="3"/>
        <charset val="134"/>
        <scheme val="minor"/>
      </rPr>
      <t>多面临街</t>
    </r>
    <phoneticPr fontId="45" type="noConversion"/>
  </si>
  <si>
    <r>
      <rPr>
        <sz val="11"/>
        <color indexed="8"/>
        <rFont val="宋体"/>
        <family val="3"/>
        <charset val="134"/>
        <scheme val="minor"/>
      </rPr>
      <t>单位面积地价</t>
    </r>
    <phoneticPr fontId="16" type="noConversion"/>
  </si>
  <si>
    <r>
      <rPr>
        <sz val="11"/>
        <color indexed="8"/>
        <rFont val="宋体"/>
        <family val="3"/>
        <charset val="134"/>
        <scheme val="minor"/>
      </rPr>
      <t>平层住宅</t>
    </r>
    <phoneticPr fontId="16" type="noConversion"/>
  </si>
  <si>
    <r>
      <rPr>
        <sz val="11"/>
        <color indexed="8"/>
        <rFont val="宋体"/>
        <family val="3"/>
        <charset val="134"/>
        <scheme val="minor"/>
      </rPr>
      <t>否</t>
    </r>
    <phoneticPr fontId="16" type="noConversion"/>
  </si>
  <si>
    <r>
      <rPr>
        <sz val="11"/>
        <color indexed="8"/>
        <rFont val="宋体"/>
        <family val="3"/>
        <charset val="134"/>
        <scheme val="minor"/>
      </rPr>
      <t>商业</t>
    </r>
    <phoneticPr fontId="16" type="noConversion"/>
  </si>
  <si>
    <r>
      <t>50-60</t>
    </r>
    <r>
      <rPr>
        <sz val="11"/>
        <color indexed="8"/>
        <rFont val="宋体"/>
        <family val="3"/>
        <charset val="134"/>
        <scheme val="minor"/>
      </rPr>
      <t>（含）</t>
    </r>
    <phoneticPr fontId="16" type="noConversion"/>
  </si>
  <si>
    <r>
      <rPr>
        <sz val="11"/>
        <color indexed="8"/>
        <rFont val="宋体"/>
        <family val="3"/>
        <charset val="134"/>
        <scheme val="minor"/>
      </rPr>
      <t>非经营性</t>
    </r>
    <phoneticPr fontId="16" type="noConversion"/>
  </si>
  <si>
    <r>
      <rPr>
        <sz val="11"/>
        <color indexed="8"/>
        <rFont val="宋体"/>
        <family val="3"/>
        <charset val="134"/>
        <scheme val="minor"/>
      </rPr>
      <t>较好</t>
    </r>
  </si>
  <si>
    <r>
      <rPr>
        <sz val="11"/>
        <color indexed="8"/>
        <rFont val="宋体"/>
        <family val="3"/>
        <charset val="134"/>
        <scheme val="minor"/>
      </rPr>
      <t>双面临街</t>
    </r>
    <phoneticPr fontId="45" type="noConversion"/>
  </si>
  <si>
    <r>
      <rPr>
        <sz val="11"/>
        <color indexed="8"/>
        <rFont val="宋体"/>
        <family val="3"/>
        <charset val="134"/>
        <scheme val="minor"/>
      </rPr>
      <t>楼面地价</t>
    </r>
    <phoneticPr fontId="16" type="noConversion"/>
  </si>
  <si>
    <r>
      <t>LOFT</t>
    </r>
    <r>
      <rPr>
        <sz val="11"/>
        <color indexed="8"/>
        <rFont val="宋体"/>
        <family val="3"/>
        <charset val="134"/>
        <scheme val="minor"/>
      </rPr>
      <t>住宅</t>
    </r>
    <phoneticPr fontId="16" type="noConversion"/>
  </si>
  <si>
    <r>
      <rPr>
        <sz val="11"/>
        <color indexed="8"/>
        <rFont val="宋体"/>
        <family val="3"/>
        <charset val="134"/>
        <scheme val="minor"/>
      </rPr>
      <t>假设开发法</t>
    </r>
    <phoneticPr fontId="16" type="noConversion"/>
  </si>
  <si>
    <r>
      <rPr>
        <sz val="11"/>
        <color indexed="8"/>
        <rFont val="宋体"/>
        <family val="3"/>
        <charset val="134"/>
        <scheme val="minor"/>
      </rPr>
      <t>地下</t>
    </r>
    <phoneticPr fontId="16" type="noConversion"/>
  </si>
  <si>
    <r>
      <rPr>
        <sz val="11"/>
        <color indexed="8"/>
        <rFont val="宋体"/>
        <family val="3"/>
        <charset val="134"/>
        <scheme val="minor"/>
      </rPr>
      <t>办公</t>
    </r>
    <phoneticPr fontId="16" type="noConversion"/>
  </si>
  <si>
    <r>
      <t>40-50</t>
    </r>
    <r>
      <rPr>
        <sz val="11"/>
        <color indexed="8"/>
        <rFont val="宋体"/>
        <family val="3"/>
        <charset val="134"/>
        <scheme val="minor"/>
      </rPr>
      <t>（含）</t>
    </r>
    <phoneticPr fontId="16" type="noConversion"/>
  </si>
  <si>
    <r>
      <rPr>
        <sz val="11"/>
        <color indexed="8"/>
        <rFont val="宋体"/>
        <family val="3"/>
        <charset val="134"/>
        <scheme val="minor"/>
      </rPr>
      <t>一般</t>
    </r>
  </si>
  <si>
    <r>
      <rPr>
        <sz val="11"/>
        <color indexed="8"/>
        <rFont val="宋体"/>
        <family val="3"/>
        <charset val="134"/>
        <scheme val="minor"/>
      </rPr>
      <t>单面临街</t>
    </r>
    <phoneticPr fontId="45" type="noConversion"/>
  </si>
  <si>
    <r>
      <rPr>
        <sz val="11"/>
        <color indexed="8"/>
        <rFont val="宋体"/>
        <family val="3"/>
        <charset val="134"/>
        <scheme val="minor"/>
      </rPr>
      <t>普通住宅</t>
    </r>
    <phoneticPr fontId="16" type="noConversion"/>
  </si>
  <si>
    <r>
      <rPr>
        <sz val="11"/>
        <color indexed="8"/>
        <rFont val="宋体"/>
        <family val="3"/>
        <charset val="134"/>
        <scheme val="minor"/>
      </rPr>
      <t>收益法</t>
    </r>
    <phoneticPr fontId="16" type="noConversion"/>
  </si>
  <si>
    <r>
      <rPr>
        <sz val="11"/>
        <color indexed="8"/>
        <rFont val="宋体"/>
        <family val="3"/>
        <charset val="134"/>
        <scheme val="minor"/>
      </rPr>
      <t>工业</t>
    </r>
    <phoneticPr fontId="16" type="noConversion"/>
  </si>
  <si>
    <r>
      <rPr>
        <sz val="11"/>
        <color indexed="8"/>
        <rFont val="宋体"/>
        <family val="3"/>
        <charset val="134"/>
        <scheme val="minor"/>
      </rPr>
      <t>车库</t>
    </r>
    <phoneticPr fontId="16" type="noConversion"/>
  </si>
  <si>
    <r>
      <t>30-40</t>
    </r>
    <r>
      <rPr>
        <sz val="11"/>
        <color indexed="8"/>
        <rFont val="宋体"/>
        <family val="3"/>
        <charset val="134"/>
        <scheme val="minor"/>
      </rPr>
      <t>（含）</t>
    </r>
    <phoneticPr fontId="16" type="noConversion"/>
  </si>
  <si>
    <r>
      <rPr>
        <sz val="11"/>
        <color indexed="8"/>
        <rFont val="宋体"/>
        <family val="3"/>
        <charset val="134"/>
        <scheme val="minor"/>
      </rPr>
      <t>较差</t>
    </r>
  </si>
  <si>
    <r>
      <rPr>
        <sz val="11"/>
        <color indexed="8"/>
        <rFont val="宋体"/>
        <family val="3"/>
        <charset val="134"/>
        <scheme val="minor"/>
      </rPr>
      <t>不临街</t>
    </r>
    <phoneticPr fontId="45" type="noConversion"/>
  </si>
  <si>
    <r>
      <rPr>
        <sz val="11"/>
        <color indexed="8"/>
        <rFont val="宋体"/>
        <family val="3"/>
        <charset val="134"/>
        <scheme val="minor"/>
      </rPr>
      <t>仓储</t>
    </r>
    <phoneticPr fontId="16" type="noConversion"/>
  </si>
  <si>
    <r>
      <t>20-30</t>
    </r>
    <r>
      <rPr>
        <sz val="11"/>
        <color indexed="8"/>
        <rFont val="宋体"/>
        <family val="3"/>
        <charset val="134"/>
        <scheme val="minor"/>
      </rPr>
      <t>（含）</t>
    </r>
    <phoneticPr fontId="16" type="noConversion"/>
  </si>
  <si>
    <r>
      <rPr>
        <sz val="11"/>
        <color indexed="8"/>
        <rFont val="宋体"/>
        <family val="3"/>
        <charset val="134"/>
        <scheme val="minor"/>
      </rPr>
      <t>差</t>
    </r>
  </si>
  <si>
    <r>
      <rPr>
        <sz val="11"/>
        <color indexed="8"/>
        <rFont val="宋体"/>
        <family val="3"/>
        <charset val="134"/>
        <scheme val="minor"/>
      </rPr>
      <t>洋房</t>
    </r>
    <phoneticPr fontId="16" type="noConversion"/>
  </si>
  <si>
    <r>
      <rPr>
        <sz val="11"/>
        <color indexed="8"/>
        <rFont val="宋体"/>
        <family val="3"/>
        <charset val="134"/>
        <scheme val="minor"/>
      </rPr>
      <t>车库—商业</t>
    </r>
    <phoneticPr fontId="16" type="noConversion"/>
  </si>
  <si>
    <r>
      <rPr>
        <sz val="11"/>
        <color indexed="8"/>
        <rFont val="宋体"/>
        <family val="3"/>
        <charset val="134"/>
        <scheme val="minor"/>
      </rPr>
      <t>工业</t>
    </r>
    <phoneticPr fontId="16" type="noConversion"/>
  </si>
  <si>
    <r>
      <t>10-20</t>
    </r>
    <r>
      <rPr>
        <sz val="11"/>
        <color indexed="8"/>
        <rFont val="宋体"/>
        <family val="3"/>
        <charset val="134"/>
        <scheme val="minor"/>
      </rPr>
      <t>（含）</t>
    </r>
    <phoneticPr fontId="16" type="noConversion"/>
  </si>
  <si>
    <r>
      <rPr>
        <sz val="11"/>
        <color indexed="8"/>
        <rFont val="宋体"/>
        <family val="3"/>
        <charset val="134"/>
        <scheme val="minor"/>
      </rPr>
      <t>叠拼</t>
    </r>
    <phoneticPr fontId="16" type="noConversion"/>
  </si>
  <si>
    <r>
      <rPr>
        <sz val="11"/>
        <color indexed="8"/>
        <rFont val="宋体"/>
        <family val="3"/>
        <charset val="134"/>
        <scheme val="minor"/>
      </rPr>
      <t>比较法-住宅</t>
    </r>
    <phoneticPr fontId="16" type="noConversion"/>
  </si>
  <si>
    <r>
      <rPr>
        <sz val="11"/>
        <color indexed="8"/>
        <rFont val="宋体"/>
        <family val="3"/>
        <charset val="134"/>
        <scheme val="minor"/>
      </rPr>
      <t>车库—办公</t>
    </r>
    <phoneticPr fontId="16" type="noConversion"/>
  </si>
  <si>
    <r>
      <t>0-10</t>
    </r>
    <r>
      <rPr>
        <sz val="11"/>
        <color indexed="8"/>
        <rFont val="宋体"/>
        <family val="3"/>
        <charset val="134"/>
        <scheme val="minor"/>
      </rPr>
      <t>（含）</t>
    </r>
    <phoneticPr fontId="16" type="noConversion"/>
  </si>
  <si>
    <r>
      <rPr>
        <sz val="11"/>
        <color indexed="8"/>
        <rFont val="宋体"/>
        <family val="3"/>
        <charset val="134"/>
        <scheme val="minor"/>
      </rPr>
      <t>联排</t>
    </r>
    <phoneticPr fontId="16" type="noConversion"/>
  </si>
  <si>
    <r>
      <rPr>
        <sz val="11"/>
        <color indexed="8"/>
        <rFont val="宋体"/>
        <family val="3"/>
        <charset val="134"/>
        <scheme val="minor"/>
      </rPr>
      <t>比较法-商业</t>
    </r>
    <phoneticPr fontId="16" type="noConversion"/>
  </si>
  <si>
    <r>
      <rPr>
        <sz val="11"/>
        <color indexed="8"/>
        <rFont val="宋体"/>
        <family val="3"/>
        <charset val="134"/>
        <scheme val="minor"/>
      </rPr>
      <t>仓储</t>
    </r>
    <phoneticPr fontId="16" type="noConversion"/>
  </si>
  <si>
    <r>
      <rPr>
        <sz val="11"/>
        <color indexed="8"/>
        <rFont val="宋体"/>
        <family val="3"/>
        <charset val="134"/>
        <scheme val="minor"/>
      </rPr>
      <t>双拼</t>
    </r>
    <phoneticPr fontId="16" type="noConversion"/>
  </si>
  <si>
    <r>
      <rPr>
        <sz val="11"/>
        <color indexed="8"/>
        <rFont val="宋体"/>
        <family val="3"/>
        <charset val="134"/>
        <scheme val="minor"/>
      </rPr>
      <t>比较法-办公</t>
    </r>
    <phoneticPr fontId="16" type="noConversion"/>
  </si>
  <si>
    <r>
      <rPr>
        <sz val="11"/>
        <color indexed="8"/>
        <rFont val="宋体"/>
        <family val="3"/>
        <charset val="134"/>
        <scheme val="minor"/>
      </rPr>
      <t>独栋</t>
    </r>
    <phoneticPr fontId="16" type="noConversion"/>
  </si>
  <si>
    <r>
      <rPr>
        <sz val="11"/>
        <color indexed="8"/>
        <rFont val="宋体"/>
        <family val="3"/>
        <charset val="134"/>
        <scheme val="minor"/>
      </rPr>
      <t>比较法-工业</t>
    </r>
    <phoneticPr fontId="16" type="noConversion"/>
  </si>
  <si>
    <r>
      <rPr>
        <sz val="11"/>
        <color indexed="8"/>
        <rFont val="宋体"/>
        <family val="3"/>
        <charset val="134"/>
        <scheme val="minor"/>
      </rPr>
      <t>底商</t>
    </r>
    <phoneticPr fontId="16" type="noConversion"/>
  </si>
  <si>
    <r>
      <rPr>
        <sz val="11"/>
        <color indexed="8"/>
        <rFont val="宋体"/>
        <family val="3"/>
        <charset val="134"/>
        <scheme val="minor"/>
      </rPr>
      <t>比较法-车位</t>
    </r>
    <phoneticPr fontId="16" type="noConversion"/>
  </si>
  <si>
    <r>
      <rPr>
        <sz val="11"/>
        <color indexed="8"/>
        <rFont val="宋体"/>
        <family val="3"/>
        <charset val="134"/>
        <scheme val="minor"/>
      </rPr>
      <t>独立商业</t>
    </r>
    <phoneticPr fontId="16" type="noConversion"/>
  </si>
  <si>
    <r>
      <rPr>
        <sz val="11"/>
        <color indexed="8"/>
        <rFont val="宋体"/>
        <family val="3"/>
        <charset val="134"/>
        <scheme val="minor"/>
      </rPr>
      <t>比较法-仓储</t>
    </r>
    <phoneticPr fontId="16" type="noConversion"/>
  </si>
  <si>
    <r>
      <rPr>
        <sz val="11"/>
        <color indexed="8"/>
        <rFont val="宋体"/>
        <family val="3"/>
        <charset val="134"/>
        <scheme val="minor"/>
      </rPr>
      <t>商业街</t>
    </r>
    <phoneticPr fontId="16" type="noConversion"/>
  </si>
  <si>
    <r>
      <rPr>
        <sz val="11"/>
        <color indexed="8"/>
        <rFont val="宋体"/>
        <family val="3"/>
        <charset val="134"/>
        <scheme val="minor"/>
      </rPr>
      <t>土地比较法-住宅、综合</t>
    </r>
    <phoneticPr fontId="16" type="noConversion"/>
  </si>
  <si>
    <r>
      <rPr>
        <sz val="11"/>
        <color indexed="8"/>
        <rFont val="宋体"/>
        <family val="3"/>
        <charset val="134"/>
        <scheme val="minor"/>
      </rPr>
      <t>酒店</t>
    </r>
    <phoneticPr fontId="16" type="noConversion"/>
  </si>
  <si>
    <r>
      <rPr>
        <sz val="11"/>
        <color indexed="8"/>
        <rFont val="宋体"/>
        <family val="3"/>
        <charset val="134"/>
        <scheme val="minor"/>
      </rPr>
      <t>土地比较法-工业</t>
    </r>
    <phoneticPr fontId="16" type="noConversion"/>
  </si>
  <si>
    <r>
      <rPr>
        <sz val="11"/>
        <color indexed="8"/>
        <rFont val="宋体"/>
        <family val="3"/>
        <charset val="134"/>
        <scheme val="minor"/>
      </rPr>
      <t>标准厂房</t>
    </r>
    <phoneticPr fontId="16" type="noConversion"/>
  </si>
  <si>
    <r>
      <rPr>
        <sz val="11"/>
        <color indexed="8"/>
        <rFont val="宋体"/>
        <family val="3"/>
        <charset val="134"/>
        <scheme val="minor"/>
      </rPr>
      <t>特殊厂房</t>
    </r>
    <phoneticPr fontId="16" type="noConversion"/>
  </si>
  <si>
    <r>
      <rPr>
        <sz val="11"/>
        <color indexed="8"/>
        <rFont val="宋体"/>
        <family val="3"/>
        <charset val="134"/>
        <scheme val="minor"/>
      </rPr>
      <t>办公楼</t>
    </r>
    <phoneticPr fontId="16" type="noConversion"/>
  </si>
  <si>
    <r>
      <rPr>
        <sz val="11"/>
        <color indexed="8"/>
        <rFont val="宋体"/>
        <family val="3"/>
        <charset val="134"/>
        <scheme val="minor"/>
      </rPr>
      <t>宿舍</t>
    </r>
    <phoneticPr fontId="16" type="noConversion"/>
  </si>
  <si>
    <r>
      <rPr>
        <sz val="11"/>
        <color indexed="8"/>
        <rFont val="宋体"/>
        <family val="3"/>
        <charset val="134"/>
        <scheme val="minor"/>
      </rPr>
      <t>食堂</t>
    </r>
    <phoneticPr fontId="16" type="noConversion"/>
  </si>
  <si>
    <r>
      <rPr>
        <sz val="11"/>
        <color indexed="8"/>
        <rFont val="宋体"/>
        <family val="3"/>
        <charset val="134"/>
        <scheme val="minor"/>
      </rPr>
      <t>车库</t>
    </r>
    <phoneticPr fontId="16" type="noConversion"/>
  </si>
  <si>
    <r>
      <rPr>
        <sz val="11"/>
        <color indexed="8"/>
        <rFont val="宋体"/>
        <family val="3"/>
        <charset val="134"/>
        <scheme val="minor"/>
      </rPr>
      <t>戊类库房</t>
    </r>
    <phoneticPr fontId="16" type="noConversion"/>
  </si>
  <si>
    <r>
      <rPr>
        <sz val="11"/>
        <color indexed="8"/>
        <rFont val="宋体"/>
        <family val="3"/>
        <charset val="134"/>
        <scheme val="minor"/>
      </rPr>
      <t>燃品库房</t>
    </r>
    <phoneticPr fontId="16" type="noConversion"/>
  </si>
  <si>
    <r>
      <rPr>
        <sz val="11"/>
        <color indexed="8"/>
        <rFont val="宋体"/>
        <family val="3"/>
        <charset val="134"/>
        <scheme val="minor"/>
      </rPr>
      <t>非燃品库房</t>
    </r>
    <phoneticPr fontId="16" type="noConversion"/>
  </si>
  <si>
    <r>
      <rPr>
        <sz val="11"/>
        <color indexed="8"/>
        <rFont val="宋体"/>
        <family val="3"/>
        <charset val="134"/>
        <scheme val="minor"/>
      </rPr>
      <t>限价商品房</t>
    </r>
    <phoneticPr fontId="41" type="noConversion"/>
  </si>
  <si>
    <r>
      <rPr>
        <sz val="11"/>
        <color indexed="8"/>
        <rFont val="宋体"/>
        <family val="3"/>
        <charset val="134"/>
        <scheme val="minor"/>
      </rPr>
      <t>自住商品房</t>
    </r>
    <phoneticPr fontId="41" type="noConversion"/>
  </si>
  <si>
    <r>
      <rPr>
        <sz val="10"/>
        <color indexed="8"/>
        <rFont val="宋体"/>
        <family val="3"/>
        <charset val="134"/>
      </rPr>
      <t>权利状况（抵押）</t>
    </r>
    <phoneticPr fontId="86" type="noConversion"/>
  </si>
  <si>
    <r>
      <rPr>
        <sz val="10"/>
        <color indexed="8"/>
        <rFont val="宋体"/>
        <family val="3"/>
        <charset val="134"/>
      </rPr>
      <t>其他资料</t>
    </r>
    <phoneticPr fontId="86" type="noConversion"/>
  </si>
  <si>
    <r>
      <rPr>
        <sz val="10"/>
        <color indexed="8"/>
        <rFont val="宋体"/>
        <family val="3"/>
        <charset val="134"/>
      </rPr>
      <t>原件</t>
    </r>
  </si>
  <si>
    <r>
      <rPr>
        <sz val="10"/>
        <color indexed="8"/>
        <rFont val="宋体"/>
        <family val="3"/>
        <charset val="134"/>
      </rPr>
      <t>复印件</t>
    </r>
  </si>
  <si>
    <r>
      <rPr>
        <sz val="10"/>
        <color indexed="8"/>
        <rFont val="宋体"/>
        <family val="3"/>
        <charset val="134"/>
      </rPr>
      <t>权利人</t>
    </r>
    <phoneticPr fontId="86" type="noConversion"/>
  </si>
  <si>
    <r>
      <rPr>
        <sz val="10"/>
        <color indexed="8"/>
        <rFont val="宋体"/>
        <family val="3"/>
        <charset val="134"/>
      </rPr>
      <t>权利范围</t>
    </r>
    <phoneticPr fontId="86" type="noConversion"/>
  </si>
  <si>
    <r>
      <rPr>
        <sz val="10"/>
        <color indexed="8"/>
        <rFont val="宋体"/>
        <family val="3"/>
        <charset val="134"/>
      </rPr>
      <t>权利价值</t>
    </r>
    <phoneticPr fontId="86" type="noConversion"/>
  </si>
  <si>
    <r>
      <rPr>
        <b/>
        <sz val="14"/>
        <color rgb="FFFF0000"/>
        <rFont val="宋体"/>
        <family val="3"/>
        <charset val="134"/>
      </rPr>
      <t>数据基础表</t>
    </r>
    <phoneticPr fontId="3" type="noConversion"/>
  </si>
  <si>
    <r>
      <rPr>
        <b/>
        <sz val="16"/>
        <color rgb="FFFF0000"/>
        <rFont val="宋体"/>
        <family val="3"/>
        <charset val="134"/>
      </rPr>
      <t>抵押物清单</t>
    </r>
    <phoneticPr fontId="3" type="noConversion"/>
  </si>
  <si>
    <r>
      <rPr>
        <sz val="10"/>
        <color indexed="8"/>
        <rFont val="宋体"/>
        <family val="3"/>
        <charset val="134"/>
      </rPr>
      <t>土地面积</t>
    </r>
    <phoneticPr fontId="3" type="noConversion"/>
  </si>
  <si>
    <r>
      <rPr>
        <sz val="10"/>
        <color indexed="8"/>
        <rFont val="宋体"/>
        <family val="3"/>
        <charset val="134"/>
      </rPr>
      <t>建筑面积</t>
    </r>
    <phoneticPr fontId="3" type="noConversion"/>
  </si>
  <si>
    <r>
      <rPr>
        <sz val="10"/>
        <color indexed="8"/>
        <rFont val="宋体"/>
        <family val="3"/>
        <charset val="134"/>
      </rPr>
      <t>人防是否参与分摊</t>
    </r>
    <phoneticPr fontId="3" type="noConversion"/>
  </si>
  <si>
    <r>
      <rPr>
        <sz val="10"/>
        <color indexed="8"/>
        <rFont val="宋体"/>
        <family val="3"/>
        <charset val="134"/>
      </rPr>
      <t>测绘分摊土地面积</t>
    </r>
    <phoneticPr fontId="3" type="noConversion"/>
  </si>
  <si>
    <r>
      <rPr>
        <sz val="10"/>
        <color theme="1"/>
        <rFont val="宋体"/>
        <family val="3"/>
        <charset val="134"/>
      </rPr>
      <t>计容建筑面积</t>
    </r>
    <phoneticPr fontId="3" type="noConversion"/>
  </si>
  <si>
    <r>
      <rPr>
        <sz val="10"/>
        <color indexed="8"/>
        <rFont val="宋体"/>
        <family val="3"/>
        <charset val="134"/>
      </rPr>
      <t>计容部位</t>
    </r>
    <phoneticPr fontId="3" type="noConversion"/>
  </si>
  <si>
    <r>
      <rPr>
        <sz val="10"/>
        <color indexed="8"/>
        <rFont val="宋体"/>
        <family val="3"/>
        <charset val="134"/>
      </rPr>
      <t>建筑面积合计</t>
    </r>
    <phoneticPr fontId="5" type="noConversion"/>
  </si>
  <si>
    <r>
      <rPr>
        <sz val="10"/>
        <color indexed="8"/>
        <rFont val="宋体"/>
        <family val="3"/>
        <charset val="134"/>
      </rPr>
      <t>（分摊）土地面积</t>
    </r>
    <phoneticPr fontId="5"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</si>
  <si>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</si>
  <si>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</si>
  <si>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5" type="noConversion"/>
  </si>
  <si>
    <r>
      <rPr>
        <sz val="10"/>
        <color indexed="8"/>
        <rFont val="宋体"/>
        <family val="3"/>
        <charset val="134"/>
      </rPr>
      <t>是否为抵押范围</t>
    </r>
    <phoneticPr fontId="5" type="noConversion"/>
  </si>
  <si>
    <r>
      <rPr>
        <sz val="10"/>
        <color indexed="8"/>
        <rFont val="宋体"/>
        <family val="3"/>
        <charset val="134"/>
      </rPr>
      <t>（分摊）土地面积</t>
    </r>
    <phoneticPr fontId="5" type="noConversion"/>
  </si>
  <si>
    <r>
      <rPr>
        <sz val="10"/>
        <color indexed="8"/>
        <rFont val="宋体"/>
        <family val="3"/>
        <charset val="134"/>
      </rPr>
      <t>楼基面积</t>
    </r>
    <phoneticPr fontId="5" type="noConversion"/>
  </si>
  <si>
    <r>
      <rPr>
        <sz val="10"/>
        <color indexed="8"/>
        <rFont val="宋体"/>
        <family val="3"/>
        <charset val="134"/>
      </rPr>
      <t>建筑面积（含人防）</t>
    </r>
    <phoneticPr fontId="5" type="noConversion"/>
  </si>
  <si>
    <r>
      <rPr>
        <sz val="10"/>
        <color indexed="8"/>
        <rFont val="宋体"/>
        <family val="3"/>
        <charset val="134"/>
      </rPr>
      <t>不在估价范围内的项目</t>
    </r>
    <phoneticPr fontId="3"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</si>
  <si>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</si>
  <si>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</si>
  <si>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抵押物</t>
    </r>
    <phoneticPr fontId="3" type="noConversion"/>
  </si>
  <si>
    <r>
      <rPr>
        <sz val="10"/>
        <color indexed="8"/>
        <rFont val="宋体"/>
        <family val="3"/>
        <charset val="134"/>
      </rPr>
      <t>合计</t>
    </r>
    <phoneticPr fontId="3" type="noConversion"/>
  </si>
  <si>
    <r>
      <rPr>
        <sz val="10"/>
        <color indexed="8"/>
        <rFont val="宋体"/>
        <family val="3"/>
        <charset val="134"/>
      </rPr>
      <t>经营性用途（预留</t>
    </r>
    <r>
      <rPr>
        <sz val="10"/>
        <color indexed="8"/>
        <rFont val="Arial"/>
        <family val="2"/>
      </rPr>
      <t>10</t>
    </r>
    <r>
      <rPr>
        <sz val="10"/>
        <color indexed="8"/>
        <rFont val="宋体"/>
        <family val="3"/>
        <charset val="134"/>
      </rPr>
      <t>格</t>
    </r>
    <r>
      <rPr>
        <sz val="10"/>
        <color indexed="8"/>
        <rFont val="Arial"/>
        <family val="2"/>
      </rPr>
      <t>)</t>
    </r>
    <phoneticPr fontId="5" type="noConversion"/>
  </si>
  <si>
    <r>
      <rPr>
        <sz val="10"/>
        <color indexed="8"/>
        <rFont val="宋体"/>
        <family val="3"/>
        <charset val="134"/>
      </rPr>
      <t>非经营性用途（共设</t>
    </r>
    <r>
      <rPr>
        <sz val="10"/>
        <color indexed="8"/>
        <rFont val="Arial"/>
        <family val="2"/>
      </rPr>
      <t>8</t>
    </r>
    <r>
      <rPr>
        <sz val="10"/>
        <color indexed="8"/>
        <rFont val="宋体"/>
        <family val="3"/>
        <charset val="134"/>
      </rPr>
      <t>格，固定）</t>
    </r>
    <phoneticPr fontId="5" type="noConversion"/>
  </si>
  <si>
    <r>
      <rPr>
        <sz val="10"/>
        <color indexed="8"/>
        <rFont val="宋体"/>
        <family val="3"/>
        <charset val="134"/>
      </rPr>
      <t>人防</t>
    </r>
    <phoneticPr fontId="3" type="noConversion"/>
  </si>
  <si>
    <r>
      <rPr>
        <sz val="10"/>
        <color indexed="8"/>
        <rFont val="宋体"/>
        <family val="3"/>
        <charset val="134"/>
      </rPr>
      <t>文字说明</t>
    </r>
    <phoneticPr fontId="3" type="noConversion"/>
  </si>
  <si>
    <r>
      <rPr>
        <sz val="10"/>
        <color indexed="8"/>
        <rFont val="宋体"/>
        <family val="3"/>
        <charset val="134"/>
      </rPr>
      <t>（分摊）土地面积</t>
    </r>
    <phoneticPr fontId="3" type="noConversion"/>
  </si>
  <si>
    <r>
      <rPr>
        <sz val="10"/>
        <color indexed="8"/>
        <rFont val="宋体"/>
        <family val="3"/>
        <charset val="134"/>
      </rPr>
      <t>建筑面积</t>
    </r>
    <phoneticPr fontId="3" type="noConversion"/>
  </si>
  <si>
    <r>
      <rPr>
        <sz val="10"/>
        <color indexed="8"/>
        <rFont val="宋体"/>
        <family val="3"/>
        <charset val="134"/>
      </rPr>
      <t>小计</t>
    </r>
    <phoneticPr fontId="3" type="noConversion"/>
  </si>
  <si>
    <r>
      <rPr>
        <sz val="10"/>
        <color indexed="8"/>
        <rFont val="宋体"/>
        <family val="3"/>
        <charset val="134"/>
      </rPr>
      <t>地上</t>
    </r>
    <phoneticPr fontId="3" type="noConversion"/>
  </si>
  <si>
    <r>
      <rPr>
        <sz val="10"/>
        <color indexed="8"/>
        <rFont val="宋体"/>
        <family val="3"/>
        <charset val="134"/>
      </rPr>
      <t>地下</t>
    </r>
    <phoneticPr fontId="3" type="noConversion"/>
  </si>
  <si>
    <r>
      <rPr>
        <sz val="10"/>
        <color indexed="8"/>
        <rFont val="宋体"/>
        <family val="3"/>
        <charset val="134"/>
      </rPr>
      <t>没有请明确为</t>
    </r>
    <r>
      <rPr>
        <sz val="10"/>
        <color indexed="8"/>
        <rFont val="Arial"/>
        <family val="2"/>
      </rPr>
      <t>“</t>
    </r>
    <r>
      <rPr>
        <sz val="10"/>
        <color indexed="8"/>
        <rFont val="宋体"/>
        <family val="3"/>
        <charset val="134"/>
      </rPr>
      <t>无</t>
    </r>
    <r>
      <rPr>
        <sz val="10"/>
        <color indexed="8"/>
        <rFont val="Arial"/>
        <family val="2"/>
      </rPr>
      <t>”</t>
    </r>
    <phoneticPr fontId="3" type="noConversion"/>
  </si>
  <si>
    <r>
      <rPr>
        <sz val="10"/>
        <color indexed="8"/>
        <rFont val="宋体"/>
        <family val="3"/>
        <charset val="134"/>
      </rPr>
      <t>经营性用途</t>
    </r>
    <phoneticPr fontId="5" type="noConversion"/>
  </si>
  <si>
    <r>
      <rPr>
        <sz val="10"/>
        <color indexed="8"/>
        <rFont val="宋体"/>
        <family val="3"/>
        <charset val="134"/>
      </rPr>
      <t>非经营性用途</t>
    </r>
    <phoneticPr fontId="5" type="noConversion"/>
  </si>
  <si>
    <r>
      <rPr>
        <sz val="10"/>
        <color indexed="8"/>
        <rFont val="宋体"/>
        <family val="3"/>
        <charset val="134"/>
      </rPr>
      <t>公共配套设施</t>
    </r>
    <phoneticPr fontId="3" type="noConversion"/>
  </si>
  <si>
    <r>
      <rPr>
        <sz val="10"/>
        <color indexed="8"/>
        <rFont val="宋体"/>
        <family val="3"/>
        <charset val="134"/>
      </rPr>
      <t>物业管理用房</t>
    </r>
    <phoneticPr fontId="3" type="noConversion"/>
  </si>
  <si>
    <r>
      <rPr>
        <sz val="10"/>
        <color indexed="8"/>
        <rFont val="宋体"/>
        <family val="3"/>
        <charset val="134"/>
      </rPr>
      <t>设备及其他</t>
    </r>
    <phoneticPr fontId="3" type="noConversion"/>
  </si>
  <si>
    <r>
      <rPr>
        <sz val="10"/>
        <color indexed="8"/>
        <rFont val="宋体"/>
        <family val="3"/>
        <charset val="134"/>
      </rPr>
      <t>未注明</t>
    </r>
    <phoneticPr fontId="3" type="noConversion"/>
  </si>
  <si>
    <r>
      <rPr>
        <sz val="10"/>
        <color rgb="FFFF0000"/>
        <rFont val="宋体"/>
        <family val="3"/>
        <charset val="134"/>
      </rPr>
      <t>（住宅）</t>
    </r>
    <phoneticPr fontId="3" type="noConversion"/>
  </si>
  <si>
    <r>
      <rPr>
        <sz val="10"/>
        <color rgb="FFFF0000"/>
        <rFont val="宋体"/>
        <family val="3"/>
        <charset val="134"/>
      </rPr>
      <t>（住宅、计出让金）</t>
    </r>
    <phoneticPr fontId="3" type="noConversion"/>
  </si>
  <si>
    <r>
      <rPr>
        <sz val="10"/>
        <color indexed="8"/>
        <rFont val="宋体"/>
        <family val="3"/>
        <charset val="134"/>
      </rPr>
      <t>总值</t>
    </r>
    <phoneticPr fontId="3" type="noConversion"/>
  </si>
  <si>
    <r>
      <rPr>
        <sz val="10"/>
        <color indexed="8"/>
        <rFont val="宋体"/>
        <family val="3"/>
        <charset val="134"/>
      </rPr>
      <t>扣减值</t>
    </r>
    <phoneticPr fontId="3" type="noConversion"/>
  </si>
  <si>
    <r>
      <rPr>
        <b/>
        <sz val="11"/>
        <color indexed="8"/>
        <rFont val="宋体"/>
        <family val="3"/>
        <charset val="134"/>
      </rPr>
      <t>面积总计</t>
    </r>
    <phoneticPr fontId="7" type="noConversion"/>
  </si>
  <si>
    <r>
      <rPr>
        <sz val="11"/>
        <color indexed="8"/>
        <rFont val="宋体"/>
        <family val="3"/>
        <charset val="134"/>
      </rPr>
      <t>总</t>
    </r>
    <phoneticPr fontId="7" type="noConversion"/>
  </si>
  <si>
    <r>
      <rPr>
        <b/>
        <sz val="11"/>
        <color indexed="8"/>
        <rFont val="宋体"/>
        <family val="3"/>
        <charset val="134"/>
      </rPr>
      <t>土地面积</t>
    </r>
    <phoneticPr fontId="10" type="noConversion"/>
  </si>
  <si>
    <r>
      <rPr>
        <b/>
        <sz val="11"/>
        <rFont val="宋体"/>
        <family val="3"/>
        <charset val="134"/>
      </rPr>
      <t>建筑面积</t>
    </r>
    <phoneticPr fontId="10" type="noConversion"/>
  </si>
  <si>
    <r>
      <t>1.</t>
    </r>
    <r>
      <rPr>
        <sz val="11"/>
        <color indexed="8"/>
        <rFont val="宋体"/>
        <family val="3"/>
        <charset val="134"/>
      </rPr>
      <t>其中：</t>
    </r>
    <phoneticPr fontId="7" type="noConversion"/>
  </si>
  <si>
    <r>
      <rPr>
        <sz val="11"/>
        <color indexed="8"/>
        <rFont val="宋体"/>
        <family val="3"/>
        <charset val="134"/>
      </rPr>
      <t>住宅</t>
    </r>
    <phoneticPr fontId="7" type="noConversion"/>
  </si>
  <si>
    <r>
      <rPr>
        <sz val="11"/>
        <color indexed="8"/>
        <rFont val="宋体"/>
        <family val="3"/>
        <charset val="134"/>
      </rPr>
      <t>非住宅</t>
    </r>
    <phoneticPr fontId="7" type="noConversion"/>
  </si>
  <si>
    <r>
      <rPr>
        <sz val="11"/>
        <color indexed="8"/>
        <rFont val="宋体"/>
        <family val="3"/>
        <charset val="134"/>
      </rPr>
      <t>估价对象</t>
    </r>
    <phoneticPr fontId="7" type="noConversion"/>
  </si>
  <si>
    <r>
      <rPr>
        <sz val="11"/>
        <color indexed="8"/>
        <rFont val="宋体"/>
        <family val="3"/>
        <charset val="134"/>
      </rPr>
      <t>地上</t>
    </r>
    <phoneticPr fontId="7" type="noConversion"/>
  </si>
  <si>
    <r>
      <rPr>
        <b/>
        <sz val="11"/>
        <color indexed="8"/>
        <rFont val="宋体"/>
        <family val="3"/>
        <charset val="134"/>
      </rPr>
      <t>建筑面积</t>
    </r>
    <phoneticPr fontId="10" type="noConversion"/>
  </si>
  <si>
    <r>
      <rPr>
        <sz val="11"/>
        <color indexed="8"/>
        <rFont val="宋体"/>
        <family val="3"/>
        <charset val="134"/>
      </rPr>
      <t>自定义容积率</t>
    </r>
    <phoneticPr fontId="7" type="noConversion"/>
  </si>
  <si>
    <r>
      <t>2.</t>
    </r>
    <r>
      <rPr>
        <sz val="11"/>
        <color indexed="8"/>
        <rFont val="宋体"/>
        <family val="3"/>
        <charset val="134"/>
      </rPr>
      <t>其中：</t>
    </r>
    <phoneticPr fontId="7" type="noConversion"/>
  </si>
  <si>
    <r>
      <rPr>
        <sz val="11"/>
        <color indexed="8"/>
        <rFont val="宋体"/>
        <family val="3"/>
        <charset val="134"/>
      </rPr>
      <t>计出让部分</t>
    </r>
    <phoneticPr fontId="10" type="noConversion"/>
  </si>
  <si>
    <r>
      <rPr>
        <sz val="11"/>
        <color indexed="8"/>
        <rFont val="宋体"/>
        <family val="3"/>
        <charset val="134"/>
      </rPr>
      <t>地上经营性用途</t>
    </r>
    <phoneticPr fontId="7" type="noConversion"/>
  </si>
  <si>
    <r>
      <rPr>
        <sz val="11"/>
        <color indexed="8"/>
        <rFont val="宋体"/>
        <family val="3"/>
        <charset val="134"/>
      </rPr>
      <t>地上其他</t>
    </r>
    <phoneticPr fontId="7" type="noConversion"/>
  </si>
  <si>
    <r>
      <rPr>
        <sz val="11"/>
        <color indexed="8"/>
        <rFont val="宋体"/>
        <family val="3"/>
        <charset val="134"/>
      </rPr>
      <t>地下办公（含物业）</t>
    </r>
    <phoneticPr fontId="7" type="noConversion"/>
  </si>
  <si>
    <r>
      <rPr>
        <sz val="11"/>
        <color indexed="8"/>
        <rFont val="宋体"/>
        <family val="3"/>
        <charset val="134"/>
      </rPr>
      <t>地下仓储</t>
    </r>
    <phoneticPr fontId="7" type="noConversion"/>
  </si>
  <si>
    <r>
      <rPr>
        <sz val="11"/>
        <color indexed="8"/>
        <rFont val="宋体"/>
        <family val="3"/>
        <charset val="134"/>
      </rPr>
      <t>地下车库（除商业、办公）</t>
    </r>
    <phoneticPr fontId="7" type="noConversion"/>
  </si>
  <si>
    <r>
      <rPr>
        <sz val="11"/>
        <color indexed="8"/>
        <rFont val="宋体"/>
        <family val="3"/>
        <charset val="134"/>
      </rPr>
      <t>小计</t>
    </r>
    <phoneticPr fontId="7" type="noConversion"/>
  </si>
  <si>
    <r>
      <rPr>
        <b/>
        <sz val="11"/>
        <color indexed="8"/>
        <rFont val="宋体"/>
        <family val="3"/>
        <charset val="134"/>
      </rPr>
      <t>按面积比例</t>
    </r>
  </si>
  <si>
    <r>
      <rPr>
        <sz val="11"/>
        <color indexed="8"/>
        <rFont val="宋体"/>
        <family val="3"/>
        <charset val="134"/>
      </rPr>
      <t>经营性</t>
    </r>
  </si>
  <si>
    <r>
      <rPr>
        <b/>
        <sz val="11"/>
        <color indexed="8"/>
        <rFont val="宋体"/>
        <family val="3"/>
        <charset val="134"/>
      </rPr>
      <t>土地面积</t>
    </r>
    <phoneticPr fontId="10" type="noConversion"/>
  </si>
  <si>
    <r>
      <rPr>
        <b/>
        <sz val="11"/>
        <rFont val="宋体"/>
        <family val="3"/>
        <charset val="134"/>
      </rPr>
      <t>建筑面积</t>
    </r>
    <phoneticPr fontId="10" type="noConversion"/>
  </si>
  <si>
    <r>
      <rPr>
        <sz val="11"/>
        <color indexed="8"/>
        <rFont val="宋体"/>
        <family val="3"/>
        <charset val="134"/>
      </rPr>
      <t>地下商业</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</si>
  <si>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办公</t>
    </r>
    <phoneticPr fontId="7" type="noConversion"/>
  </si>
  <si>
    <r>
      <rPr>
        <b/>
        <sz val="14"/>
        <color rgb="FFFF0000"/>
        <rFont val="宋体"/>
        <family val="3"/>
        <charset val="134"/>
      </rPr>
      <t>数据汇总表</t>
    </r>
    <phoneticPr fontId="7" type="noConversion"/>
  </si>
  <si>
    <r>
      <rPr>
        <b/>
        <sz val="11"/>
        <color indexed="8"/>
        <rFont val="宋体"/>
        <family val="3"/>
        <charset val="134"/>
      </rPr>
      <t>估价对象</t>
    </r>
    <phoneticPr fontId="7" type="noConversion"/>
  </si>
  <si>
    <r>
      <rPr>
        <b/>
        <sz val="11"/>
        <color indexed="8"/>
        <rFont val="宋体"/>
        <family val="3"/>
        <charset val="134"/>
      </rPr>
      <t>容积率</t>
    </r>
    <phoneticPr fontId="7" type="noConversion"/>
  </si>
  <si>
    <r>
      <rPr>
        <sz val="11"/>
        <color indexed="8"/>
        <rFont val="宋体"/>
        <family val="3"/>
        <charset val="134"/>
      </rPr>
      <t>项目</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</si>
  <si>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商业</t>
    </r>
    <phoneticPr fontId="7" type="noConversion"/>
  </si>
  <si>
    <r>
      <rPr>
        <b/>
        <sz val="11"/>
        <color indexed="8"/>
        <rFont val="宋体"/>
        <family val="3"/>
        <charset val="134"/>
      </rPr>
      <t>分摊非经营性用途用房</t>
    </r>
    <phoneticPr fontId="7" type="noConversion"/>
  </si>
  <si>
    <r>
      <t>3.</t>
    </r>
    <r>
      <rPr>
        <sz val="11"/>
        <color indexed="8"/>
        <rFont val="宋体"/>
        <family val="3"/>
        <charset val="134"/>
      </rPr>
      <t>其中：</t>
    </r>
    <phoneticPr fontId="10" type="noConversion"/>
  </si>
  <si>
    <r>
      <rPr>
        <sz val="11"/>
        <color indexed="8"/>
        <rFont val="宋体"/>
        <family val="3"/>
        <charset val="134"/>
      </rPr>
      <t>类别</t>
    </r>
    <phoneticPr fontId="7" type="noConversion"/>
  </si>
  <si>
    <r>
      <rPr>
        <sz val="11"/>
        <color indexed="8"/>
        <rFont val="宋体"/>
        <family val="3"/>
        <charset val="134"/>
      </rPr>
      <t>项目类型</t>
    </r>
    <phoneticPr fontId="7" type="noConversion"/>
  </si>
  <si>
    <r>
      <rPr>
        <b/>
        <sz val="11"/>
        <color indexed="8"/>
        <rFont val="宋体"/>
        <family val="3"/>
        <charset val="134"/>
      </rPr>
      <t>分摊原则：</t>
    </r>
    <phoneticPr fontId="7" type="noConversion"/>
  </si>
  <si>
    <r>
      <rPr>
        <sz val="11"/>
        <color indexed="8"/>
        <rFont val="宋体"/>
        <family val="3"/>
        <charset val="134"/>
      </rPr>
      <t>按面积比例分摊</t>
    </r>
    <phoneticPr fontId="7" type="noConversion"/>
  </si>
  <si>
    <r>
      <rPr>
        <sz val="11"/>
        <color indexed="8"/>
        <rFont val="宋体"/>
        <family val="3"/>
        <charset val="134"/>
      </rPr>
      <t>自定义分摊</t>
    </r>
    <phoneticPr fontId="7" type="noConversion"/>
  </si>
  <si>
    <r>
      <rPr>
        <sz val="11"/>
        <color indexed="8"/>
        <rFont val="宋体"/>
        <family val="3"/>
        <charset val="134"/>
      </rPr>
      <t>面积加总（含分摊非经营）</t>
    </r>
    <phoneticPr fontId="3" type="noConversion"/>
  </si>
  <si>
    <r>
      <rPr>
        <sz val="11"/>
        <rFont val="宋体"/>
        <family val="3"/>
        <charset val="134"/>
      </rPr>
      <t>合计</t>
    </r>
    <phoneticPr fontId="7" type="noConversion"/>
  </si>
  <si>
    <r>
      <rPr>
        <sz val="11"/>
        <color indexed="8"/>
        <rFont val="宋体"/>
        <family val="3"/>
        <charset val="134"/>
      </rPr>
      <t>地上</t>
    </r>
    <phoneticPr fontId="7" type="noConversion"/>
  </si>
  <si>
    <r>
      <rPr>
        <sz val="11"/>
        <color indexed="8"/>
        <rFont val="宋体"/>
        <family val="3"/>
        <charset val="134"/>
      </rPr>
      <t>地下</t>
    </r>
    <phoneticPr fontId="7" type="noConversion"/>
  </si>
  <si>
    <r>
      <rPr>
        <sz val="11"/>
        <color indexed="8"/>
        <rFont val="宋体"/>
        <family val="3"/>
        <charset val="134"/>
      </rPr>
      <t>土地面积</t>
    </r>
    <phoneticPr fontId="7" type="noConversion"/>
  </si>
  <si>
    <r>
      <rPr>
        <sz val="11"/>
        <color indexed="8"/>
        <rFont val="宋体"/>
        <family val="3"/>
        <charset val="134"/>
      </rPr>
      <t>建筑面积</t>
    </r>
    <phoneticPr fontId="7" type="noConversion"/>
  </si>
  <si>
    <r>
      <rPr>
        <sz val="11"/>
        <color indexed="8"/>
        <rFont val="宋体"/>
        <family val="3"/>
        <charset val="134"/>
      </rPr>
      <t>设备</t>
    </r>
    <phoneticPr fontId="7" type="noConversion"/>
  </si>
  <si>
    <r>
      <rPr>
        <sz val="11"/>
        <color indexed="8"/>
        <rFont val="宋体"/>
        <family val="3"/>
        <charset val="134"/>
      </rPr>
      <t>公共配套</t>
    </r>
    <r>
      <rPr>
        <sz val="11"/>
        <color indexed="8"/>
        <rFont val="Arial"/>
        <family val="2"/>
      </rPr>
      <t>(</t>
    </r>
    <r>
      <rPr>
        <sz val="11"/>
        <color indexed="8"/>
        <rFont val="宋体"/>
        <family val="3"/>
        <charset val="134"/>
      </rPr>
      <t>住宅</t>
    </r>
    <r>
      <rPr>
        <sz val="11"/>
        <color indexed="8"/>
        <rFont val="Arial"/>
        <family val="2"/>
      </rPr>
      <t>)</t>
    </r>
    <phoneticPr fontId="7" type="noConversion"/>
  </si>
  <si>
    <r>
      <rPr>
        <sz val="11"/>
        <color indexed="8"/>
        <rFont val="宋体"/>
        <family val="3"/>
        <charset val="134"/>
      </rPr>
      <t>合</t>
    </r>
    <phoneticPr fontId="7" type="noConversion"/>
  </si>
  <si>
    <r>
      <rPr>
        <sz val="11"/>
        <color indexed="8"/>
        <rFont val="宋体"/>
        <family val="3"/>
        <charset val="134"/>
      </rPr>
      <t>土地面积</t>
    </r>
    <phoneticPr fontId="3" type="noConversion"/>
  </si>
  <si>
    <r>
      <rPr>
        <sz val="11"/>
        <color indexed="8"/>
        <rFont val="宋体"/>
        <family val="3"/>
        <charset val="134"/>
      </rPr>
      <t>建筑面积</t>
    </r>
    <phoneticPr fontId="3" type="noConversion"/>
  </si>
  <si>
    <r>
      <rPr>
        <sz val="11"/>
        <color indexed="8"/>
        <rFont val="宋体"/>
        <family val="3"/>
        <charset val="134"/>
      </rPr>
      <t>经营性</t>
    </r>
    <phoneticPr fontId="7" type="noConversion"/>
  </si>
  <si>
    <r>
      <rPr>
        <b/>
        <sz val="11"/>
        <color indexed="8"/>
        <rFont val="宋体"/>
        <family val="3"/>
        <charset val="134"/>
      </rPr>
      <t>小计</t>
    </r>
    <phoneticPr fontId="7" type="noConversion"/>
  </si>
  <si>
    <r>
      <rPr>
        <sz val="11"/>
        <color indexed="8"/>
        <rFont val="宋体"/>
        <family val="3"/>
        <charset val="134"/>
      </rPr>
      <t>非经营性</t>
    </r>
    <phoneticPr fontId="10" type="noConversion"/>
  </si>
  <si>
    <r>
      <rPr>
        <sz val="11"/>
        <color indexed="8"/>
        <rFont val="宋体"/>
        <family val="3"/>
        <charset val="134"/>
      </rPr>
      <t>设备及其他</t>
    </r>
    <phoneticPr fontId="7" type="noConversion"/>
  </si>
  <si>
    <r>
      <rPr>
        <sz val="11"/>
        <color indexed="8"/>
        <rFont val="宋体"/>
        <family val="3"/>
        <charset val="134"/>
      </rPr>
      <t>公共配套及物业（住宅）</t>
    </r>
    <phoneticPr fontId="7" type="noConversion"/>
  </si>
  <si>
    <r>
      <rPr>
        <b/>
        <sz val="11"/>
        <color indexed="8"/>
        <rFont val="宋体"/>
        <family val="3"/>
        <charset val="134"/>
      </rPr>
      <t>合计</t>
    </r>
    <phoneticPr fontId="7" type="noConversion"/>
  </si>
  <si>
    <r>
      <rPr>
        <sz val="11"/>
        <color indexed="8"/>
        <rFont val="宋体"/>
        <family val="3"/>
        <charset val="134"/>
      </rPr>
      <t>住宅用房合计</t>
    </r>
    <phoneticPr fontId="7" type="noConversion"/>
  </si>
  <si>
    <r>
      <rPr>
        <b/>
        <sz val="14"/>
        <color rgb="FFFF0000"/>
        <rFont val="宋体"/>
        <family val="3"/>
        <charset val="134"/>
      </rPr>
      <t>数据取费表</t>
    </r>
    <phoneticPr fontId="3"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</si>
  <si>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3" type="noConversion"/>
  </si>
  <si>
    <r>
      <rPr>
        <b/>
        <sz val="11"/>
        <color indexed="8"/>
        <rFont val="宋体"/>
        <family val="3"/>
        <charset val="134"/>
      </rPr>
      <t>综合取费</t>
    </r>
    <phoneticPr fontId="3" type="noConversion"/>
  </si>
  <si>
    <r>
      <rPr>
        <sz val="11"/>
        <color indexed="8"/>
        <rFont val="宋体"/>
        <family val="3"/>
        <charset val="134"/>
      </rPr>
      <t>土地使用年期</t>
    </r>
    <phoneticPr fontId="3" type="noConversion"/>
  </si>
  <si>
    <r>
      <rPr>
        <sz val="11"/>
        <color indexed="8"/>
        <rFont val="宋体"/>
        <family val="3"/>
        <charset val="134"/>
      </rPr>
      <t>建安费用</t>
    </r>
    <phoneticPr fontId="3" type="noConversion"/>
  </si>
  <si>
    <r>
      <rPr>
        <sz val="11"/>
        <color indexed="8"/>
        <rFont val="宋体"/>
        <family val="3"/>
        <charset val="134"/>
      </rPr>
      <t>无租约</t>
    </r>
    <r>
      <rPr>
        <sz val="11"/>
        <color indexed="8"/>
        <rFont val="Arial"/>
        <family val="2"/>
      </rPr>
      <t>/</t>
    </r>
    <r>
      <rPr>
        <sz val="11"/>
        <color indexed="8"/>
        <rFont val="宋体"/>
        <family val="3"/>
        <charset val="134"/>
      </rPr>
      <t>租期内</t>
    </r>
    <phoneticPr fontId="3" type="noConversion"/>
  </si>
  <si>
    <r>
      <rPr>
        <sz val="11"/>
        <color indexed="8"/>
        <rFont val="宋体"/>
        <family val="3"/>
        <charset val="134"/>
      </rPr>
      <t>租期外</t>
    </r>
    <phoneticPr fontId="3" type="noConversion"/>
  </si>
  <si>
    <r>
      <rPr>
        <sz val="11"/>
        <color indexed="8"/>
        <rFont val="宋体"/>
        <family val="3"/>
        <charset val="134"/>
      </rPr>
      <t>收益期</t>
    </r>
    <phoneticPr fontId="3" type="noConversion"/>
  </si>
  <si>
    <r>
      <rPr>
        <sz val="11"/>
        <color indexed="8"/>
        <rFont val="宋体"/>
        <family val="3"/>
        <charset val="134"/>
      </rPr>
      <t>项目类型</t>
    </r>
    <phoneticPr fontId="4" type="noConversion"/>
  </si>
  <si>
    <r>
      <rPr>
        <sz val="11"/>
        <color indexed="8"/>
        <rFont val="宋体"/>
        <family val="3"/>
        <charset val="134"/>
      </rPr>
      <t>类别</t>
    </r>
    <phoneticPr fontId="3" type="noConversion"/>
  </si>
  <si>
    <r>
      <rPr>
        <sz val="11"/>
        <color indexed="8"/>
        <rFont val="宋体"/>
        <family val="3"/>
        <charset val="134"/>
      </rPr>
      <t>地类判定</t>
    </r>
    <phoneticPr fontId="3" type="noConversion"/>
  </si>
  <si>
    <r>
      <rPr>
        <sz val="11"/>
        <rFont val="宋体"/>
        <family val="3"/>
        <charset val="134"/>
      </rPr>
      <t>法定最高</t>
    </r>
    <r>
      <rPr>
        <sz val="11"/>
        <rFont val="Arial"/>
        <family val="2"/>
      </rPr>
      <t>/</t>
    </r>
    <r>
      <rPr>
        <sz val="11"/>
        <rFont val="宋体"/>
        <family val="3"/>
        <charset val="134"/>
      </rPr>
      <t>出让年限</t>
    </r>
    <phoneticPr fontId="3" type="noConversion"/>
  </si>
  <si>
    <r>
      <rPr>
        <sz val="11"/>
        <color indexed="8"/>
        <rFont val="宋体"/>
        <family val="3"/>
        <charset val="134"/>
      </rPr>
      <t>终止日期</t>
    </r>
    <phoneticPr fontId="3" type="noConversion"/>
  </si>
  <si>
    <r>
      <rPr>
        <sz val="11"/>
        <color indexed="8"/>
        <rFont val="宋体"/>
        <family val="3"/>
        <charset val="134"/>
      </rPr>
      <t>剩余土地使用年限</t>
    </r>
    <phoneticPr fontId="3" type="noConversion"/>
  </si>
  <si>
    <r>
      <rPr>
        <sz val="11"/>
        <color indexed="8"/>
        <rFont val="宋体"/>
        <family val="3"/>
        <charset val="134"/>
      </rPr>
      <t>年期修正系数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</si>
  <si>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</si>
  <si>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3"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</si>
  <si>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3" type="noConversion"/>
  </si>
  <si>
    <r>
      <rPr>
        <sz val="11"/>
        <color indexed="8"/>
        <rFont val="宋体"/>
        <family val="3"/>
        <charset val="134"/>
      </rPr>
      <t>建筑面积</t>
    </r>
    <phoneticPr fontId="4" type="noConversion"/>
  </si>
  <si>
    <r>
      <rPr>
        <sz val="11"/>
        <color indexed="8"/>
        <rFont val="宋体"/>
        <family val="3"/>
        <charset val="134"/>
      </rPr>
      <t>单方造价</t>
    </r>
    <phoneticPr fontId="4" type="noConversion"/>
  </si>
  <si>
    <r>
      <rPr>
        <sz val="11"/>
        <color indexed="8"/>
        <rFont val="宋体"/>
        <family val="3"/>
        <charset val="134"/>
      </rPr>
      <t>建安总额</t>
    </r>
    <phoneticPr fontId="4" type="noConversion"/>
  </si>
  <si>
    <r>
      <rPr>
        <sz val="11"/>
        <color indexed="8"/>
        <rFont val="宋体"/>
        <family val="3"/>
        <charset val="134"/>
      </rPr>
      <t>在建建安</t>
    </r>
    <phoneticPr fontId="4" type="noConversion"/>
  </si>
  <si>
    <r>
      <rPr>
        <sz val="11"/>
        <color indexed="8"/>
        <rFont val="宋体"/>
        <family val="3"/>
        <charset val="134"/>
      </rPr>
      <t>续建建安</t>
    </r>
    <phoneticPr fontId="4" type="noConversion"/>
  </si>
  <si>
    <r>
      <rPr>
        <sz val="11"/>
        <color indexed="8"/>
        <rFont val="宋体"/>
        <family val="3"/>
        <charset val="134"/>
      </rPr>
      <t>利润</t>
    </r>
    <phoneticPr fontId="3" type="noConversion"/>
  </si>
  <si>
    <r>
      <rPr>
        <sz val="11"/>
        <color indexed="8"/>
        <rFont val="宋体"/>
        <family val="3"/>
        <charset val="134"/>
      </rPr>
      <t>分摊土地面积（经营性）</t>
    </r>
    <phoneticPr fontId="3" type="noConversion"/>
  </si>
  <si>
    <r>
      <rPr>
        <sz val="11"/>
        <color indexed="8"/>
        <rFont val="宋体"/>
        <family val="3"/>
        <charset val="134"/>
      </rPr>
      <t>建筑面积（分摊设备）</t>
    </r>
    <phoneticPr fontId="3" type="noConversion"/>
  </si>
  <si>
    <r>
      <rPr>
        <sz val="11"/>
        <color indexed="8"/>
        <rFont val="宋体"/>
        <family val="3"/>
        <charset val="134"/>
      </rPr>
      <t>总建安（分摊非经营）</t>
    </r>
    <phoneticPr fontId="3" type="noConversion"/>
  </si>
  <si>
    <r>
      <rPr>
        <sz val="11"/>
        <color indexed="8"/>
        <rFont val="宋体"/>
        <family val="3"/>
        <charset val="134"/>
      </rPr>
      <t>租金</t>
    </r>
    <phoneticPr fontId="3" type="noConversion"/>
  </si>
  <si>
    <r>
      <rPr>
        <sz val="11"/>
        <color indexed="8"/>
        <rFont val="宋体"/>
        <family val="3"/>
        <charset val="134"/>
      </rPr>
      <t>年租金增长率</t>
    </r>
    <phoneticPr fontId="3" type="noConversion"/>
  </si>
  <si>
    <r>
      <rPr>
        <sz val="11"/>
        <color indexed="8"/>
        <rFont val="宋体"/>
        <family val="3"/>
        <charset val="134"/>
      </rPr>
      <t>空置率</t>
    </r>
    <phoneticPr fontId="3" type="noConversion"/>
  </si>
  <si>
    <r>
      <rPr>
        <sz val="11"/>
        <color indexed="8"/>
        <rFont val="宋体"/>
        <family val="3"/>
        <charset val="134"/>
      </rPr>
      <t>成新度</t>
    </r>
    <phoneticPr fontId="3"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</si>
  <si>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3" type="noConversion"/>
  </si>
  <si>
    <r>
      <rPr>
        <sz val="11"/>
        <color indexed="8"/>
        <rFont val="宋体"/>
        <family val="3"/>
        <charset val="134"/>
      </rPr>
      <t>剩余租赁期</t>
    </r>
    <phoneticPr fontId="3" type="noConversion"/>
  </si>
  <si>
    <r>
      <rPr>
        <sz val="11"/>
        <color indexed="8"/>
        <rFont val="宋体"/>
        <family val="3"/>
        <charset val="134"/>
      </rPr>
      <t>租赁期外收益期</t>
    </r>
    <phoneticPr fontId="3" type="noConversion"/>
  </si>
  <si>
    <r>
      <rPr>
        <sz val="11"/>
        <color indexed="8"/>
        <rFont val="宋体"/>
        <family val="3"/>
        <charset val="134"/>
      </rPr>
      <t>车位数</t>
    </r>
    <r>
      <rPr>
        <sz val="11"/>
        <color indexed="8"/>
        <rFont val="Arial"/>
        <family val="2"/>
      </rPr>
      <t>/</t>
    </r>
    <r>
      <rPr>
        <sz val="11"/>
        <color indexed="8"/>
        <rFont val="宋体"/>
        <family val="3"/>
        <charset val="134"/>
      </rPr>
      <t>套数</t>
    </r>
    <r>
      <rPr>
        <sz val="11"/>
        <color indexed="8"/>
        <rFont val="Arial"/>
        <family val="2"/>
      </rPr>
      <t>/</t>
    </r>
    <r>
      <rPr>
        <sz val="11"/>
        <color indexed="8"/>
        <rFont val="宋体"/>
        <family val="3"/>
        <charset val="134"/>
      </rPr>
      <t>收益面积</t>
    </r>
    <phoneticPr fontId="3"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</si>
  <si>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</si>
  <si>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3" type="noConversion"/>
  </si>
  <si>
    <r>
      <rPr>
        <sz val="11"/>
        <color indexed="8"/>
        <rFont val="宋体"/>
        <family val="3"/>
        <charset val="134"/>
      </rPr>
      <t>维修费率</t>
    </r>
    <phoneticPr fontId="3" type="noConversion"/>
  </si>
  <si>
    <r>
      <rPr>
        <sz val="11"/>
        <color indexed="8"/>
        <rFont val="宋体"/>
        <family val="3"/>
        <charset val="134"/>
      </rPr>
      <t>保险费率</t>
    </r>
    <phoneticPr fontId="3" type="noConversion"/>
  </si>
  <si>
    <r>
      <rPr>
        <sz val="11"/>
        <color indexed="8"/>
        <rFont val="宋体"/>
        <family val="3"/>
        <charset val="134"/>
      </rPr>
      <t>管理费率</t>
    </r>
    <phoneticPr fontId="3" type="noConversion"/>
  </si>
  <si>
    <r>
      <rPr>
        <sz val="11"/>
        <color indexed="8"/>
        <rFont val="宋体"/>
        <family val="3"/>
        <charset val="134"/>
      </rPr>
      <t>请选择所对应的收益法</t>
    </r>
    <phoneticPr fontId="3" type="noConversion"/>
  </si>
  <si>
    <r>
      <rPr>
        <sz val="11"/>
        <color indexed="8"/>
        <rFont val="宋体"/>
        <family val="3"/>
        <charset val="134"/>
      </rPr>
      <t>收益法结果</t>
    </r>
    <phoneticPr fontId="3" type="noConversion"/>
  </si>
  <si>
    <r>
      <rPr>
        <sz val="11"/>
        <color indexed="8"/>
        <rFont val="宋体"/>
        <family val="3"/>
        <charset val="134"/>
      </rPr>
      <t>辅助计算</t>
    </r>
    <phoneticPr fontId="3" type="noConversion"/>
  </si>
  <si>
    <r>
      <rPr>
        <sz val="11"/>
        <color indexed="8"/>
        <rFont val="宋体"/>
        <family val="3"/>
        <charset val="134"/>
      </rPr>
      <t>在建建安（分摊非经营）</t>
    </r>
    <phoneticPr fontId="3" type="noConversion"/>
  </si>
  <si>
    <r>
      <rPr>
        <sz val="11"/>
        <color indexed="8"/>
        <rFont val="宋体"/>
        <family val="3"/>
        <charset val="134"/>
      </rPr>
      <t>续建建安（分摊非经营）</t>
    </r>
    <phoneticPr fontId="3" type="noConversion"/>
  </si>
  <si>
    <r>
      <rPr>
        <sz val="11"/>
        <color indexed="8"/>
        <rFont val="宋体"/>
        <family val="3"/>
        <charset val="134"/>
      </rPr>
      <t>设备及其他</t>
    </r>
  </si>
  <si>
    <r>
      <rPr>
        <sz val="11"/>
        <color indexed="8"/>
        <rFont val="宋体"/>
        <family val="3"/>
        <charset val="134"/>
      </rPr>
      <t>非经营性</t>
    </r>
  </si>
  <si>
    <r>
      <rPr>
        <sz val="11"/>
        <color indexed="8"/>
        <rFont val="宋体"/>
        <family val="3"/>
        <charset val="134"/>
      </rPr>
      <t>公共配套及物业（住宅）</t>
    </r>
    <phoneticPr fontId="3" type="noConversion"/>
  </si>
  <si>
    <r>
      <rPr>
        <sz val="11"/>
        <color indexed="8"/>
        <rFont val="宋体"/>
        <family val="3"/>
        <charset val="134"/>
      </rPr>
      <t>公共配套</t>
    </r>
  </si>
  <si>
    <r>
      <rPr>
        <b/>
        <sz val="11"/>
        <color indexed="8"/>
        <rFont val="宋体"/>
        <family val="3"/>
        <charset val="134"/>
      </rPr>
      <t>合计</t>
    </r>
    <phoneticPr fontId="4" type="noConversion"/>
  </si>
  <si>
    <r>
      <rPr>
        <b/>
        <sz val="11"/>
        <color indexed="8"/>
        <rFont val="宋体"/>
        <family val="3"/>
        <charset val="134"/>
      </rPr>
      <t>开发期</t>
    </r>
    <phoneticPr fontId="3" type="noConversion"/>
  </si>
  <si>
    <r>
      <rPr>
        <sz val="11"/>
        <rFont val="宋体"/>
        <family val="3"/>
        <charset val="134"/>
      </rPr>
      <t>土地开发期</t>
    </r>
  </si>
  <si>
    <r>
      <rPr>
        <sz val="11"/>
        <rFont val="宋体"/>
        <family val="3"/>
        <charset val="134"/>
      </rPr>
      <t>建设期</t>
    </r>
    <phoneticPr fontId="4" type="noConversion"/>
  </si>
  <si>
    <r>
      <rPr>
        <sz val="11"/>
        <color indexed="8"/>
        <rFont val="宋体"/>
        <family val="3"/>
        <charset val="134"/>
      </rPr>
      <t>已建工期</t>
    </r>
    <phoneticPr fontId="4" type="noConversion"/>
  </si>
  <si>
    <r>
      <rPr>
        <sz val="11"/>
        <rFont val="宋体"/>
        <family val="3"/>
        <charset val="134"/>
      </rPr>
      <t>项目开发期</t>
    </r>
    <phoneticPr fontId="4" type="noConversion"/>
  </si>
  <si>
    <r>
      <rPr>
        <sz val="11"/>
        <color indexed="8"/>
        <rFont val="宋体"/>
        <family val="3"/>
        <charset val="134"/>
      </rPr>
      <t>项目已运行</t>
    </r>
    <phoneticPr fontId="4" type="noConversion"/>
  </si>
  <si>
    <r>
      <rPr>
        <sz val="11"/>
        <rFont val="宋体"/>
        <family val="3"/>
        <charset val="134"/>
      </rPr>
      <t>续建工期</t>
    </r>
    <phoneticPr fontId="4" type="noConversion"/>
  </si>
  <si>
    <r>
      <rPr>
        <b/>
        <sz val="11"/>
        <color indexed="8"/>
        <rFont val="宋体"/>
        <family val="3"/>
        <charset val="134"/>
      </rPr>
      <t>其他取费</t>
    </r>
    <phoneticPr fontId="3" type="noConversion"/>
  </si>
  <si>
    <r>
      <rPr>
        <sz val="11"/>
        <color indexed="8"/>
        <rFont val="宋体"/>
        <family val="3"/>
        <charset val="134"/>
      </rPr>
      <t>取值</t>
    </r>
    <phoneticPr fontId="3" type="noConversion"/>
  </si>
  <si>
    <r>
      <rPr>
        <sz val="11"/>
        <color indexed="8"/>
        <rFont val="宋体"/>
        <family val="3"/>
        <charset val="134"/>
      </rPr>
      <t>备注</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</si>
  <si>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</si>
  <si>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</si>
  <si>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已缴纳</t>
    </r>
    <r>
      <rPr>
        <sz val="11"/>
        <color rgb="FFFF0000"/>
        <rFont val="宋体"/>
        <family val="3"/>
        <charset val="134"/>
      </rPr>
      <t>（万元）</t>
    </r>
    <phoneticPr fontId="3" type="noConversion"/>
  </si>
  <si>
    <r>
      <rPr>
        <sz val="11"/>
        <color indexed="8"/>
        <rFont val="宋体"/>
        <family val="3"/>
        <charset val="134"/>
      </rPr>
      <t>红线外市政基础设施（总）</t>
    </r>
    <phoneticPr fontId="3" type="noConversion"/>
  </si>
  <si>
    <r>
      <rPr>
        <sz val="11"/>
        <color indexed="8"/>
        <rFont val="宋体"/>
        <family val="3"/>
        <charset val="134"/>
      </rPr>
      <t>红线外市政基础设施（现状）</t>
    </r>
    <phoneticPr fontId="3" type="noConversion"/>
  </si>
  <si>
    <r>
      <rPr>
        <sz val="11"/>
        <color indexed="8"/>
        <rFont val="宋体"/>
        <family val="3"/>
        <charset val="134"/>
      </rPr>
      <t>红线外市政基础设施（待完成）</t>
    </r>
    <phoneticPr fontId="3" type="noConversion"/>
  </si>
  <si>
    <r>
      <rPr>
        <sz val="11"/>
        <color indexed="8"/>
        <rFont val="宋体"/>
        <family val="3"/>
        <charset val="134"/>
      </rPr>
      <t>勘察设计和前期工程费</t>
    </r>
    <phoneticPr fontId="3" type="noConversion"/>
  </si>
  <si>
    <r>
      <rPr>
        <sz val="11"/>
        <color indexed="8"/>
        <rFont val="宋体"/>
        <family val="3"/>
        <charset val="134"/>
      </rPr>
      <t>公共配套设施费用</t>
    </r>
    <phoneticPr fontId="3" type="noConversion"/>
  </si>
  <si>
    <r>
      <rPr>
        <sz val="11"/>
        <color indexed="8"/>
        <rFont val="宋体"/>
        <family val="3"/>
        <charset val="134"/>
      </rPr>
      <t>红线内市政基础设施</t>
    </r>
    <phoneticPr fontId="3" type="noConversion"/>
  </si>
  <si>
    <r>
      <rPr>
        <sz val="11"/>
        <color indexed="8"/>
        <rFont val="宋体"/>
        <family val="3"/>
        <charset val="134"/>
      </rPr>
      <t>建造成本中相关税费</t>
    </r>
    <phoneticPr fontId="3" type="noConversion"/>
  </si>
  <si>
    <r>
      <rPr>
        <sz val="11"/>
        <color indexed="8"/>
        <rFont val="宋体"/>
        <family val="3"/>
        <charset val="134"/>
      </rPr>
      <t>管理费用</t>
    </r>
    <phoneticPr fontId="3" type="noConversion"/>
  </si>
  <si>
    <r>
      <rPr>
        <sz val="11"/>
        <color indexed="8"/>
        <rFont val="宋体"/>
        <family val="3"/>
        <charset val="134"/>
      </rPr>
      <t>销售费用</t>
    </r>
    <phoneticPr fontId="3" type="noConversion"/>
  </si>
  <si>
    <r>
      <rPr>
        <sz val="11"/>
        <color indexed="8"/>
        <rFont val="宋体"/>
        <family val="3"/>
        <charset val="134"/>
      </rPr>
      <t>一年期存款利率</t>
    </r>
    <phoneticPr fontId="3" type="noConversion"/>
  </si>
  <si>
    <r>
      <rPr>
        <sz val="11"/>
        <color indexed="8"/>
        <rFont val="宋体"/>
        <family val="3"/>
        <charset val="134"/>
      </rPr>
      <t>贷款利息</t>
    </r>
    <phoneticPr fontId="3"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</si>
  <si>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3" type="noConversion"/>
  </si>
  <si>
    <r>
      <rPr>
        <sz val="11"/>
        <color indexed="8"/>
        <rFont val="宋体"/>
        <family val="3"/>
        <charset val="134"/>
      </rPr>
      <t>增值税</t>
    </r>
    <phoneticPr fontId="3" type="noConversion"/>
  </si>
  <si>
    <r>
      <rPr>
        <sz val="11"/>
        <color indexed="8"/>
        <rFont val="宋体"/>
        <family val="3"/>
        <charset val="134"/>
      </rPr>
      <t>附加税合计</t>
    </r>
    <phoneticPr fontId="3" type="noConversion"/>
  </si>
  <si>
    <r>
      <rPr>
        <sz val="11"/>
        <color indexed="8"/>
        <rFont val="宋体"/>
        <family val="3"/>
        <charset val="134"/>
      </rPr>
      <t>城市维护建设税</t>
    </r>
    <phoneticPr fontId="3" type="noConversion"/>
  </si>
  <si>
    <r>
      <rPr>
        <sz val="11"/>
        <color indexed="8"/>
        <rFont val="宋体"/>
        <family val="3"/>
        <charset val="134"/>
      </rPr>
      <t>教育费附加</t>
    </r>
    <phoneticPr fontId="3" type="noConversion"/>
  </si>
  <si>
    <r>
      <rPr>
        <sz val="11"/>
        <color indexed="8"/>
        <rFont val="宋体"/>
        <family val="3"/>
        <charset val="134"/>
      </rPr>
      <t>地方教育费附加</t>
    </r>
    <phoneticPr fontId="3" type="noConversion"/>
  </si>
  <si>
    <r>
      <rPr>
        <sz val="11"/>
        <color indexed="8"/>
        <rFont val="宋体"/>
        <family val="3"/>
        <charset val="134"/>
      </rPr>
      <t>其他税种</t>
    </r>
    <phoneticPr fontId="3" type="noConversion"/>
  </si>
  <si>
    <r>
      <rPr>
        <sz val="11"/>
        <color indexed="8"/>
        <rFont val="宋体"/>
        <family val="3"/>
        <charset val="134"/>
      </rPr>
      <t>契税</t>
    </r>
    <phoneticPr fontId="3" type="noConversion"/>
  </si>
  <si>
    <r>
      <rPr>
        <sz val="11"/>
        <color indexed="8"/>
        <rFont val="宋体"/>
        <family val="3"/>
        <charset val="134"/>
      </rPr>
      <t>印花税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</si>
  <si>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</si>
  <si>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3" type="noConversion"/>
  </si>
  <si>
    <r>
      <rPr>
        <sz val="11"/>
        <color indexed="8"/>
        <rFont val="宋体"/>
        <family val="3"/>
        <charset val="134"/>
      </rPr>
      <t>土地使用税</t>
    </r>
    <phoneticPr fontId="3" type="noConversion"/>
  </si>
  <si>
    <r>
      <rPr>
        <sz val="11"/>
        <color indexed="8"/>
        <rFont val="宋体"/>
        <family val="3"/>
        <charset val="134"/>
      </rPr>
      <t>城镇土地纳税等级分级范围</t>
    </r>
    <phoneticPr fontId="3" type="noConversion"/>
  </si>
  <si>
    <r>
      <rPr>
        <sz val="11"/>
        <color indexed="8"/>
        <rFont val="宋体"/>
        <family val="3"/>
        <charset val="134"/>
      </rPr>
      <t>北京</t>
    </r>
    <phoneticPr fontId="3" type="noConversion"/>
  </si>
  <si>
    <r>
      <rPr>
        <sz val="11"/>
        <color indexed="8"/>
        <rFont val="宋体"/>
        <family val="3"/>
        <charset val="134"/>
      </rPr>
      <t>一级</t>
    </r>
    <phoneticPr fontId="3" type="noConversion"/>
  </si>
  <si>
    <r>
      <rPr>
        <sz val="11"/>
        <color indexed="8"/>
        <rFont val="宋体"/>
        <family val="3"/>
        <charset val="134"/>
      </rPr>
      <t>二级</t>
    </r>
    <phoneticPr fontId="3" type="noConversion"/>
  </si>
  <si>
    <r>
      <rPr>
        <sz val="11"/>
        <color indexed="8"/>
        <rFont val="宋体"/>
        <family val="3"/>
        <charset val="134"/>
      </rPr>
      <t>三级</t>
    </r>
    <phoneticPr fontId="3" type="noConversion"/>
  </si>
  <si>
    <r>
      <rPr>
        <sz val="11"/>
        <color indexed="8"/>
        <rFont val="宋体"/>
        <family val="3"/>
        <charset val="134"/>
      </rPr>
      <t>四级</t>
    </r>
    <phoneticPr fontId="3" type="noConversion"/>
  </si>
  <si>
    <r>
      <rPr>
        <sz val="11"/>
        <color indexed="8"/>
        <rFont val="宋体"/>
        <family val="3"/>
        <charset val="134"/>
      </rPr>
      <t>五级</t>
    </r>
    <phoneticPr fontId="3" type="noConversion"/>
  </si>
  <si>
    <r>
      <rPr>
        <sz val="11"/>
        <color indexed="8"/>
        <rFont val="宋体"/>
        <family val="3"/>
        <charset val="134"/>
      </rPr>
      <t>六级</t>
    </r>
    <phoneticPr fontId="3" type="noConversion"/>
  </si>
  <si>
    <r>
      <rPr>
        <sz val="11"/>
        <color indexed="8"/>
        <rFont val="宋体"/>
        <family val="3"/>
        <charset val="134"/>
      </rPr>
      <t>七级</t>
    </r>
    <phoneticPr fontId="3" type="noConversion"/>
  </si>
  <si>
    <r>
      <rPr>
        <sz val="11"/>
        <color indexed="8"/>
        <rFont val="宋体"/>
        <family val="3"/>
        <charset val="134"/>
      </rPr>
      <t>八级</t>
    </r>
    <phoneticPr fontId="3" type="noConversion"/>
  </si>
  <si>
    <r>
      <rPr>
        <sz val="11"/>
        <color indexed="8"/>
        <rFont val="宋体"/>
        <family val="3"/>
        <charset val="134"/>
      </rPr>
      <t>九级</t>
    </r>
    <phoneticPr fontId="3" type="noConversion"/>
  </si>
  <si>
    <r>
      <rPr>
        <sz val="11"/>
        <color indexed="8"/>
        <rFont val="宋体"/>
        <family val="3"/>
        <charset val="134"/>
      </rPr>
      <t>十级</t>
    </r>
    <phoneticPr fontId="3" type="noConversion"/>
  </si>
  <si>
    <r>
      <rPr>
        <sz val="11"/>
        <color indexed="8"/>
        <rFont val="宋体"/>
        <family val="3"/>
        <charset val="134"/>
      </rPr>
      <t>居住社区成熟度</t>
    </r>
  </si>
  <si>
    <r>
      <rPr>
        <sz val="11"/>
        <color indexed="8"/>
        <rFont val="宋体"/>
        <family val="3"/>
        <charset val="134"/>
      </rPr>
      <t>公共配套设施</t>
    </r>
    <phoneticPr fontId="25" type="noConversion"/>
  </si>
  <si>
    <r>
      <rPr>
        <sz val="11"/>
        <color indexed="8"/>
        <rFont val="宋体"/>
        <family val="3"/>
        <charset val="134"/>
      </rPr>
      <t>交通便捷度</t>
    </r>
  </si>
  <si>
    <r>
      <rPr>
        <sz val="11"/>
        <color indexed="8"/>
        <rFont val="宋体"/>
        <family val="3"/>
        <charset val="134"/>
      </rPr>
      <t>基础设施水平</t>
    </r>
    <phoneticPr fontId="25" type="noConversion"/>
  </si>
  <si>
    <r>
      <rPr>
        <sz val="11"/>
        <color indexed="8"/>
        <rFont val="宋体"/>
        <family val="3"/>
        <charset val="134"/>
      </rPr>
      <t>自然及人文环境</t>
    </r>
  </si>
  <si>
    <r>
      <rPr>
        <b/>
        <sz val="14"/>
        <color rgb="FFFF0000"/>
        <rFont val="宋体"/>
        <family val="3"/>
        <charset val="134"/>
      </rPr>
      <t>估价结果（过程）</t>
    </r>
    <phoneticPr fontId="8" type="noConversion"/>
  </si>
  <si>
    <r>
      <rPr>
        <sz val="12"/>
        <color indexed="8"/>
        <rFont val="宋体"/>
        <family val="3"/>
        <charset val="134"/>
      </rPr>
      <t>估价对象状态</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</si>
  <si>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</si>
  <si>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</si>
  <si>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</si>
  <si>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</si>
  <si>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</si>
  <si>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</si>
  <si>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</si>
  <si>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</si>
  <si>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</si>
  <si>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</si>
  <si>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</si>
  <si>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</si>
  <si>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</si>
  <si>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</si>
  <si>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</si>
  <si>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</si>
  <si>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</si>
  <si>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</si>
  <si>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</si>
  <si>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</si>
  <si>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</si>
  <si>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</si>
  <si>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sz val="10"/>
        <color indexed="8"/>
        <rFont val="宋体"/>
        <family val="3"/>
        <charset val="134"/>
      </rPr>
      <t>含分摊设备建面</t>
    </r>
    <phoneticPr fontId="8" type="noConversion"/>
  </si>
  <si>
    <r>
      <rPr>
        <sz val="10"/>
        <color indexed="8"/>
        <rFont val="宋体"/>
        <family val="3"/>
        <charset val="134"/>
      </rPr>
      <t>用途建面</t>
    </r>
    <phoneticPr fontId="8" type="noConversion"/>
  </si>
  <si>
    <r>
      <rPr>
        <b/>
        <sz val="11"/>
        <color indexed="8"/>
        <rFont val="宋体"/>
        <family val="3"/>
        <charset val="134"/>
      </rPr>
      <t>权重</t>
    </r>
  </si>
  <si>
    <r>
      <rPr>
        <sz val="10"/>
        <color indexed="8"/>
        <rFont val="宋体"/>
        <family val="3"/>
        <charset val="134"/>
      </rPr>
      <t>建筑面积</t>
    </r>
    <phoneticPr fontId="8" type="noConversion"/>
  </si>
  <si>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</si>
  <si>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</si>
  <si>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</si>
  <si>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0"/>
        <color indexed="8"/>
        <rFont val="宋体"/>
        <family val="3"/>
        <charset val="134"/>
      </rPr>
      <t>万元</t>
    </r>
    <phoneticPr fontId="8" type="noConversion"/>
  </si>
  <si>
    <r>
      <rPr>
        <sz val="10"/>
        <color indexed="8"/>
        <rFont val="宋体"/>
        <family val="3"/>
        <charset val="134"/>
      </rPr>
      <t>土地面积</t>
    </r>
    <phoneticPr fontId="8"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</si>
  <si>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</si>
  <si>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</si>
  <si>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地面单价</t>
    </r>
    <phoneticPr fontId="9"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</si>
  <si>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</si>
  <si>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</si>
  <si>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</si>
  <si>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</si>
  <si>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</si>
  <si>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</si>
  <si>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</si>
  <si>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</si>
  <si>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</si>
  <si>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91" type="noConversion"/>
  </si>
  <si>
    <r>
      <rPr>
        <sz val="11"/>
        <color indexed="8"/>
        <rFont val="宋体"/>
        <family val="3"/>
        <charset val="134"/>
      </rPr>
      <t>土地价值</t>
    </r>
    <phoneticPr fontId="8" type="noConversion"/>
  </si>
  <si>
    <r>
      <rPr>
        <sz val="10"/>
        <color indexed="8"/>
        <rFont val="宋体"/>
        <family val="3"/>
        <charset val="134"/>
      </rPr>
      <t>土地价值</t>
    </r>
    <phoneticPr fontId="91" type="noConversion"/>
  </si>
  <si>
    <r>
      <rPr>
        <sz val="11"/>
        <color indexed="8"/>
        <rFont val="宋体"/>
        <family val="3"/>
        <charset val="134"/>
      </rPr>
      <t>建筑物价值</t>
    </r>
    <phoneticPr fontId="8" type="noConversion"/>
  </si>
  <si>
    <r>
      <rPr>
        <sz val="10"/>
        <color indexed="8"/>
        <rFont val="宋体"/>
        <family val="3"/>
        <charset val="134"/>
      </rPr>
      <t>建筑物价值</t>
    </r>
    <phoneticPr fontId="91"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</si>
  <si>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</si>
  <si>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</si>
  <si>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</si>
  <si>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</si>
  <si>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3"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</si>
  <si>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</si>
  <si>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</si>
  <si>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</si>
  <si>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</si>
  <si>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</si>
  <si>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3" type="noConversion"/>
  </si>
  <si>
    <r>
      <rPr>
        <sz val="10"/>
        <color indexed="8"/>
        <rFont val="宋体"/>
        <family val="3"/>
        <charset val="134"/>
      </rPr>
      <t>不固定格式</t>
    </r>
    <r>
      <rPr>
        <sz val="10"/>
        <color indexed="8"/>
        <rFont val="Arial"/>
        <family val="2"/>
      </rPr>
      <t>)</t>
    </r>
    <phoneticPr fontId="3"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</si>
  <si>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</si>
  <si>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</si>
  <si>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</si>
  <si>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</si>
  <si>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</si>
  <si>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</si>
  <si>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</si>
  <si>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</si>
  <si>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</si>
  <si>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</si>
  <si>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</si>
  <si>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</si>
  <si>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</si>
  <si>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</si>
  <si>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</si>
  <si>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</si>
  <si>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</si>
  <si>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</si>
  <si>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</si>
  <si>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</si>
  <si>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</si>
  <si>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</si>
  <si>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</si>
  <si>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</si>
  <si>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</si>
  <si>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金额（万元）</t>
    </r>
    <phoneticPr fontId="8" type="noConversion"/>
  </si>
  <si>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</si>
  <si>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</si>
  <si>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</si>
  <si>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</si>
  <si>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</si>
  <si>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</si>
  <si>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</si>
  <si>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</si>
  <si>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</si>
  <si>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</si>
  <si>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</si>
  <si>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</si>
  <si>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</si>
  <si>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</si>
  <si>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</si>
  <si>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</si>
  <si>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</si>
  <si>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</si>
  <si>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</si>
  <si>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</si>
  <si>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</si>
  <si>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</si>
  <si>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</si>
  <si>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34" type="noConversion"/>
  </si>
  <si>
    <r>
      <rPr>
        <sz val="10"/>
        <color theme="1"/>
        <rFont val="宋体"/>
        <family val="3"/>
        <charset val="134"/>
      </rPr>
      <t>抵押净值单价</t>
    </r>
    <phoneticPr fontId="8" type="noConversion"/>
  </si>
  <si>
    <r>
      <rPr>
        <b/>
        <sz val="10"/>
        <rFont val="宋体"/>
        <family val="3"/>
        <charset val="134"/>
      </rPr>
      <t>项目</t>
    </r>
    <phoneticPr fontId="38" type="noConversion"/>
  </si>
  <si>
    <r>
      <rPr>
        <b/>
        <sz val="10"/>
        <rFont val="宋体"/>
        <family val="3"/>
        <charset val="134"/>
      </rPr>
      <t>系数</t>
    </r>
    <phoneticPr fontId="38" type="noConversion"/>
  </si>
  <si>
    <r>
      <rPr>
        <sz val="10"/>
        <color indexed="8"/>
        <rFont val="宋体"/>
        <family val="3"/>
        <charset val="134"/>
      </rPr>
      <t>备注</t>
    </r>
    <phoneticPr fontId="38" type="noConversion"/>
  </si>
  <si>
    <r>
      <rPr>
        <b/>
        <sz val="10"/>
        <rFont val="宋体"/>
        <family val="3"/>
        <charset val="134"/>
      </rPr>
      <t>销售额</t>
    </r>
    <phoneticPr fontId="34"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</si>
  <si>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</si>
  <si>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</si>
  <si>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8"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</si>
  <si>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</si>
  <si>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8" type="noConversion"/>
  </si>
  <si>
    <r>
      <rPr>
        <sz val="10"/>
        <rFont val="宋体"/>
        <family val="3"/>
        <charset val="134"/>
      </rPr>
      <t>价外费用</t>
    </r>
    <phoneticPr fontId="34"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</si>
  <si>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</si>
  <si>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</si>
  <si>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</si>
  <si>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8" type="noConversion"/>
  </si>
  <si>
    <r>
      <rPr>
        <b/>
        <sz val="10"/>
        <rFont val="宋体"/>
        <family val="3"/>
        <charset val="134"/>
      </rPr>
      <t>纳税基数</t>
    </r>
    <phoneticPr fontId="38" type="noConversion"/>
  </si>
  <si>
    <r>
      <rPr>
        <sz val="10"/>
        <color rgb="FF000000"/>
        <rFont val="宋体"/>
        <family val="3"/>
        <charset val="134"/>
      </rPr>
      <t>评估费</t>
    </r>
  </si>
  <si>
    <r>
      <rPr>
        <b/>
        <sz val="10"/>
        <rFont val="宋体"/>
        <family val="3"/>
        <charset val="134"/>
      </rPr>
      <t>纳税额</t>
    </r>
    <phoneticPr fontId="34"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</si>
  <si>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</si>
  <si>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</si>
  <si>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8" type="noConversion"/>
  </si>
  <si>
    <r>
      <rPr>
        <b/>
        <sz val="10"/>
        <rFont val="宋体"/>
        <family val="3"/>
        <charset val="134"/>
      </rPr>
      <t>转让收入</t>
    </r>
    <phoneticPr fontId="38" type="noConversion"/>
  </si>
  <si>
    <r>
      <rPr>
        <b/>
        <sz val="10"/>
        <color indexed="8"/>
        <rFont val="宋体"/>
        <family val="3"/>
        <charset val="134"/>
      </rPr>
      <t>扣除项合计</t>
    </r>
    <phoneticPr fontId="38" type="noConversion"/>
  </si>
  <si>
    <r>
      <rPr>
        <sz val="10"/>
        <rFont val="宋体"/>
        <family val="3"/>
        <charset val="134"/>
      </rPr>
      <t>原购房价及相关税费</t>
    </r>
    <phoneticPr fontId="38" type="noConversion"/>
  </si>
  <si>
    <r>
      <rPr>
        <sz val="10"/>
        <rFont val="宋体"/>
        <family val="3"/>
        <charset val="134"/>
      </rPr>
      <t>原购房价</t>
    </r>
    <phoneticPr fontId="38" type="noConversion"/>
  </si>
  <si>
    <r>
      <rPr>
        <sz val="11"/>
        <color indexed="8"/>
        <rFont val="宋体"/>
        <family val="3"/>
        <charset val="134"/>
      </rPr>
      <t>原购房价依据</t>
    </r>
    <phoneticPr fontId="34" type="noConversion"/>
  </si>
  <si>
    <r>
      <rPr>
        <sz val="11"/>
        <color indexed="8"/>
        <rFont val="宋体"/>
        <family val="3"/>
        <charset val="134"/>
      </rPr>
      <t>已购年限</t>
    </r>
    <phoneticPr fontId="34" type="noConversion"/>
  </si>
  <si>
    <r>
      <rPr>
        <sz val="10"/>
        <rFont val="宋体"/>
        <family val="3"/>
        <charset val="134"/>
      </rPr>
      <t>加计扣减项</t>
    </r>
    <phoneticPr fontId="34"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</si>
  <si>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8" type="noConversion"/>
  </si>
  <si>
    <r>
      <rPr>
        <sz val="10"/>
        <rFont val="宋体"/>
        <family val="3"/>
        <charset val="134"/>
      </rPr>
      <t>相关税费</t>
    </r>
    <phoneticPr fontId="38" type="noConversion"/>
  </si>
  <si>
    <r>
      <rPr>
        <sz val="10"/>
        <color indexed="8"/>
        <rFont val="宋体"/>
        <family val="3"/>
        <charset val="134"/>
      </rPr>
      <t>含契税及印花税</t>
    </r>
    <phoneticPr fontId="38" type="noConversion"/>
  </si>
  <si>
    <r>
      <rPr>
        <sz val="10"/>
        <rFont val="宋体"/>
        <family val="3"/>
        <charset val="134"/>
      </rPr>
      <t>转让税金支出</t>
    </r>
    <phoneticPr fontId="38" type="noConversion"/>
  </si>
  <si>
    <r>
      <rPr>
        <sz val="10"/>
        <color indexed="8"/>
        <rFont val="宋体"/>
        <family val="3"/>
        <charset val="134"/>
      </rPr>
      <t>不含增值税，仅附加税</t>
    </r>
    <phoneticPr fontId="34" type="noConversion"/>
  </si>
  <si>
    <r>
      <rPr>
        <b/>
        <sz val="10"/>
        <rFont val="宋体"/>
        <family val="3"/>
        <charset val="134"/>
      </rPr>
      <t>增值额</t>
    </r>
    <phoneticPr fontId="38" type="noConversion"/>
  </si>
  <si>
    <r>
      <rPr>
        <b/>
        <sz val="10"/>
        <rFont val="宋体"/>
        <family val="3"/>
        <charset val="134"/>
      </rPr>
      <t>增值额与扣除项比率</t>
    </r>
    <phoneticPr fontId="38" type="noConversion"/>
  </si>
  <si>
    <r>
      <rPr>
        <b/>
        <sz val="10"/>
        <rFont val="宋体"/>
        <family val="3"/>
        <charset val="134"/>
      </rPr>
      <t>应纳增值税税额</t>
    </r>
    <phoneticPr fontId="38" type="noConversion"/>
  </si>
  <si>
    <r>
      <rPr>
        <b/>
        <sz val="10"/>
        <rFont val="宋体"/>
        <family val="3"/>
        <charset val="134"/>
      </rPr>
      <t>土地增值税（自行开发建设）</t>
    </r>
    <phoneticPr fontId="38" type="noConversion"/>
  </si>
  <si>
    <r>
      <rPr>
        <sz val="10"/>
        <rFont val="宋体"/>
        <family val="3"/>
        <charset val="134"/>
      </rPr>
      <t>土地取得成本</t>
    </r>
    <phoneticPr fontId="38" type="noConversion"/>
  </si>
  <si>
    <r>
      <rPr>
        <sz val="10"/>
        <rFont val="宋体"/>
        <family val="3"/>
        <charset val="134"/>
      </rPr>
      <t>土地取得费用</t>
    </r>
    <phoneticPr fontId="38" type="noConversion"/>
  </si>
  <si>
    <r>
      <rPr>
        <sz val="10"/>
        <color indexed="8"/>
        <rFont val="宋体"/>
        <family val="3"/>
        <charset val="134"/>
      </rPr>
      <t>依据出让合同</t>
    </r>
    <phoneticPr fontId="34" type="noConversion"/>
  </si>
  <si>
    <r>
      <rPr>
        <sz val="9"/>
        <color indexed="8"/>
        <rFont val="宋体"/>
        <family val="3"/>
        <charset val="134"/>
      </rPr>
      <t>出让价款内涵：</t>
    </r>
    <phoneticPr fontId="34" type="noConversion"/>
  </si>
  <si>
    <r>
      <rPr>
        <sz val="10"/>
        <color indexed="8"/>
        <rFont val="宋体"/>
        <family val="3"/>
        <charset val="134"/>
      </rPr>
      <t>契税及印花税</t>
    </r>
    <phoneticPr fontId="34" type="noConversion"/>
  </si>
  <si>
    <r>
      <rPr>
        <sz val="10"/>
        <rFont val="宋体"/>
        <family val="3"/>
        <charset val="134"/>
      </rPr>
      <t>土地开发费</t>
    </r>
    <phoneticPr fontId="38" type="noConversion"/>
  </si>
  <si>
    <r>
      <rPr>
        <sz val="10"/>
        <color indexed="8"/>
        <rFont val="宋体"/>
        <family val="3"/>
        <charset val="134"/>
      </rPr>
      <t>（</t>
    </r>
    <r>
      <rPr>
        <sz val="10"/>
        <color indexed="8"/>
        <rFont val="Arial"/>
        <family val="2"/>
      </rPr>
      <t>3</t>
    </r>
    <r>
      <rPr>
        <sz val="10"/>
        <color indexed="8"/>
        <rFont val="宋体"/>
        <family val="3"/>
        <charset val="134"/>
      </rPr>
      <t>）</t>
    </r>
    <phoneticPr fontId="38" type="noConversion"/>
  </si>
  <si>
    <r>
      <rPr>
        <sz val="10"/>
        <rFont val="宋体"/>
        <family val="3"/>
        <charset val="134"/>
      </rPr>
      <t>建造成本</t>
    </r>
    <phoneticPr fontId="38" type="noConversion"/>
  </si>
  <si>
    <r>
      <rPr>
        <sz val="10"/>
        <color indexed="8"/>
        <rFont val="宋体"/>
        <family val="3"/>
        <charset val="134"/>
      </rPr>
      <t>包括前期工程费、建筑安装工程费、基础设施费和公共配套费等</t>
    </r>
    <phoneticPr fontId="34" type="noConversion"/>
  </si>
  <si>
    <r>
      <rPr>
        <sz val="10"/>
        <color indexed="8"/>
        <rFont val="宋体"/>
        <family val="3"/>
        <charset val="134"/>
      </rPr>
      <t>（</t>
    </r>
    <r>
      <rPr>
        <sz val="10"/>
        <color indexed="8"/>
        <rFont val="Arial"/>
        <family val="2"/>
      </rPr>
      <t>4</t>
    </r>
    <r>
      <rPr>
        <sz val="10"/>
        <color indexed="8"/>
        <rFont val="宋体"/>
        <family val="3"/>
        <charset val="134"/>
      </rPr>
      <t>）</t>
    </r>
    <phoneticPr fontId="38" type="noConversion"/>
  </si>
  <si>
    <r>
      <rPr>
        <sz val="10"/>
        <rFont val="宋体"/>
        <family val="3"/>
        <charset val="134"/>
      </rPr>
      <t>开发费用扣除</t>
    </r>
    <phoneticPr fontId="38"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</si>
  <si>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34" type="noConversion"/>
  </si>
  <si>
    <r>
      <rPr>
        <sz val="10"/>
        <color indexed="8"/>
        <rFont val="宋体"/>
        <family val="3"/>
        <charset val="134"/>
      </rPr>
      <t>（</t>
    </r>
    <r>
      <rPr>
        <sz val="10"/>
        <color indexed="8"/>
        <rFont val="Arial"/>
        <family val="2"/>
      </rPr>
      <t>5</t>
    </r>
    <r>
      <rPr>
        <sz val="10"/>
        <color indexed="8"/>
        <rFont val="宋体"/>
        <family val="3"/>
        <charset val="134"/>
      </rPr>
      <t>）</t>
    </r>
    <phoneticPr fontId="38" type="noConversion"/>
  </si>
  <si>
    <r>
      <rPr>
        <sz val="10"/>
        <color indexed="8"/>
        <rFont val="宋体"/>
        <family val="3"/>
        <charset val="134"/>
      </rPr>
      <t>（</t>
    </r>
    <r>
      <rPr>
        <sz val="10"/>
        <color indexed="8"/>
        <rFont val="Arial"/>
        <family val="2"/>
      </rPr>
      <t>6</t>
    </r>
    <r>
      <rPr>
        <sz val="10"/>
        <color indexed="8"/>
        <rFont val="宋体"/>
        <family val="3"/>
        <charset val="134"/>
      </rPr>
      <t>）</t>
    </r>
    <phoneticPr fontId="38" type="noConversion"/>
  </si>
  <si>
    <r>
      <rPr>
        <sz val="10"/>
        <rFont val="宋体"/>
        <family val="3"/>
        <charset val="134"/>
      </rPr>
      <t>加计扣除金额</t>
    </r>
    <phoneticPr fontId="38" type="noConversion"/>
  </si>
  <si>
    <r>
      <rPr>
        <sz val="10"/>
        <color rgb="FFFF0000"/>
        <rFont val="宋体"/>
        <family val="3"/>
        <charset val="134"/>
      </rPr>
      <t>对专门从事房地产开发的企业可以按（</t>
    </r>
    <r>
      <rPr>
        <sz val="10"/>
        <color rgb="FFFF0000"/>
        <rFont val="Arial"/>
        <family val="2"/>
      </rPr>
      <t>1</t>
    </r>
    <r>
      <rPr>
        <sz val="10"/>
        <color rgb="FFFF0000"/>
        <rFont val="宋体"/>
        <family val="3"/>
        <charset val="134"/>
      </rPr>
      <t>）</t>
    </r>
    <r>
      <rPr>
        <sz val="10"/>
        <color rgb="FFFF0000"/>
        <rFont val="Arial"/>
        <family val="2"/>
      </rPr>
      <t>—</t>
    </r>
    <r>
      <rPr>
        <sz val="10"/>
        <color rgb="FFFF0000"/>
        <rFont val="宋体"/>
        <family val="3"/>
        <charset val="134"/>
      </rPr>
      <t>（</t>
    </r>
    <r>
      <rPr>
        <sz val="10"/>
        <color rgb="FFFF0000"/>
        <rFont val="Arial"/>
        <family val="2"/>
      </rPr>
      <t>3</t>
    </r>
    <r>
      <rPr>
        <sz val="10"/>
        <color rgb="FFFF0000"/>
        <rFont val="宋体"/>
        <family val="3"/>
        <charset val="134"/>
      </rPr>
      <t>）合计值的</t>
    </r>
    <r>
      <rPr>
        <sz val="10"/>
        <color rgb="FFFF0000"/>
        <rFont val="Arial"/>
        <family val="2"/>
      </rPr>
      <t>20</t>
    </r>
    <r>
      <rPr>
        <sz val="10"/>
        <color rgb="FFFF0000"/>
        <rFont val="宋体"/>
        <family val="3"/>
        <charset val="134"/>
      </rPr>
      <t>％计算扣除；如为土地，则仅将土地开发费（</t>
    </r>
    <r>
      <rPr>
        <sz val="10"/>
        <color rgb="FFFF0000"/>
        <rFont val="Arial"/>
        <family val="2"/>
      </rPr>
      <t>2</t>
    </r>
    <r>
      <rPr>
        <sz val="10"/>
        <color rgb="FFFF0000"/>
        <rFont val="宋体"/>
        <family val="3"/>
        <charset val="134"/>
      </rPr>
      <t>）加计</t>
    </r>
    <r>
      <rPr>
        <sz val="10"/>
        <color rgb="FFFF0000"/>
        <rFont val="Arial"/>
        <family val="2"/>
      </rPr>
      <t>20%</t>
    </r>
    <r>
      <rPr>
        <sz val="10"/>
        <color rgb="FFFF0000"/>
        <rFont val="宋体"/>
        <family val="3"/>
        <charset val="134"/>
      </rPr>
      <t>扣减，请自行调整公式</t>
    </r>
    <phoneticPr fontId="34"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</si>
  <si>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</si>
  <si>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</si>
  <si>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</si>
  <si>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</si>
  <si>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t>1.</t>
    </r>
    <r>
      <rPr>
        <b/>
        <sz val="11"/>
        <color indexed="8"/>
        <rFont val="宋体"/>
        <family val="3"/>
        <charset val="134"/>
      </rPr>
      <t>房地产价值</t>
    </r>
    <phoneticPr fontId="8" type="noConversion"/>
  </si>
  <si>
    <r>
      <rPr>
        <sz val="12"/>
        <color theme="1"/>
        <rFont val="宋体"/>
        <family val="3"/>
        <charset val="134"/>
      </rPr>
      <t>总价</t>
    </r>
  </si>
  <si>
    <r>
      <rPr>
        <sz val="12"/>
        <color theme="1"/>
        <rFont val="宋体"/>
        <family val="3"/>
        <charset val="134"/>
      </rPr>
      <t>测算结果</t>
    </r>
  </si>
  <si>
    <r>
      <rPr>
        <sz val="12"/>
        <color theme="1"/>
        <rFont val="宋体"/>
        <family val="3"/>
        <charset val="134"/>
      </rPr>
      <t>单价</t>
    </r>
  </si>
  <si>
    <r>
      <t>2.</t>
    </r>
    <r>
      <rPr>
        <b/>
        <sz val="11"/>
        <color indexed="8"/>
        <rFont val="宋体"/>
        <family val="3"/>
        <charset val="134"/>
      </rPr>
      <t>估价师知悉的法定优先受偿款</t>
    </r>
  </si>
  <si>
    <r>
      <rPr>
        <sz val="12"/>
        <color rgb="FF000000"/>
        <rFont val="宋体"/>
        <family val="3"/>
        <charset val="134"/>
      </rPr>
      <t>总额</t>
    </r>
  </si>
  <si>
    <r>
      <rPr>
        <sz val="12"/>
        <color theme="1"/>
        <rFont val="宋体"/>
        <family val="3"/>
        <charset val="134"/>
      </rPr>
      <t>评估价值</t>
    </r>
  </si>
  <si>
    <r>
      <rPr>
        <sz val="11"/>
        <color indexed="8"/>
        <rFont val="宋体"/>
        <family val="3"/>
        <charset val="134"/>
      </rPr>
      <t>（</t>
    </r>
    <r>
      <rPr>
        <sz val="11"/>
        <color indexed="8"/>
        <rFont val="Arial"/>
        <family val="2"/>
      </rPr>
      <t>1</t>
    </r>
    <r>
      <rPr>
        <sz val="11"/>
        <color indexed="8"/>
        <rFont val="宋体"/>
        <family val="3"/>
        <charset val="134"/>
      </rPr>
      <t>）已抵押担保的债权数额</t>
    </r>
    <phoneticPr fontId="8" type="noConversion"/>
  </si>
  <si>
    <r>
      <rPr>
        <sz val="11"/>
        <color indexed="8"/>
        <rFont val="宋体"/>
        <family val="3"/>
        <charset val="134"/>
      </rPr>
      <t>（</t>
    </r>
    <r>
      <rPr>
        <sz val="11"/>
        <color indexed="8"/>
        <rFont val="Arial"/>
        <family val="2"/>
      </rPr>
      <t>2</t>
    </r>
    <r>
      <rPr>
        <sz val="11"/>
        <color indexed="8"/>
        <rFont val="宋体"/>
        <family val="3"/>
        <charset val="134"/>
      </rPr>
      <t>）拖欠的建设工程价款</t>
    </r>
    <phoneticPr fontId="8" type="noConversion"/>
  </si>
  <si>
    <r>
      <rPr>
        <sz val="10"/>
        <color indexed="8"/>
        <rFont val="宋体"/>
        <family val="3"/>
        <charset val="134"/>
      </rPr>
      <t>单位：万元、元</t>
    </r>
    <r>
      <rPr>
        <sz val="10"/>
        <color indexed="8"/>
        <rFont val="Arial"/>
        <family val="2"/>
      </rPr>
      <t>/</t>
    </r>
    <r>
      <rPr>
        <sz val="10"/>
        <color indexed="8"/>
        <rFont val="宋体"/>
        <family val="3"/>
        <charset val="134"/>
      </rPr>
      <t>平方米（币种：人民币）</t>
    </r>
    <phoneticPr fontId="8" type="noConversion"/>
  </si>
  <si>
    <r>
      <rPr>
        <sz val="11"/>
        <color indexed="8"/>
        <rFont val="宋体"/>
        <family val="3"/>
        <charset val="134"/>
      </rPr>
      <t>（</t>
    </r>
    <r>
      <rPr>
        <sz val="11"/>
        <color indexed="8"/>
        <rFont val="Arial"/>
        <family val="2"/>
      </rPr>
      <t>3</t>
    </r>
    <r>
      <rPr>
        <sz val="11"/>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</si>
  <si>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phoneticPr fontId="3" type="noConversion"/>
  </si>
  <si>
    <r>
      <rPr>
        <sz val="11"/>
        <color indexed="8"/>
        <rFont val="宋体"/>
        <family val="3"/>
        <charset val="134"/>
      </rPr>
      <t>抵押物名称</t>
    </r>
  </si>
  <si>
    <r>
      <t>(</t>
    </r>
    <r>
      <rPr>
        <sz val="11"/>
        <color indexed="8"/>
        <rFont val="宋体"/>
        <family val="3"/>
        <charset val="134"/>
      </rPr>
      <t>规划</t>
    </r>
    <r>
      <rPr>
        <sz val="11"/>
        <color indexed="8"/>
        <rFont val="Arial"/>
        <family val="2"/>
      </rPr>
      <t>)</t>
    </r>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</si>
  <si>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</si>
  <si>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</si>
  <si>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在建建筑物价值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</si>
  <si>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</si>
  <si>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</si>
  <si>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</si>
  <si>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</si>
  <si>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</si>
  <si>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4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</si>
  <si>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</si>
  <si>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</si>
  <si>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3"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</si>
  <si>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</si>
  <si>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3"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</si>
  <si>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</si>
  <si>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3" type="noConversion"/>
  </si>
  <si>
    <r>
      <rPr>
        <b/>
        <sz val="16"/>
        <color indexed="10"/>
        <rFont val="宋体"/>
        <family val="3"/>
        <charset val="134"/>
      </rPr>
      <t>成本法</t>
    </r>
    <phoneticPr fontId="16" type="noConversion"/>
  </si>
  <si>
    <r>
      <rPr>
        <b/>
        <sz val="12"/>
        <rFont val="宋体"/>
        <family val="3"/>
        <charset val="134"/>
      </rPr>
      <t>总价</t>
    </r>
    <phoneticPr fontId="18" type="noConversion"/>
  </si>
  <si>
    <r>
      <rPr>
        <b/>
        <sz val="12"/>
        <rFont val="宋体"/>
        <family val="3"/>
        <charset val="134"/>
      </rPr>
      <t>万元</t>
    </r>
    <phoneticPr fontId="18" type="noConversion"/>
  </si>
  <si>
    <r>
      <rPr>
        <b/>
        <sz val="12"/>
        <rFont val="宋体"/>
        <family val="3"/>
        <charset val="134"/>
      </rPr>
      <t>楼面单价</t>
    </r>
    <phoneticPr fontId="18" type="noConversion"/>
  </si>
  <si>
    <r>
      <rPr>
        <b/>
        <sz val="12"/>
        <rFont val="宋体"/>
        <family val="3"/>
        <charset val="134"/>
      </rPr>
      <t>元</t>
    </r>
    <r>
      <rPr>
        <b/>
        <sz val="12"/>
        <rFont val="Arial"/>
        <family val="2"/>
      </rPr>
      <t>/</t>
    </r>
    <r>
      <rPr>
        <b/>
        <sz val="12"/>
        <rFont val="宋体"/>
        <family val="3"/>
        <charset val="134"/>
      </rPr>
      <t>平方米</t>
    </r>
    <phoneticPr fontId="18" type="noConversion"/>
  </si>
  <si>
    <r>
      <t>1.</t>
    </r>
    <r>
      <rPr>
        <b/>
        <sz val="12"/>
        <rFont val="宋体"/>
        <family val="3"/>
        <charset val="134"/>
      </rPr>
      <t>土地价值</t>
    </r>
    <phoneticPr fontId="16" type="noConversion"/>
  </si>
  <si>
    <r>
      <rPr>
        <b/>
        <sz val="10"/>
        <rFont val="宋体"/>
        <family val="3"/>
        <charset val="134"/>
      </rPr>
      <t>（</t>
    </r>
    <r>
      <rPr>
        <b/>
        <sz val="10"/>
        <rFont val="Arial"/>
        <family val="2"/>
      </rPr>
      <t>1</t>
    </r>
    <r>
      <rPr>
        <b/>
        <sz val="10"/>
        <rFont val="宋体"/>
        <family val="3"/>
        <charset val="134"/>
      </rPr>
      <t>）</t>
    </r>
    <phoneticPr fontId="18" type="noConversion"/>
  </si>
  <si>
    <r>
      <rPr>
        <b/>
        <sz val="10"/>
        <rFont val="宋体"/>
        <family val="3"/>
        <charset val="134"/>
      </rPr>
      <t>土地取得成本</t>
    </r>
    <phoneticPr fontId="16" type="noConversion"/>
  </si>
  <si>
    <r>
      <rPr>
        <b/>
        <sz val="10"/>
        <rFont val="宋体"/>
        <family val="3"/>
        <charset val="134"/>
      </rPr>
      <t>面积</t>
    </r>
    <phoneticPr fontId="16" type="noConversion"/>
  </si>
  <si>
    <r>
      <rPr>
        <b/>
        <sz val="10"/>
        <rFont val="宋体"/>
        <family val="3"/>
        <charset val="134"/>
      </rPr>
      <t>单价</t>
    </r>
    <phoneticPr fontId="16" type="noConversion"/>
  </si>
  <si>
    <r>
      <rPr>
        <b/>
        <sz val="10"/>
        <rFont val="宋体"/>
        <family val="3"/>
        <charset val="134"/>
      </rPr>
      <t>系数</t>
    </r>
    <phoneticPr fontId="16" type="noConversion"/>
  </si>
  <si>
    <r>
      <t>1</t>
    </r>
    <r>
      <rPr>
        <sz val="10"/>
        <rFont val="宋体"/>
        <family val="3"/>
        <charset val="134"/>
      </rPr>
      <t>）</t>
    </r>
    <phoneticPr fontId="16" type="noConversion"/>
  </si>
  <si>
    <r>
      <rPr>
        <sz val="10"/>
        <rFont val="宋体"/>
        <family val="3"/>
        <charset val="134"/>
      </rPr>
      <t>土地购买价格</t>
    </r>
    <phoneticPr fontId="18" type="noConversion"/>
  </si>
  <si>
    <r>
      <t>2</t>
    </r>
    <r>
      <rPr>
        <sz val="10"/>
        <rFont val="宋体"/>
        <family val="3"/>
        <charset val="134"/>
      </rPr>
      <t>）</t>
    </r>
    <phoneticPr fontId="16" type="noConversion"/>
  </si>
  <si>
    <r>
      <rPr>
        <sz val="10"/>
        <rFont val="宋体"/>
        <family val="3"/>
        <charset val="134"/>
      </rPr>
      <t>土地取得税费</t>
    </r>
  </si>
  <si>
    <r>
      <t>3</t>
    </r>
    <r>
      <rPr>
        <sz val="10"/>
        <rFont val="宋体"/>
        <family val="3"/>
        <charset val="134"/>
      </rPr>
      <t>）</t>
    </r>
    <phoneticPr fontId="16" type="noConversion"/>
  </si>
  <si>
    <r>
      <rPr>
        <sz val="10"/>
        <rFont val="宋体"/>
        <family val="3"/>
        <charset val="134"/>
      </rPr>
      <t>城市基础设施建设费（行政收费）</t>
    </r>
    <phoneticPr fontId="16" type="noConversion"/>
  </si>
  <si>
    <r>
      <rPr>
        <i/>
        <sz val="10"/>
        <rFont val="宋体"/>
        <family val="3"/>
        <charset val="134"/>
      </rPr>
      <t>住宅</t>
    </r>
    <phoneticPr fontId="16" type="noConversion"/>
  </si>
  <si>
    <r>
      <rPr>
        <i/>
        <sz val="10"/>
        <rFont val="宋体"/>
        <family val="3"/>
        <charset val="134"/>
      </rPr>
      <t>非住宅</t>
    </r>
    <phoneticPr fontId="16" type="noConversion"/>
  </si>
  <si>
    <r>
      <rPr>
        <sz val="10"/>
        <rFont val="宋体"/>
        <family val="3"/>
        <charset val="134"/>
      </rPr>
      <t>土地使用权出让金</t>
    </r>
    <phoneticPr fontId="16"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</si>
  <si>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</si>
  <si>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</si>
  <si>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</si>
  <si>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</si>
  <si>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</si>
  <si>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</si>
  <si>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</si>
  <si>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</si>
  <si>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</si>
  <si>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</si>
  <si>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</si>
  <si>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</si>
  <si>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</si>
  <si>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</si>
  <si>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</si>
  <si>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</si>
  <si>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</si>
  <si>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</si>
  <si>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</si>
  <si>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</si>
  <si>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</si>
  <si>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</si>
  <si>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</si>
  <si>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</si>
  <si>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</si>
  <si>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rPr>
        <sz val="10"/>
        <rFont val="宋体"/>
        <family val="3"/>
        <charset val="134"/>
      </rPr>
      <t>（</t>
    </r>
    <r>
      <rPr>
        <sz val="10"/>
        <rFont val="Arial"/>
        <family val="2"/>
      </rPr>
      <t>4</t>
    </r>
    <r>
      <rPr>
        <sz val="10"/>
        <rFont val="宋体"/>
        <family val="3"/>
        <charset val="134"/>
      </rPr>
      <t>）项产生的利息</t>
    </r>
    <phoneticPr fontId="16" type="noConversion"/>
  </si>
  <si>
    <r>
      <rPr>
        <b/>
        <sz val="10"/>
        <rFont val="宋体"/>
        <family val="3"/>
        <charset val="134"/>
      </rPr>
      <t>（</t>
    </r>
    <r>
      <rPr>
        <b/>
        <sz val="10"/>
        <rFont val="Arial"/>
        <family val="2"/>
      </rPr>
      <t>6</t>
    </r>
    <r>
      <rPr>
        <b/>
        <sz val="10"/>
        <rFont val="宋体"/>
        <family val="3"/>
        <charset val="134"/>
      </rPr>
      <t>）</t>
    </r>
    <phoneticPr fontId="18" type="noConversion"/>
  </si>
  <si>
    <r>
      <rPr>
        <b/>
        <sz val="10"/>
        <rFont val="宋体"/>
        <family val="3"/>
        <charset val="134"/>
      </rPr>
      <t>利润</t>
    </r>
    <phoneticPr fontId="16" type="noConversion"/>
  </si>
  <si>
    <r>
      <t>V</t>
    </r>
    <r>
      <rPr>
        <b/>
        <vertAlign val="subscript"/>
        <sz val="10"/>
        <rFont val="宋体"/>
        <family val="3"/>
        <charset val="134"/>
      </rPr>
      <t>土</t>
    </r>
    <phoneticPr fontId="16"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</si>
  <si>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</si>
  <si>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6" type="noConversion"/>
  </si>
  <si>
    <r>
      <rPr>
        <sz val="10"/>
        <rFont val="宋体"/>
        <family val="3"/>
        <charset val="134"/>
      </rPr>
      <t>（</t>
    </r>
    <r>
      <rPr>
        <sz val="10"/>
        <rFont val="Arial"/>
        <family val="2"/>
      </rPr>
      <t>4</t>
    </r>
    <r>
      <rPr>
        <sz val="10"/>
        <rFont val="宋体"/>
        <family val="3"/>
        <charset val="134"/>
      </rPr>
      <t>）项产生的利润</t>
    </r>
    <phoneticPr fontId="16" type="noConversion"/>
  </si>
  <si>
    <r>
      <rPr>
        <b/>
        <sz val="10"/>
        <rFont val="宋体"/>
        <family val="3"/>
        <charset val="134"/>
      </rPr>
      <t>（</t>
    </r>
    <r>
      <rPr>
        <b/>
        <sz val="10"/>
        <rFont val="Arial"/>
        <family val="2"/>
      </rPr>
      <t>7</t>
    </r>
    <r>
      <rPr>
        <b/>
        <sz val="10"/>
        <rFont val="宋体"/>
        <family val="3"/>
        <charset val="134"/>
      </rPr>
      <t>）</t>
    </r>
    <phoneticPr fontId="18"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</si>
  <si>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</si>
  <si>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6"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</si>
  <si>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6" type="noConversion"/>
  </si>
  <si>
    <r>
      <rPr>
        <b/>
        <sz val="10"/>
        <rFont val="宋体"/>
        <family val="3"/>
        <charset val="134"/>
      </rPr>
      <t>前述</t>
    </r>
    <r>
      <rPr>
        <b/>
        <sz val="10"/>
        <rFont val="Arial"/>
        <family val="2"/>
      </rPr>
      <t>7</t>
    </r>
    <r>
      <rPr>
        <b/>
        <sz val="10"/>
        <rFont val="宋体"/>
        <family val="3"/>
        <charset val="134"/>
      </rPr>
      <t>项相加</t>
    </r>
    <phoneticPr fontId="16" type="noConversion"/>
  </si>
  <si>
    <r>
      <t>2.</t>
    </r>
    <r>
      <rPr>
        <b/>
        <sz val="12"/>
        <rFont val="宋体"/>
        <family val="3"/>
        <charset val="134"/>
      </rPr>
      <t>建筑物</t>
    </r>
    <r>
      <rPr>
        <b/>
        <sz val="12"/>
        <rFont val="Arial"/>
        <family val="2"/>
      </rPr>
      <t>/</t>
    </r>
    <r>
      <rPr>
        <b/>
        <sz val="12"/>
        <rFont val="宋体"/>
        <family val="3"/>
        <charset val="134"/>
      </rPr>
      <t>在建工程价值</t>
    </r>
    <phoneticPr fontId="16" type="noConversion"/>
  </si>
  <si>
    <r>
      <rPr>
        <b/>
        <sz val="10"/>
        <rFont val="宋体"/>
        <family val="3"/>
        <charset val="134"/>
      </rPr>
      <t>建筑物建造</t>
    </r>
    <r>
      <rPr>
        <b/>
        <sz val="10"/>
        <rFont val="Arial"/>
        <family val="2"/>
      </rPr>
      <t>/</t>
    </r>
    <r>
      <rPr>
        <b/>
        <sz val="10"/>
        <rFont val="宋体"/>
        <family val="3"/>
        <charset val="134"/>
      </rPr>
      <t>已建成本</t>
    </r>
    <phoneticPr fontId="16" type="noConversion"/>
  </si>
  <si>
    <r>
      <rPr>
        <sz val="10"/>
        <rFont val="宋体"/>
        <family val="3"/>
        <charset val="134"/>
      </rPr>
      <t>建安费用</t>
    </r>
  </si>
  <si>
    <r>
      <rPr>
        <sz val="10"/>
        <rFont val="宋体"/>
        <family val="3"/>
        <charset val="134"/>
      </rPr>
      <t>现房</t>
    </r>
    <r>
      <rPr>
        <sz val="10"/>
        <rFont val="Arial"/>
        <family val="2"/>
      </rPr>
      <t>100%</t>
    </r>
    <r>
      <rPr>
        <sz val="10"/>
        <rFont val="宋体"/>
        <family val="3"/>
        <charset val="134"/>
      </rPr>
      <t>；在建为综合进度</t>
    </r>
    <phoneticPr fontId="16" type="noConversion"/>
  </si>
  <si>
    <r>
      <rPr>
        <sz val="10"/>
        <rFont val="宋体"/>
        <family val="3"/>
        <charset val="134"/>
      </rPr>
      <t>勘察设计和前期工程费</t>
    </r>
  </si>
  <si>
    <r>
      <rPr>
        <sz val="10"/>
        <rFont val="宋体"/>
        <family val="3"/>
        <charset val="134"/>
      </rPr>
      <t>以建安费用为基数计取</t>
    </r>
    <phoneticPr fontId="16"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</si>
  <si>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</si>
  <si>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</si>
  <si>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6" type="noConversion"/>
  </si>
  <si>
    <r>
      <rPr>
        <sz val="10"/>
        <rFont val="宋体"/>
        <family val="3"/>
        <charset val="134"/>
      </rPr>
      <t>按工程进度计取或按实际情况计取</t>
    </r>
    <phoneticPr fontId="16" type="noConversion"/>
  </si>
  <si>
    <r>
      <rPr>
        <sz val="10"/>
        <rFont val="宋体"/>
        <family val="3"/>
        <charset val="134"/>
      </rPr>
      <t>相关税费</t>
    </r>
  </si>
  <si>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</si>
  <si>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</si>
  <si>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t>
    </r>
    <r>
      <rPr>
        <b/>
        <sz val="10"/>
        <rFont val="Arial"/>
        <family val="2"/>
      </rPr>
      <t>1</t>
    </r>
    <r>
      <rPr>
        <b/>
        <sz val="10"/>
        <rFont val="宋体"/>
        <family val="3"/>
        <charset val="134"/>
      </rPr>
      <t>）为基数</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</si>
  <si>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</si>
  <si>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</si>
  <si>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建</t>
    </r>
    <phoneticPr fontId="16" type="noConversion"/>
  </si>
  <si>
    <r>
      <rPr>
        <b/>
        <sz val="10"/>
        <rFont val="宋体"/>
        <family val="3"/>
        <charset val="134"/>
      </rPr>
      <t>以</t>
    </r>
    <r>
      <rPr>
        <b/>
        <sz val="10"/>
        <rFont val="Arial"/>
        <family val="2"/>
      </rPr>
      <t>V</t>
    </r>
    <r>
      <rPr>
        <b/>
        <sz val="10"/>
        <rFont val="宋体"/>
        <family val="3"/>
        <charset val="134"/>
      </rPr>
      <t>建为基数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</si>
  <si>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</si>
  <si>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</si>
  <si>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</si>
  <si>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已建工期均匀投入</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</si>
  <si>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</si>
  <si>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</si>
  <si>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</si>
  <si>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</si>
  <si>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6" type="noConversion"/>
  </si>
  <si>
    <r>
      <rPr>
        <sz val="10"/>
        <rFont val="宋体"/>
        <family val="3"/>
        <charset val="134"/>
      </rPr>
      <t>（</t>
    </r>
    <r>
      <rPr>
        <sz val="10"/>
        <rFont val="Arial"/>
        <family val="2"/>
      </rPr>
      <t>3</t>
    </r>
    <r>
      <rPr>
        <sz val="10"/>
        <rFont val="宋体"/>
        <family val="3"/>
        <charset val="134"/>
      </rPr>
      <t>）项产生的利润</t>
    </r>
    <phoneticPr fontId="16" type="noConversion"/>
  </si>
  <si>
    <r>
      <rPr>
        <b/>
        <sz val="10"/>
        <rFont val="宋体"/>
        <family val="3"/>
        <charset val="134"/>
      </rPr>
      <t>销售税费</t>
    </r>
    <phoneticPr fontId="16" type="noConversion"/>
  </si>
  <si>
    <r>
      <rPr>
        <b/>
        <sz val="10"/>
        <rFont val="宋体"/>
        <family val="3"/>
        <charset val="134"/>
      </rPr>
      <t>以成本价值</t>
    </r>
    <r>
      <rPr>
        <b/>
        <sz val="10"/>
        <rFont val="Arial"/>
        <family val="2"/>
      </rPr>
      <t>/(1+5%)</t>
    </r>
    <r>
      <rPr>
        <b/>
        <sz val="10"/>
        <rFont val="宋体"/>
        <family val="3"/>
        <charset val="134"/>
      </rPr>
      <t>为基数</t>
    </r>
    <phoneticPr fontId="16" type="noConversion"/>
  </si>
  <si>
    <r>
      <rPr>
        <b/>
        <sz val="10"/>
        <rFont val="宋体"/>
        <family val="3"/>
        <charset val="134"/>
      </rPr>
      <t>建筑物</t>
    </r>
    <r>
      <rPr>
        <b/>
        <sz val="10"/>
        <rFont val="Arial"/>
        <family val="2"/>
      </rPr>
      <t>/</t>
    </r>
    <r>
      <rPr>
        <b/>
        <sz val="10"/>
        <rFont val="宋体"/>
        <family val="3"/>
        <charset val="134"/>
      </rPr>
      <t>在建工程重置价值（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</si>
  <si>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前述</t>
    </r>
    <r>
      <rPr>
        <b/>
        <sz val="10"/>
        <rFont val="Arial"/>
        <family val="2"/>
      </rPr>
      <t>6</t>
    </r>
    <r>
      <rPr>
        <b/>
        <sz val="10"/>
        <rFont val="宋体"/>
        <family val="3"/>
        <charset val="134"/>
      </rPr>
      <t>项相加</t>
    </r>
    <phoneticPr fontId="16" type="noConversion"/>
  </si>
  <si>
    <r>
      <rPr>
        <b/>
        <sz val="10"/>
        <rFont val="宋体"/>
        <family val="3"/>
        <charset val="134"/>
      </rPr>
      <t>（</t>
    </r>
    <r>
      <rPr>
        <b/>
        <sz val="10"/>
        <rFont val="Arial"/>
        <family val="2"/>
      </rPr>
      <t>8</t>
    </r>
    <r>
      <rPr>
        <b/>
        <sz val="10"/>
        <rFont val="宋体"/>
        <family val="3"/>
        <charset val="134"/>
      </rPr>
      <t>）</t>
    </r>
    <phoneticPr fontId="18" type="noConversion"/>
  </si>
  <si>
    <r>
      <rPr>
        <b/>
        <sz val="10"/>
        <rFont val="宋体"/>
        <family val="3"/>
        <charset val="134"/>
      </rPr>
      <t>成新率</t>
    </r>
    <phoneticPr fontId="16" type="noConversion"/>
  </si>
  <si>
    <r>
      <rPr>
        <b/>
        <sz val="10"/>
        <rFont val="宋体"/>
        <family val="3"/>
        <charset val="134"/>
      </rPr>
      <t>现房为成新率，在建依实际情况（停工）记取</t>
    </r>
    <phoneticPr fontId="18" type="noConversion"/>
  </si>
  <si>
    <r>
      <rPr>
        <b/>
        <sz val="10"/>
        <rFont val="宋体"/>
        <family val="3"/>
        <charset val="134"/>
      </rPr>
      <t>（</t>
    </r>
    <r>
      <rPr>
        <b/>
        <sz val="10"/>
        <rFont val="Arial"/>
        <family val="2"/>
      </rPr>
      <t>9</t>
    </r>
    <r>
      <rPr>
        <b/>
        <sz val="10"/>
        <rFont val="宋体"/>
        <family val="3"/>
        <charset val="134"/>
      </rPr>
      <t>）</t>
    </r>
    <phoneticPr fontId="18" type="noConversion"/>
  </si>
  <si>
    <r>
      <rPr>
        <b/>
        <sz val="10"/>
        <rFont val="宋体"/>
        <family val="3"/>
        <charset val="134"/>
      </rPr>
      <t>建筑物</t>
    </r>
    <r>
      <rPr>
        <b/>
        <sz val="10"/>
        <rFont val="Arial"/>
        <family val="2"/>
      </rPr>
      <t>/</t>
    </r>
    <r>
      <rPr>
        <b/>
        <sz val="10"/>
        <rFont val="宋体"/>
        <family val="3"/>
        <charset val="134"/>
      </rPr>
      <t>在建工程价值（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</si>
  <si>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0"/>
        <rFont val="宋体"/>
        <family val="3"/>
        <charset val="134"/>
      </rPr>
      <t>重置价值</t>
    </r>
    <r>
      <rPr>
        <b/>
        <sz val="10"/>
        <rFont val="Arial"/>
        <family val="2"/>
      </rPr>
      <t>×</t>
    </r>
    <r>
      <rPr>
        <b/>
        <sz val="10"/>
        <rFont val="宋体"/>
        <family val="3"/>
        <charset val="134"/>
      </rPr>
      <t>成新率</t>
    </r>
    <phoneticPr fontId="16" type="noConversion"/>
  </si>
  <si>
    <r>
      <t>3.</t>
    </r>
    <r>
      <rPr>
        <b/>
        <sz val="12"/>
        <rFont val="宋体"/>
        <family val="3"/>
        <charset val="134"/>
      </rPr>
      <t>成本价值</t>
    </r>
    <phoneticPr fontId="16" type="noConversion"/>
  </si>
  <si>
    <r>
      <rPr>
        <b/>
        <sz val="10"/>
        <color indexed="10"/>
        <rFont val="宋体"/>
        <family val="3"/>
        <charset val="134"/>
      </rPr>
      <t>成本比率</t>
    </r>
    <phoneticPr fontId="3" type="noConversion"/>
  </si>
  <si>
    <r>
      <rPr>
        <b/>
        <sz val="12"/>
        <color rgb="FFFF0000"/>
        <rFont val="宋体"/>
        <family val="3"/>
        <charset val="134"/>
      </rPr>
      <t>仅限现房使用</t>
    </r>
    <phoneticPr fontId="140"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</si>
  <si>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</si>
  <si>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</si>
  <si>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</si>
  <si>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</si>
  <si>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</si>
  <si>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</si>
  <si>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</si>
  <si>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</si>
  <si>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</si>
  <si>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</si>
  <si>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</si>
  <si>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</si>
  <si>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</si>
  <si>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</si>
  <si>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</si>
  <si>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</si>
  <si>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</si>
  <si>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</si>
  <si>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</si>
  <si>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</si>
  <si>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</si>
  <si>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</si>
  <si>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</si>
  <si>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</si>
  <si>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</si>
  <si>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t>2.</t>
    </r>
    <r>
      <rPr>
        <b/>
        <sz val="12"/>
        <rFont val="宋体"/>
        <family val="3"/>
        <charset val="134"/>
      </rPr>
      <t>建筑物价值</t>
    </r>
    <phoneticPr fontId="16" type="noConversion"/>
  </si>
  <si>
    <r>
      <rPr>
        <b/>
        <sz val="10"/>
        <rFont val="宋体"/>
        <family val="3"/>
        <charset val="134"/>
      </rPr>
      <t>建筑物建造成本</t>
    </r>
    <phoneticPr fontId="16" type="noConversion"/>
  </si>
  <si>
    <r>
      <rPr>
        <sz val="10"/>
        <rFont val="宋体"/>
        <family val="3"/>
        <charset val="134"/>
      </rPr>
      <t>建设期期均匀投入</t>
    </r>
    <phoneticPr fontId="16" type="noConversion"/>
  </si>
  <si>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</si>
  <si>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建筑物价值（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</si>
  <si>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6"/>
        <color indexed="10"/>
        <rFont val="宋体"/>
        <family val="3"/>
        <charset val="134"/>
      </rPr>
      <t>假设开发法</t>
    </r>
    <phoneticPr fontId="16" type="noConversion"/>
  </si>
  <si>
    <r>
      <rPr>
        <b/>
        <sz val="12"/>
        <color indexed="8"/>
        <rFont val="宋体"/>
        <family val="3"/>
        <charset val="134"/>
      </rPr>
      <t>万元</t>
    </r>
    <phoneticPr fontId="18"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</si>
  <si>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8" type="noConversion"/>
  </si>
  <si>
    <r>
      <t>1.</t>
    </r>
    <r>
      <rPr>
        <b/>
        <sz val="12"/>
        <color indexed="8"/>
        <rFont val="宋体"/>
        <family val="3"/>
        <charset val="134"/>
      </rPr>
      <t>开发完成后房地产价值</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</si>
  <si>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</si>
  <si>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</si>
  <si>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sz val="10"/>
        <color indexed="8"/>
        <rFont val="宋体"/>
        <family val="3"/>
        <charset val="134"/>
      </rPr>
      <t>地上住宅</t>
    </r>
    <r>
      <rPr>
        <sz val="10"/>
        <color indexed="8"/>
        <rFont val="Arial"/>
        <family val="2"/>
      </rPr>
      <t>-</t>
    </r>
    <r>
      <rPr>
        <sz val="10"/>
        <color indexed="8"/>
        <rFont val="宋体"/>
        <family val="3"/>
        <charset val="134"/>
      </rPr>
      <t>限价</t>
    </r>
  </si>
  <si>
    <r>
      <rPr>
        <sz val="10"/>
        <color indexed="8"/>
        <rFont val="宋体"/>
        <family val="3"/>
        <charset val="134"/>
      </rPr>
      <t>地上住宅</t>
    </r>
    <r>
      <rPr>
        <sz val="10"/>
        <color indexed="8"/>
        <rFont val="Arial"/>
        <family val="2"/>
      </rPr>
      <t>-</t>
    </r>
    <r>
      <rPr>
        <sz val="10"/>
        <color indexed="8"/>
        <rFont val="宋体"/>
        <family val="3"/>
        <charset val="134"/>
      </rPr>
      <t>自住</t>
    </r>
  </si>
  <si>
    <r>
      <rPr>
        <sz val="10"/>
        <color indexed="8"/>
        <rFont val="宋体"/>
        <family val="3"/>
        <charset val="134"/>
      </rPr>
      <t>地下车库</t>
    </r>
  </si>
  <si>
    <r>
      <rPr>
        <sz val="10"/>
        <color indexed="8"/>
        <rFont val="宋体"/>
        <family val="3"/>
        <charset val="134"/>
      </rPr>
      <t>楼面单价</t>
    </r>
    <phoneticPr fontId="16" type="noConversion"/>
  </si>
  <si>
    <r>
      <rPr>
        <sz val="10"/>
        <color indexed="8"/>
        <rFont val="宋体"/>
        <family val="3"/>
        <charset val="134"/>
      </rPr>
      <t>（</t>
    </r>
    <r>
      <rPr>
        <sz val="10"/>
        <color indexed="8"/>
        <rFont val="Arial"/>
        <family val="2"/>
      </rPr>
      <t>2</t>
    </r>
    <r>
      <rPr>
        <sz val="10"/>
        <color indexed="8"/>
        <rFont val="宋体"/>
        <family val="3"/>
        <charset val="134"/>
      </rPr>
      <t>）</t>
    </r>
    <phoneticPr fontId="18" type="noConversion"/>
  </si>
  <si>
    <r>
      <rPr>
        <sz val="10"/>
        <color indexed="8"/>
        <rFont val="宋体"/>
        <family val="3"/>
        <charset val="134"/>
      </rPr>
      <t>建筑面积</t>
    </r>
    <phoneticPr fontId="16" type="noConversion"/>
  </si>
  <si>
    <r>
      <rPr>
        <sz val="10"/>
        <color indexed="8"/>
        <rFont val="宋体"/>
        <family val="3"/>
        <charset val="134"/>
      </rPr>
      <t>（</t>
    </r>
    <r>
      <rPr>
        <sz val="10"/>
        <color indexed="8"/>
        <rFont val="Arial"/>
        <family val="2"/>
      </rPr>
      <t>3</t>
    </r>
    <r>
      <rPr>
        <sz val="10"/>
        <color indexed="8"/>
        <rFont val="宋体"/>
        <family val="3"/>
        <charset val="134"/>
      </rPr>
      <t>）</t>
    </r>
    <phoneticPr fontId="18" type="noConversion"/>
  </si>
  <si>
    <r>
      <rPr>
        <sz val="10"/>
        <color indexed="8"/>
        <rFont val="宋体"/>
        <family val="3"/>
        <charset val="134"/>
      </rPr>
      <t>总额</t>
    </r>
    <phoneticPr fontId="16" type="noConversion"/>
  </si>
  <si>
    <r>
      <t>2.</t>
    </r>
    <r>
      <rPr>
        <b/>
        <sz val="12"/>
        <color indexed="8"/>
        <rFont val="宋体"/>
        <family val="3"/>
        <charset val="134"/>
      </rPr>
      <t>扣减项</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</si>
  <si>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</si>
  <si>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</si>
  <si>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b/>
        <sz val="11"/>
        <color indexed="8"/>
        <rFont val="宋体"/>
        <family val="3"/>
        <charset val="134"/>
      </rPr>
      <t>总额</t>
    </r>
    <phoneticPr fontId="16" type="noConversion"/>
  </si>
  <si>
    <r>
      <rPr>
        <b/>
        <sz val="11"/>
        <color indexed="8"/>
        <rFont val="宋体"/>
        <family val="3"/>
        <charset val="134"/>
      </rPr>
      <t>面积</t>
    </r>
    <phoneticPr fontId="16" type="noConversion"/>
  </si>
  <si>
    <r>
      <rPr>
        <b/>
        <sz val="11"/>
        <color indexed="8"/>
        <rFont val="宋体"/>
        <family val="3"/>
        <charset val="134"/>
      </rPr>
      <t>单价</t>
    </r>
    <phoneticPr fontId="16" type="noConversion"/>
  </si>
  <si>
    <r>
      <rPr>
        <b/>
        <sz val="11"/>
        <color indexed="8"/>
        <rFont val="宋体"/>
        <family val="3"/>
        <charset val="134"/>
      </rPr>
      <t>相关系数</t>
    </r>
    <phoneticPr fontId="16" type="noConversion"/>
  </si>
  <si>
    <r>
      <rPr>
        <sz val="10"/>
        <color indexed="8"/>
        <rFont val="宋体"/>
        <family val="3"/>
        <charset val="134"/>
      </rPr>
      <t>续建建安</t>
    </r>
    <phoneticPr fontId="16" type="noConversion"/>
  </si>
  <si>
    <r>
      <rPr>
        <sz val="10"/>
        <color indexed="8"/>
        <rFont val="宋体"/>
        <family val="3"/>
        <charset val="134"/>
      </rPr>
      <t>勘察设计和前期工程费</t>
    </r>
    <phoneticPr fontId="16" type="noConversion"/>
  </si>
  <si>
    <r>
      <rPr>
        <b/>
        <sz val="11"/>
        <color indexed="8"/>
        <rFont val="宋体"/>
        <family val="3"/>
        <charset val="134"/>
      </rPr>
      <t>以建安费用为基数计取</t>
    </r>
    <phoneticPr fontId="16" type="noConversion"/>
  </si>
  <si>
    <r>
      <rPr>
        <sz val="10"/>
        <color indexed="8"/>
        <rFont val="宋体"/>
        <family val="3"/>
        <charset val="134"/>
      </rPr>
      <t>公共配套设施费用</t>
    </r>
    <phoneticPr fontId="16" type="noConversion"/>
  </si>
  <si>
    <r>
      <rPr>
        <b/>
        <sz val="11"/>
        <color indexed="8"/>
        <rFont val="宋体"/>
        <family val="3"/>
        <charset val="134"/>
      </rPr>
      <t>以住宅用房建安费用为基数计取</t>
    </r>
    <phoneticPr fontId="16" type="noConversion"/>
  </si>
  <si>
    <r>
      <rPr>
        <sz val="10"/>
        <color indexed="8"/>
        <rFont val="宋体"/>
        <family val="3"/>
        <charset val="134"/>
      </rPr>
      <t>红线内市政费用</t>
    </r>
    <phoneticPr fontId="16" type="noConversion"/>
  </si>
  <si>
    <r>
      <rPr>
        <b/>
        <sz val="11"/>
        <color indexed="8"/>
        <rFont val="宋体"/>
        <family val="3"/>
        <charset val="134"/>
      </rPr>
      <t>按工程进度计取或按实际情况计取</t>
    </r>
    <phoneticPr fontId="16" type="noConversion"/>
  </si>
  <si>
    <r>
      <rPr>
        <sz val="10"/>
        <color indexed="8"/>
        <rFont val="宋体"/>
        <family val="3"/>
        <charset val="134"/>
      </rPr>
      <t>相关税费</t>
    </r>
    <phoneticPr fontId="16" type="noConversion"/>
  </si>
  <si>
    <r>
      <rPr>
        <sz val="10"/>
        <color indexed="8"/>
        <rFont val="宋体"/>
        <family val="3"/>
        <charset val="134"/>
      </rPr>
      <t>以建安费用为基数计取</t>
    </r>
    <phoneticPr fontId="16" type="noConversion"/>
  </si>
  <si>
    <r>
      <rPr>
        <sz val="10"/>
        <color indexed="8"/>
        <rFont val="宋体"/>
        <family val="3"/>
        <charset val="134"/>
      </rPr>
      <t>续建成本</t>
    </r>
    <phoneticPr fontId="18" type="noConversion"/>
  </si>
  <si>
    <r>
      <rPr>
        <sz val="10"/>
        <color indexed="8"/>
        <rFont val="宋体"/>
        <family val="3"/>
        <charset val="134"/>
      </rPr>
      <t>红线外市政费用（待完成）</t>
    </r>
    <phoneticPr fontId="16" type="noConversion"/>
  </si>
  <si>
    <r>
      <rPr>
        <sz val="10"/>
        <color indexed="8"/>
        <rFont val="宋体"/>
        <family val="3"/>
        <charset val="134"/>
      </rPr>
      <t>按实际情况计取</t>
    </r>
    <phoneticPr fontId="16" type="noConversion"/>
  </si>
  <si>
    <r>
      <rPr>
        <sz val="10"/>
        <color indexed="8"/>
        <rFont val="宋体"/>
        <family val="3"/>
        <charset val="134"/>
      </rPr>
      <t>城市基础设施建设费（行政收费）</t>
    </r>
    <phoneticPr fontId="16" type="noConversion"/>
  </si>
  <si>
    <r>
      <rPr>
        <b/>
        <sz val="10"/>
        <color indexed="8"/>
        <rFont val="宋体"/>
        <family val="3"/>
        <charset val="134"/>
      </rPr>
      <t>万元</t>
    </r>
    <phoneticPr fontId="18" type="noConversion"/>
  </si>
  <si>
    <r>
      <rPr>
        <sz val="10"/>
        <color indexed="8"/>
        <rFont val="宋体"/>
        <family val="3"/>
        <charset val="134"/>
      </rPr>
      <t>住宅</t>
    </r>
    <phoneticPr fontId="16" type="noConversion"/>
  </si>
  <si>
    <r>
      <rPr>
        <sz val="10"/>
        <color indexed="8"/>
        <rFont val="宋体"/>
        <family val="3"/>
        <charset val="134"/>
      </rPr>
      <t>非住宅</t>
    </r>
    <phoneticPr fontId="16" type="noConversion"/>
  </si>
  <si>
    <r>
      <rPr>
        <b/>
        <sz val="11"/>
        <color indexed="8"/>
        <rFont val="宋体"/>
        <family val="3"/>
        <charset val="134"/>
      </rPr>
      <t>后续开发成本</t>
    </r>
    <phoneticPr fontId="16" type="noConversion"/>
  </si>
  <si>
    <r>
      <rPr>
        <sz val="10"/>
        <color indexed="8"/>
        <rFont val="宋体"/>
        <family val="3"/>
        <charset val="134"/>
      </rPr>
      <t>前述</t>
    </r>
    <r>
      <rPr>
        <sz val="10"/>
        <color indexed="8"/>
        <rFont val="Arial"/>
        <family val="2"/>
      </rPr>
      <t>7</t>
    </r>
    <r>
      <rPr>
        <sz val="10"/>
        <color indexed="8"/>
        <rFont val="宋体"/>
        <family val="3"/>
        <charset val="134"/>
      </rPr>
      <t>项之和</t>
    </r>
    <phoneticPr fontId="18" type="noConversion"/>
  </si>
  <si>
    <r>
      <rPr>
        <b/>
        <sz val="11"/>
        <color indexed="8"/>
        <rFont val="宋体"/>
        <family val="3"/>
        <charset val="134"/>
      </rPr>
      <t>管理费用</t>
    </r>
    <phoneticPr fontId="16" type="noConversion"/>
  </si>
  <si>
    <r>
      <rPr>
        <b/>
        <sz val="11"/>
        <color indexed="8"/>
        <rFont val="宋体"/>
        <family val="3"/>
        <charset val="134"/>
      </rPr>
      <t>以续建成本为基数计算</t>
    </r>
    <phoneticPr fontId="16" type="noConversion"/>
  </si>
  <si>
    <r>
      <rPr>
        <b/>
        <sz val="11"/>
        <color indexed="8"/>
        <rFont val="宋体"/>
        <family val="3"/>
        <charset val="134"/>
      </rPr>
      <t>销售费用</t>
    </r>
    <phoneticPr fontId="16"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</si>
  <si>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6" type="noConversion"/>
  </si>
  <si>
    <r>
      <rPr>
        <sz val="10"/>
        <color indexed="8"/>
        <rFont val="宋体"/>
        <family val="3"/>
        <charset val="134"/>
      </rPr>
      <t>（</t>
    </r>
    <r>
      <rPr>
        <sz val="10"/>
        <color indexed="8"/>
        <rFont val="Arial"/>
        <family val="2"/>
      </rPr>
      <t>4</t>
    </r>
    <r>
      <rPr>
        <sz val="10"/>
        <color indexed="8"/>
        <rFont val="宋体"/>
        <family val="3"/>
        <charset val="134"/>
      </rPr>
      <t>）</t>
    </r>
    <phoneticPr fontId="18" type="noConversion"/>
  </si>
  <si>
    <r>
      <rPr>
        <b/>
        <sz val="11"/>
        <color indexed="8"/>
        <rFont val="宋体"/>
        <family val="3"/>
        <charset val="134"/>
      </rPr>
      <t>取得税费</t>
    </r>
    <phoneticPr fontId="16" type="noConversion"/>
  </si>
  <si>
    <r>
      <rPr>
        <sz val="11"/>
        <color indexed="8"/>
        <rFont val="宋体"/>
        <family val="3"/>
        <charset val="134"/>
      </rPr>
      <t>以开发价值</t>
    </r>
    <r>
      <rPr>
        <sz val="11"/>
        <color indexed="8"/>
        <rFont val="Arial"/>
        <family val="2"/>
      </rPr>
      <t>/(1+5%)</t>
    </r>
    <r>
      <rPr>
        <sz val="11"/>
        <color indexed="8"/>
        <rFont val="宋体"/>
        <family val="3"/>
        <charset val="134"/>
      </rPr>
      <t>为基数</t>
    </r>
    <phoneticPr fontId="16" type="noConversion"/>
  </si>
  <si>
    <r>
      <rPr>
        <sz val="10"/>
        <color indexed="8"/>
        <rFont val="宋体"/>
        <family val="3"/>
        <charset val="134"/>
      </rPr>
      <t>（</t>
    </r>
    <r>
      <rPr>
        <sz val="10"/>
        <color indexed="8"/>
        <rFont val="Arial"/>
        <family val="2"/>
      </rPr>
      <t>5</t>
    </r>
    <r>
      <rPr>
        <sz val="10"/>
        <color indexed="8"/>
        <rFont val="宋体"/>
        <family val="3"/>
        <charset val="134"/>
      </rPr>
      <t>）</t>
    </r>
    <phoneticPr fontId="18" type="noConversion"/>
  </si>
  <si>
    <r>
      <rPr>
        <b/>
        <sz val="11"/>
        <color indexed="8"/>
        <rFont val="宋体"/>
        <family val="3"/>
        <charset val="134"/>
      </rPr>
      <t>利息</t>
    </r>
    <phoneticPr fontId="16" type="noConversion"/>
  </si>
  <si>
    <r>
      <rPr>
        <sz val="10"/>
        <color indexed="8"/>
        <rFont val="宋体"/>
        <family val="3"/>
        <charset val="134"/>
      </rPr>
      <t>估价对象及取得税费产生的利息</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</si>
  <si>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）产生的利息</t>
    </r>
    <phoneticPr fontId="16" type="noConversion"/>
  </si>
  <si>
    <r>
      <rPr>
        <sz val="10"/>
        <color indexed="8"/>
        <rFont val="宋体"/>
        <family val="3"/>
        <charset val="134"/>
      </rPr>
      <t>（</t>
    </r>
    <r>
      <rPr>
        <sz val="10"/>
        <color indexed="8"/>
        <rFont val="Arial"/>
        <family val="2"/>
      </rPr>
      <t>6</t>
    </r>
    <r>
      <rPr>
        <sz val="10"/>
        <color indexed="8"/>
        <rFont val="宋体"/>
        <family val="3"/>
        <charset val="134"/>
      </rPr>
      <t>）</t>
    </r>
    <phoneticPr fontId="18" type="noConversion"/>
  </si>
  <si>
    <r>
      <rPr>
        <b/>
        <sz val="11"/>
        <color indexed="8"/>
        <rFont val="宋体"/>
        <family val="3"/>
        <charset val="134"/>
      </rPr>
      <t>投资利润</t>
    </r>
    <phoneticPr fontId="16" type="noConversion"/>
  </si>
  <si>
    <r>
      <rPr>
        <sz val="10"/>
        <color indexed="8"/>
        <rFont val="宋体"/>
        <family val="3"/>
        <charset val="134"/>
      </rPr>
      <t>估价对象及取得税费应计的利润</t>
    </r>
    <phoneticPr fontId="16"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</si>
  <si>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</si>
  <si>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）应计的利润</t>
    </r>
    <phoneticPr fontId="16" type="noConversion"/>
  </si>
  <si>
    <r>
      <rPr>
        <sz val="10"/>
        <color indexed="8"/>
        <rFont val="宋体"/>
        <family val="3"/>
        <charset val="134"/>
      </rPr>
      <t>（</t>
    </r>
    <r>
      <rPr>
        <sz val="10"/>
        <color indexed="8"/>
        <rFont val="Arial"/>
        <family val="2"/>
      </rPr>
      <t>7</t>
    </r>
    <r>
      <rPr>
        <sz val="10"/>
        <color indexed="8"/>
        <rFont val="宋体"/>
        <family val="3"/>
        <charset val="134"/>
      </rPr>
      <t>）</t>
    </r>
    <phoneticPr fontId="18" type="noConversion"/>
  </si>
  <si>
    <r>
      <rPr>
        <b/>
        <sz val="11"/>
        <color indexed="8"/>
        <rFont val="宋体"/>
        <family val="3"/>
        <charset val="134"/>
      </rPr>
      <t>销售税费</t>
    </r>
    <phoneticPr fontId="16"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</si>
  <si>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6" type="noConversion"/>
  </si>
  <si>
    <r>
      <t>3.</t>
    </r>
    <r>
      <rPr>
        <b/>
        <sz val="11"/>
        <color indexed="8"/>
        <rFont val="宋体"/>
        <family val="3"/>
        <charset val="134"/>
      </rPr>
      <t>开发价值（</t>
    </r>
    <r>
      <rPr>
        <b/>
        <sz val="11"/>
        <color indexed="8"/>
        <rFont val="Arial"/>
        <family val="2"/>
      </rPr>
      <t>V</t>
    </r>
    <r>
      <rPr>
        <b/>
        <sz val="11"/>
        <color indexed="8"/>
        <rFont val="宋体"/>
        <family val="3"/>
        <charset val="134"/>
      </rPr>
      <t>）</t>
    </r>
    <phoneticPr fontId="18" type="noConversion"/>
  </si>
  <si>
    <r>
      <rPr>
        <b/>
        <sz val="12"/>
        <color indexed="8"/>
        <rFont val="宋体"/>
        <family val="3"/>
        <charset val="134"/>
      </rPr>
      <t>估价对象价值</t>
    </r>
    <r>
      <rPr>
        <b/>
        <sz val="12"/>
        <color indexed="8"/>
        <rFont val="Arial"/>
        <family val="2"/>
      </rPr>
      <t>=1-2</t>
    </r>
    <phoneticPr fontId="16" type="noConversion"/>
  </si>
  <si>
    <r>
      <rPr>
        <sz val="11"/>
        <color theme="1"/>
        <rFont val="宋体"/>
        <family val="3"/>
        <charset val="134"/>
      </rPr>
      <t>万元</t>
    </r>
  </si>
  <si>
    <r>
      <rPr>
        <b/>
        <sz val="11"/>
        <color theme="1"/>
        <rFont val="宋体"/>
        <family val="3"/>
        <charset val="134"/>
      </rPr>
      <t>汇总建筑面积</t>
    </r>
    <phoneticPr fontId="140" type="noConversion"/>
  </si>
  <si>
    <r>
      <rPr>
        <b/>
        <sz val="11"/>
        <color theme="1"/>
        <rFont val="宋体"/>
        <family val="3"/>
        <charset val="134"/>
      </rPr>
      <t>本次评估所采用的收益法</t>
    </r>
    <phoneticPr fontId="140" type="noConversion"/>
  </si>
  <si>
    <r>
      <rPr>
        <b/>
        <sz val="11"/>
        <color theme="1"/>
        <rFont val="宋体"/>
        <family val="3"/>
        <charset val="134"/>
      </rPr>
      <t>估价结果</t>
    </r>
    <phoneticPr fontId="140" type="noConversion"/>
  </si>
  <si>
    <r>
      <rPr>
        <b/>
        <sz val="11"/>
        <color theme="1"/>
        <rFont val="宋体"/>
        <family val="3"/>
        <charset val="134"/>
      </rPr>
      <t>建筑面积</t>
    </r>
    <phoneticPr fontId="140" type="noConversion"/>
  </si>
  <si>
    <r>
      <rPr>
        <sz val="11"/>
        <color theme="1"/>
        <rFont val="宋体"/>
        <family val="3"/>
        <charset val="134"/>
      </rPr>
      <t>是否参与计算</t>
    </r>
    <phoneticPr fontId="140" type="noConversion"/>
  </si>
  <si>
    <r>
      <rPr>
        <sz val="11"/>
        <color theme="1"/>
        <rFont val="宋体"/>
        <family val="3"/>
        <charset val="134"/>
      </rPr>
      <t>是</t>
    </r>
  </si>
  <si>
    <r>
      <rPr>
        <b/>
        <sz val="16"/>
        <color rgb="FFFF0000"/>
        <rFont val="宋体"/>
        <family val="3"/>
        <charset val="134"/>
      </rPr>
      <t>收益法（汇总）</t>
    </r>
    <phoneticPr fontId="3" type="noConversion"/>
  </si>
  <si>
    <r>
      <rPr>
        <sz val="11"/>
        <color theme="1"/>
        <rFont val="宋体"/>
        <family val="3"/>
        <charset val="134"/>
      </rPr>
      <t>元</t>
    </r>
    <r>
      <rPr>
        <sz val="11"/>
        <color theme="1"/>
        <rFont val="Arial"/>
        <family val="2"/>
      </rPr>
      <t>/</t>
    </r>
    <r>
      <rPr>
        <sz val="11"/>
        <color theme="1"/>
        <rFont val="宋体"/>
        <family val="3"/>
        <charset val="134"/>
      </rPr>
      <t>平方米</t>
    </r>
  </si>
  <si>
    <r>
      <rPr>
        <b/>
        <sz val="16"/>
        <color rgb="FFFF0000"/>
        <rFont val="宋体"/>
        <family val="3"/>
        <charset val="134"/>
      </rPr>
      <t>比较法</t>
    </r>
    <phoneticPr fontId="3" type="noConversion"/>
  </si>
  <si>
    <r>
      <rPr>
        <b/>
        <sz val="16"/>
        <rFont val="宋体"/>
        <family val="3"/>
        <charset val="134"/>
      </rPr>
      <t>住宅</t>
    </r>
    <phoneticPr fontId="3" type="noConversion"/>
  </si>
  <si>
    <r>
      <rPr>
        <b/>
        <sz val="16"/>
        <rFont val="宋体"/>
        <family val="3"/>
        <charset val="134"/>
      </rPr>
      <t>─</t>
    </r>
    <phoneticPr fontId="25" type="noConversion"/>
  </si>
  <si>
    <r>
      <rPr>
        <b/>
        <sz val="16"/>
        <rFont val="宋体"/>
        <family val="3"/>
        <charset val="134"/>
      </rPr>
      <t>售价</t>
    </r>
  </si>
  <si>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</si>
  <si>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万元</t>
    </r>
    <phoneticPr fontId="18"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</si>
  <si>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</si>
  <si>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</si>
  <si>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</si>
  <si>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</si>
  <si>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</si>
  <si>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</si>
  <si>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</si>
  <si>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</si>
  <si>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theme="9" tint="-0.249977111117893"/>
        <rFont val="宋体"/>
        <family val="3"/>
        <charset val="134"/>
      </rPr>
      <t>估价对象名称</t>
    </r>
    <phoneticPr fontId="3"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</si>
  <si>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</si>
  <si>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</si>
  <si>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3" type="noConversion"/>
  </si>
  <si>
    <r>
      <rPr>
        <sz val="11"/>
        <color theme="9" tint="-0.249977111117893"/>
        <rFont val="宋体"/>
        <family val="3"/>
        <charset val="134"/>
      </rPr>
      <t>项目位置</t>
    </r>
    <phoneticPr fontId="3" type="noConversion"/>
  </si>
  <si>
    <r>
      <rPr>
        <sz val="11"/>
        <color indexed="8"/>
        <rFont val="宋体"/>
        <family val="3"/>
        <charset val="134"/>
      </rPr>
      <t>系数</t>
    </r>
    <r>
      <rPr>
        <sz val="11"/>
        <color indexed="8"/>
        <rFont val="Arial"/>
        <family val="2"/>
      </rPr>
      <t>%</t>
    </r>
    <phoneticPr fontId="3" type="noConversion"/>
  </si>
  <si>
    <r>
      <rPr>
        <b/>
        <sz val="11"/>
        <color indexed="8"/>
        <rFont val="宋体"/>
        <family val="3"/>
        <charset val="134"/>
      </rPr>
      <t>交易时间</t>
    </r>
    <phoneticPr fontId="3" type="noConversion"/>
  </si>
  <si>
    <r>
      <rPr>
        <sz val="11"/>
        <color indexed="8"/>
        <rFont val="宋体"/>
        <family val="3"/>
        <charset val="134"/>
      </rPr>
      <t>交易时间</t>
    </r>
    <phoneticPr fontId="3" type="noConversion"/>
  </si>
  <si>
    <r>
      <rPr>
        <b/>
        <sz val="11"/>
        <color indexed="8"/>
        <rFont val="宋体"/>
        <family val="3"/>
        <charset val="134"/>
      </rPr>
      <t>交易情况</t>
    </r>
    <phoneticPr fontId="3" type="noConversion"/>
  </si>
  <si>
    <r>
      <rPr>
        <sz val="11"/>
        <color indexed="8"/>
        <rFont val="宋体"/>
        <family val="3"/>
        <charset val="134"/>
      </rPr>
      <t>正常</t>
    </r>
  </si>
  <si>
    <r>
      <rPr>
        <sz val="11"/>
        <color indexed="8"/>
        <rFont val="宋体"/>
        <family val="3"/>
        <charset val="134"/>
      </rPr>
      <t>交易情况</t>
    </r>
    <phoneticPr fontId="3" type="noConversion"/>
  </si>
  <si>
    <r>
      <rPr>
        <b/>
        <sz val="11"/>
        <color indexed="8"/>
        <rFont val="宋体"/>
        <family val="3"/>
        <charset val="134"/>
      </rPr>
      <t>权益状况</t>
    </r>
    <phoneticPr fontId="3" type="noConversion"/>
  </si>
  <si>
    <r>
      <rPr>
        <sz val="11"/>
        <color indexed="8"/>
        <rFont val="宋体"/>
        <family val="3"/>
        <charset val="134"/>
      </rPr>
      <t>用途</t>
    </r>
    <phoneticPr fontId="3" type="noConversion"/>
  </si>
  <si>
    <r>
      <rPr>
        <sz val="11"/>
        <rFont val="宋体"/>
        <family val="3"/>
        <charset val="134"/>
      </rPr>
      <t>权益状况</t>
    </r>
    <phoneticPr fontId="3" type="noConversion"/>
  </si>
  <si>
    <r>
      <rPr>
        <sz val="11"/>
        <color indexed="8"/>
        <rFont val="宋体"/>
        <family val="3"/>
        <charset val="134"/>
      </rPr>
      <t>权益状况</t>
    </r>
    <phoneticPr fontId="3" type="noConversion"/>
  </si>
  <si>
    <r>
      <rPr>
        <sz val="11"/>
        <color indexed="8"/>
        <rFont val="宋体"/>
        <family val="3"/>
        <charset val="134"/>
      </rPr>
      <t>土地使用年限（年）</t>
    </r>
    <phoneticPr fontId="3" type="noConversion"/>
  </si>
  <si>
    <r>
      <rPr>
        <sz val="11"/>
        <color indexed="8"/>
        <rFont val="宋体"/>
        <family val="3"/>
        <charset val="134"/>
      </rPr>
      <t>容积率</t>
    </r>
    <phoneticPr fontId="3" type="noConversion"/>
  </si>
  <si>
    <r>
      <rPr>
        <b/>
        <sz val="11"/>
        <rFont val="宋体"/>
        <family val="3"/>
        <charset val="134"/>
      </rPr>
      <t>区位状况</t>
    </r>
    <phoneticPr fontId="3" type="noConversion"/>
  </si>
  <si>
    <r>
      <rPr>
        <sz val="11"/>
        <rFont val="宋体"/>
        <family val="3"/>
        <charset val="134"/>
      </rPr>
      <t>区位状况</t>
    </r>
    <phoneticPr fontId="3" type="noConversion"/>
  </si>
  <si>
    <r>
      <rPr>
        <sz val="11"/>
        <color indexed="8"/>
        <rFont val="宋体"/>
        <family val="3"/>
        <charset val="134"/>
      </rPr>
      <t>楼层</t>
    </r>
    <r>
      <rPr>
        <sz val="11"/>
        <color indexed="8"/>
        <rFont val="Arial"/>
        <family val="2"/>
      </rPr>
      <t>-1</t>
    </r>
    <phoneticPr fontId="25" type="noConversion"/>
  </si>
  <si>
    <r>
      <rPr>
        <sz val="11"/>
        <color indexed="8"/>
        <rFont val="宋体"/>
        <family val="3"/>
        <charset val="134"/>
      </rPr>
      <t>朝向</t>
    </r>
  </si>
  <si>
    <r>
      <rPr>
        <b/>
        <sz val="11"/>
        <rFont val="宋体"/>
        <family val="3"/>
        <charset val="134"/>
      </rPr>
      <t>实物状况</t>
    </r>
    <phoneticPr fontId="3" type="noConversion"/>
  </si>
  <si>
    <r>
      <rPr>
        <sz val="11"/>
        <color indexed="8"/>
        <rFont val="宋体"/>
        <family val="3"/>
        <charset val="134"/>
      </rPr>
      <t>建筑类型</t>
    </r>
  </si>
  <si>
    <r>
      <rPr>
        <sz val="11"/>
        <rFont val="宋体"/>
        <family val="3"/>
        <charset val="134"/>
      </rPr>
      <t>实物状况</t>
    </r>
    <phoneticPr fontId="3"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</si>
  <si>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</si>
  <si>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</si>
  <si>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</si>
  <si>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</si>
  <si>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</si>
  <si>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</si>
  <si>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5"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</si>
  <si>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</si>
  <si>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3"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</si>
  <si>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</si>
  <si>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</si>
  <si>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3"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</si>
  <si>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</si>
  <si>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</si>
  <si>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</si>
  <si>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</si>
  <si>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</si>
  <si>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</si>
  <si>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</si>
  <si>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5" type="noConversion"/>
  </si>
  <si>
    <r>
      <rPr>
        <b/>
        <sz val="11"/>
        <color indexed="8"/>
        <rFont val="宋体"/>
        <family val="3"/>
        <charset val="134"/>
      </rPr>
      <t>交易情况</t>
    </r>
    <phoneticPr fontId="3" type="noConversion"/>
  </si>
  <si>
    <r>
      <rPr>
        <sz val="11"/>
        <color indexed="8"/>
        <rFont val="宋体"/>
        <family val="3"/>
        <charset val="134"/>
      </rPr>
      <t>正常</t>
    </r>
    <phoneticPr fontId="25" type="noConversion"/>
  </si>
  <si>
    <r>
      <rPr>
        <b/>
        <sz val="11"/>
        <rFont val="宋体"/>
        <family val="3"/>
        <charset val="134"/>
      </rPr>
      <t>权益状况</t>
    </r>
    <phoneticPr fontId="3" type="noConversion"/>
  </si>
  <si>
    <r>
      <t>60-70</t>
    </r>
    <r>
      <rPr>
        <sz val="11"/>
        <rFont val="宋体"/>
        <family val="3"/>
        <charset val="134"/>
      </rPr>
      <t>（含）</t>
    </r>
    <phoneticPr fontId="25" type="noConversion"/>
  </si>
  <si>
    <r>
      <t>50-60</t>
    </r>
    <r>
      <rPr>
        <sz val="11"/>
        <rFont val="宋体"/>
        <family val="3"/>
        <charset val="134"/>
      </rPr>
      <t>（含）</t>
    </r>
    <phoneticPr fontId="25" type="noConversion"/>
  </si>
  <si>
    <r>
      <t>40-50</t>
    </r>
    <r>
      <rPr>
        <sz val="11"/>
        <rFont val="宋体"/>
        <family val="3"/>
        <charset val="134"/>
      </rPr>
      <t>（含）</t>
    </r>
    <phoneticPr fontId="25" type="noConversion"/>
  </si>
  <si>
    <r>
      <t>30-40</t>
    </r>
    <r>
      <rPr>
        <sz val="11"/>
        <rFont val="宋体"/>
        <family val="3"/>
        <charset val="134"/>
      </rPr>
      <t>（含）</t>
    </r>
    <phoneticPr fontId="25" type="noConversion"/>
  </si>
  <si>
    <r>
      <t>20-30</t>
    </r>
    <r>
      <rPr>
        <sz val="11"/>
        <rFont val="宋体"/>
        <family val="3"/>
        <charset val="134"/>
      </rPr>
      <t>（含）</t>
    </r>
    <phoneticPr fontId="25" type="noConversion"/>
  </si>
  <si>
    <r>
      <t>10-20</t>
    </r>
    <r>
      <rPr>
        <sz val="11"/>
        <rFont val="宋体"/>
        <family val="3"/>
        <charset val="134"/>
      </rPr>
      <t>（含）</t>
    </r>
    <phoneticPr fontId="25" type="noConversion"/>
  </si>
  <si>
    <r>
      <t>0-10</t>
    </r>
    <r>
      <rPr>
        <sz val="11"/>
        <rFont val="宋体"/>
        <family val="3"/>
        <charset val="134"/>
      </rPr>
      <t>（含）</t>
    </r>
    <phoneticPr fontId="25" type="noConversion"/>
  </si>
  <si>
    <r>
      <rPr>
        <sz val="11"/>
        <color indexed="8"/>
        <rFont val="宋体"/>
        <family val="3"/>
        <charset val="134"/>
      </rPr>
      <t>居住社区成熟度</t>
    </r>
    <phoneticPr fontId="3" type="noConversion"/>
  </si>
  <si>
    <r>
      <rPr>
        <sz val="11"/>
        <color indexed="8"/>
        <rFont val="宋体"/>
        <family val="3"/>
        <charset val="134"/>
      </rPr>
      <t>好</t>
    </r>
    <phoneticPr fontId="3" type="noConversion"/>
  </si>
  <si>
    <r>
      <rPr>
        <sz val="11"/>
        <color indexed="8"/>
        <rFont val="宋体"/>
        <family val="3"/>
        <charset val="134"/>
      </rPr>
      <t>较好</t>
    </r>
    <phoneticPr fontId="3" type="noConversion"/>
  </si>
  <si>
    <r>
      <rPr>
        <sz val="11"/>
        <color indexed="8"/>
        <rFont val="宋体"/>
        <family val="3"/>
        <charset val="134"/>
      </rPr>
      <t>一般</t>
    </r>
    <phoneticPr fontId="3" type="noConversion"/>
  </si>
  <si>
    <r>
      <rPr>
        <sz val="11"/>
        <color indexed="8"/>
        <rFont val="宋体"/>
        <family val="3"/>
        <charset val="134"/>
      </rPr>
      <t>较差</t>
    </r>
    <phoneticPr fontId="3" type="noConversion"/>
  </si>
  <si>
    <r>
      <rPr>
        <sz val="11"/>
        <color indexed="8"/>
        <rFont val="宋体"/>
        <family val="3"/>
        <charset val="134"/>
      </rPr>
      <t>差</t>
    </r>
    <phoneticPr fontId="3" type="noConversion"/>
  </si>
  <si>
    <r>
      <rPr>
        <sz val="11"/>
        <color indexed="8"/>
        <rFont val="宋体"/>
        <family val="3"/>
        <charset val="134"/>
      </rPr>
      <t>交通便捷度</t>
    </r>
    <phoneticPr fontId="3" type="noConversion"/>
  </si>
  <si>
    <r>
      <rPr>
        <sz val="11"/>
        <color indexed="8"/>
        <rFont val="宋体"/>
        <family val="3"/>
        <charset val="134"/>
      </rPr>
      <t>公共配套设施</t>
    </r>
    <phoneticPr fontId="3" type="noConversion"/>
  </si>
  <si>
    <r>
      <rPr>
        <sz val="11"/>
        <rFont val="宋体"/>
        <family val="3"/>
        <charset val="134"/>
      </rPr>
      <t>七通</t>
    </r>
    <phoneticPr fontId="25" type="noConversion"/>
  </si>
  <si>
    <r>
      <rPr>
        <sz val="11"/>
        <rFont val="宋体"/>
        <family val="3"/>
        <charset val="134"/>
      </rPr>
      <t>六通</t>
    </r>
    <phoneticPr fontId="25" type="noConversion"/>
  </si>
  <si>
    <r>
      <rPr>
        <sz val="11"/>
        <rFont val="宋体"/>
        <family val="3"/>
        <charset val="134"/>
      </rPr>
      <t>五通</t>
    </r>
    <phoneticPr fontId="25" type="noConversion"/>
  </si>
  <si>
    <r>
      <rPr>
        <sz val="11"/>
        <rFont val="宋体"/>
        <family val="3"/>
        <charset val="134"/>
      </rPr>
      <t>四通</t>
    </r>
    <phoneticPr fontId="25" type="noConversion"/>
  </si>
  <si>
    <r>
      <rPr>
        <sz val="11"/>
        <rFont val="宋体"/>
        <family val="3"/>
        <charset val="134"/>
      </rPr>
      <t>三通</t>
    </r>
    <phoneticPr fontId="25" type="noConversion"/>
  </si>
  <si>
    <r>
      <rPr>
        <sz val="11"/>
        <color indexed="8"/>
        <rFont val="宋体"/>
        <family val="3"/>
        <charset val="134"/>
      </rPr>
      <t>自然及人文环境</t>
    </r>
    <phoneticPr fontId="3" type="noConversion"/>
  </si>
  <si>
    <r>
      <rPr>
        <sz val="11"/>
        <color indexed="8"/>
        <rFont val="宋体"/>
        <family val="3"/>
        <charset val="134"/>
      </rPr>
      <t>楼层</t>
    </r>
    <r>
      <rPr>
        <sz val="11"/>
        <color indexed="8"/>
        <rFont val="Arial"/>
        <family val="2"/>
      </rPr>
      <t>-1</t>
    </r>
    <phoneticPr fontId="3" type="noConversion"/>
  </si>
  <si>
    <r>
      <rPr>
        <sz val="11"/>
        <color indexed="8"/>
        <rFont val="宋体"/>
        <family val="3"/>
        <charset val="134"/>
      </rPr>
      <t>朝向</t>
    </r>
    <phoneticPr fontId="3" type="noConversion"/>
  </si>
  <si>
    <r>
      <rPr>
        <sz val="11"/>
        <color indexed="8"/>
        <rFont val="宋体"/>
        <family val="3"/>
        <charset val="134"/>
      </rPr>
      <t>建筑类型</t>
    </r>
    <phoneticPr fontId="3" type="noConversion"/>
  </si>
  <si>
    <r>
      <rPr>
        <sz val="11"/>
        <color indexed="8"/>
        <rFont val="宋体"/>
        <family val="3"/>
        <charset val="134"/>
      </rPr>
      <t>项目建筑规模</t>
    </r>
    <phoneticPr fontId="3" type="noConversion"/>
  </si>
  <si>
    <r>
      <rPr>
        <sz val="11"/>
        <color indexed="8"/>
        <rFont val="宋体"/>
        <family val="3"/>
        <charset val="134"/>
      </rPr>
      <t>建筑结构</t>
    </r>
    <phoneticPr fontId="3" type="noConversion"/>
  </si>
  <si>
    <r>
      <rPr>
        <sz val="11"/>
        <color indexed="8"/>
        <rFont val="宋体"/>
        <family val="3"/>
        <charset val="134"/>
      </rPr>
      <t>建筑品质</t>
    </r>
    <phoneticPr fontId="3" type="noConversion"/>
  </si>
  <si>
    <r>
      <rPr>
        <sz val="11"/>
        <color indexed="8"/>
        <rFont val="宋体"/>
        <family val="3"/>
        <charset val="134"/>
      </rPr>
      <t>公共部分装修</t>
    </r>
    <phoneticPr fontId="3" type="noConversion"/>
  </si>
  <si>
    <r>
      <rPr>
        <sz val="11"/>
        <color indexed="8"/>
        <rFont val="宋体"/>
        <family val="3"/>
        <charset val="134"/>
      </rPr>
      <t>物业管理</t>
    </r>
    <phoneticPr fontId="3" type="noConversion"/>
  </si>
  <si>
    <r>
      <rPr>
        <sz val="11"/>
        <color indexed="8"/>
        <rFont val="宋体"/>
        <family val="3"/>
        <charset val="134"/>
      </rPr>
      <t>市政基础设施</t>
    </r>
    <phoneticPr fontId="3" type="noConversion"/>
  </si>
  <si>
    <r>
      <rPr>
        <sz val="11"/>
        <color indexed="8"/>
        <rFont val="宋体"/>
        <family val="3"/>
        <charset val="134"/>
      </rPr>
      <t>房型</t>
    </r>
    <phoneticPr fontId="3" type="noConversion"/>
  </si>
  <si>
    <r>
      <rPr>
        <sz val="11"/>
        <color indexed="8"/>
        <rFont val="宋体"/>
        <family val="3"/>
        <charset val="134"/>
      </rPr>
      <t>内部装修</t>
    </r>
    <phoneticPr fontId="3" type="noConversion"/>
  </si>
  <si>
    <r>
      <rPr>
        <sz val="11"/>
        <color indexed="8"/>
        <rFont val="宋体"/>
        <family val="3"/>
        <charset val="134"/>
      </rPr>
      <t>内部装修维护情况</t>
    </r>
    <phoneticPr fontId="3"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</si>
  <si>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3" type="noConversion"/>
  </si>
  <si>
    <r>
      <rPr>
        <sz val="11"/>
        <color theme="1"/>
        <rFont val="宋体"/>
        <family val="3"/>
        <charset val="134"/>
      </rPr>
      <t>多层</t>
    </r>
    <phoneticPr fontId="3" type="noConversion"/>
  </si>
  <si>
    <r>
      <rPr>
        <sz val="11"/>
        <color theme="1"/>
        <rFont val="宋体"/>
        <family val="3"/>
        <charset val="134"/>
      </rPr>
      <t>高层</t>
    </r>
    <phoneticPr fontId="3" type="noConversion"/>
  </si>
  <si>
    <r>
      <rPr>
        <sz val="11"/>
        <color theme="1"/>
        <rFont val="宋体"/>
        <family val="3"/>
        <charset val="134"/>
      </rPr>
      <t>无电梯</t>
    </r>
    <phoneticPr fontId="3" type="noConversion"/>
  </si>
  <si>
    <r>
      <rPr>
        <sz val="11"/>
        <color theme="1"/>
        <rFont val="宋体"/>
        <family val="3"/>
        <charset val="134"/>
      </rPr>
      <t>增值项</t>
    </r>
    <phoneticPr fontId="3" type="noConversion"/>
  </si>
  <si>
    <r>
      <rPr>
        <sz val="11"/>
        <color theme="1"/>
        <rFont val="宋体"/>
        <family val="3"/>
        <charset val="134"/>
      </rPr>
      <t>系数</t>
    </r>
    <phoneticPr fontId="3" type="noConversion"/>
  </si>
  <si>
    <r>
      <rPr>
        <sz val="11"/>
        <color theme="1"/>
        <rFont val="宋体"/>
        <family val="3"/>
        <charset val="134"/>
      </rPr>
      <t>有电梯</t>
    </r>
    <phoneticPr fontId="3"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</si>
  <si>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3" type="noConversion"/>
  </si>
  <si>
    <r>
      <rPr>
        <sz val="11"/>
        <color theme="1"/>
        <rFont val="宋体"/>
        <family val="3"/>
        <charset val="134"/>
      </rPr>
      <t>层差</t>
    </r>
    <r>
      <rPr>
        <sz val="11"/>
        <color theme="1"/>
        <rFont val="Arial"/>
        <family val="2"/>
      </rPr>
      <t>/</t>
    </r>
    <r>
      <rPr>
        <sz val="11"/>
        <color theme="1"/>
        <rFont val="宋体"/>
        <family val="3"/>
        <charset val="134"/>
      </rPr>
      <t>系数</t>
    </r>
    <phoneticPr fontId="3" type="noConversion"/>
  </si>
  <si>
    <r>
      <rPr>
        <sz val="11"/>
        <color theme="1"/>
        <rFont val="宋体"/>
        <family val="3"/>
        <charset val="134"/>
      </rPr>
      <t>露台</t>
    </r>
    <phoneticPr fontId="3" type="noConversion"/>
  </si>
  <si>
    <r>
      <rPr>
        <sz val="11"/>
        <color theme="1"/>
        <rFont val="宋体"/>
        <family val="3"/>
        <charset val="134"/>
      </rPr>
      <t>总层数</t>
    </r>
    <phoneticPr fontId="3" type="noConversion"/>
  </si>
  <si>
    <r>
      <rPr>
        <sz val="11"/>
        <color theme="1"/>
        <rFont val="宋体"/>
        <family val="3"/>
        <charset val="134"/>
      </rPr>
      <t>中间层</t>
    </r>
    <phoneticPr fontId="3" type="noConversion"/>
  </si>
  <si>
    <r>
      <rPr>
        <sz val="11"/>
        <color theme="1"/>
        <rFont val="宋体"/>
        <family val="3"/>
        <charset val="134"/>
      </rPr>
      <t>首层</t>
    </r>
    <phoneticPr fontId="3" type="noConversion"/>
  </si>
  <si>
    <r>
      <rPr>
        <sz val="11"/>
        <color theme="1"/>
        <rFont val="宋体"/>
        <family val="3"/>
        <charset val="134"/>
      </rPr>
      <t>顶层</t>
    </r>
    <phoneticPr fontId="3" type="noConversion"/>
  </si>
  <si>
    <r>
      <rPr>
        <sz val="11"/>
        <color theme="1"/>
        <rFont val="宋体"/>
        <family val="3"/>
        <charset val="134"/>
      </rPr>
      <t>所在楼层</t>
    </r>
    <phoneticPr fontId="3" type="noConversion"/>
  </si>
  <si>
    <r>
      <rPr>
        <sz val="11"/>
        <color theme="1"/>
        <rFont val="宋体"/>
        <family val="3"/>
        <charset val="134"/>
      </rPr>
      <t>花园</t>
    </r>
    <phoneticPr fontId="3" type="noConversion"/>
  </si>
  <si>
    <r>
      <rPr>
        <sz val="11"/>
        <color theme="1"/>
        <rFont val="宋体"/>
        <family val="3"/>
        <charset val="134"/>
      </rPr>
      <t>最高最低差</t>
    </r>
    <phoneticPr fontId="3" type="noConversion"/>
  </si>
  <si>
    <r>
      <rPr>
        <sz val="12"/>
        <rFont val="宋体"/>
        <family val="3"/>
        <charset val="134"/>
      </rPr>
      <t>注意于无电梯多层的价值匹配</t>
    </r>
    <phoneticPr fontId="3" type="noConversion"/>
  </si>
  <si>
    <r>
      <rPr>
        <sz val="11"/>
        <color rgb="FFFF0000"/>
        <rFont val="宋体"/>
        <family val="3"/>
        <charset val="134"/>
      </rPr>
      <t>修正体系描述方式：</t>
    </r>
    <phoneticPr fontId="3"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</si>
  <si>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3" type="noConversion"/>
  </si>
  <si>
    <r>
      <rPr>
        <b/>
        <sz val="16"/>
        <rFont val="宋体"/>
        <family val="3"/>
        <charset val="134"/>
      </rPr>
      <t>商业</t>
    </r>
    <phoneticPr fontId="3"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</si>
  <si>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</si>
  <si>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</si>
  <si>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</si>
  <si>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</si>
  <si>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</si>
  <si>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</si>
  <si>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</si>
  <si>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</si>
  <si>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</si>
  <si>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indexed="8"/>
        <rFont val="宋体"/>
        <family val="3"/>
        <charset val="134"/>
      </rPr>
      <t>正常</t>
    </r>
    <phoneticPr fontId="25" type="noConversion"/>
  </si>
  <si>
    <r>
      <rPr>
        <sz val="11"/>
        <color indexed="8"/>
        <rFont val="宋体"/>
        <family val="3"/>
        <charset val="134"/>
      </rPr>
      <t>商业繁华度</t>
    </r>
    <phoneticPr fontId="31" type="noConversion"/>
  </si>
  <si>
    <r>
      <rPr>
        <sz val="11"/>
        <color indexed="8"/>
        <rFont val="宋体"/>
        <family val="3"/>
        <charset val="134"/>
      </rPr>
      <t>公共配套设施</t>
    </r>
    <phoneticPr fontId="31" type="noConversion"/>
  </si>
  <si>
    <r>
      <rPr>
        <sz val="11"/>
        <color indexed="8"/>
        <rFont val="宋体"/>
        <family val="3"/>
        <charset val="134"/>
      </rPr>
      <t>基础设施水平</t>
    </r>
    <phoneticPr fontId="31" type="noConversion"/>
  </si>
  <si>
    <r>
      <rPr>
        <sz val="11"/>
        <color indexed="8"/>
        <rFont val="宋体"/>
        <family val="3"/>
        <charset val="134"/>
      </rPr>
      <t>临街状况</t>
    </r>
    <phoneticPr fontId="31"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</si>
  <si>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31" type="noConversion"/>
  </si>
  <si>
    <r>
      <rPr>
        <sz val="11"/>
        <color indexed="8"/>
        <rFont val="宋体"/>
        <family val="3"/>
        <charset val="134"/>
      </rPr>
      <t>人流量</t>
    </r>
    <phoneticPr fontId="31" type="noConversion"/>
  </si>
  <si>
    <r>
      <rPr>
        <sz val="11"/>
        <color indexed="8"/>
        <rFont val="宋体"/>
        <family val="3"/>
        <charset val="134"/>
      </rPr>
      <t>楼层</t>
    </r>
    <phoneticPr fontId="31" type="noConversion"/>
  </si>
  <si>
    <r>
      <rPr>
        <sz val="11"/>
        <color indexed="8"/>
        <rFont val="宋体"/>
        <family val="3"/>
        <charset val="134"/>
      </rPr>
      <t>商业类型</t>
    </r>
    <phoneticPr fontId="31" type="noConversion"/>
  </si>
  <si>
    <r>
      <rPr>
        <sz val="11"/>
        <color indexed="8"/>
        <rFont val="宋体"/>
        <family val="3"/>
        <charset val="134"/>
      </rPr>
      <t>公共部分装修</t>
    </r>
    <phoneticPr fontId="31" type="noConversion"/>
  </si>
  <si>
    <r>
      <rPr>
        <sz val="11"/>
        <color indexed="8"/>
        <rFont val="宋体"/>
        <family val="3"/>
        <charset val="134"/>
      </rPr>
      <t>成新度</t>
    </r>
    <phoneticPr fontId="31" type="noConversion"/>
  </si>
  <si>
    <r>
      <rPr>
        <sz val="11"/>
        <color indexed="8"/>
        <rFont val="宋体"/>
        <family val="3"/>
        <charset val="134"/>
      </rPr>
      <t>市政基础设施</t>
    </r>
    <phoneticPr fontId="31" type="noConversion"/>
  </si>
  <si>
    <r>
      <rPr>
        <sz val="11"/>
        <color indexed="8"/>
        <rFont val="宋体"/>
        <family val="3"/>
        <charset val="134"/>
      </rPr>
      <t>业态</t>
    </r>
    <phoneticPr fontId="31" type="noConversion"/>
  </si>
  <si>
    <r>
      <rPr>
        <sz val="11"/>
        <color indexed="8"/>
        <rFont val="宋体"/>
        <family val="3"/>
        <charset val="134"/>
      </rPr>
      <t>层高</t>
    </r>
    <phoneticPr fontId="31" type="noConversion"/>
  </si>
  <si>
    <r>
      <rPr>
        <sz val="11"/>
        <color indexed="8"/>
        <rFont val="宋体"/>
        <family val="3"/>
        <charset val="134"/>
      </rPr>
      <t>单套建筑面积</t>
    </r>
    <phoneticPr fontId="31" type="noConversion"/>
  </si>
  <si>
    <r>
      <rPr>
        <sz val="11"/>
        <rFont val="宋体"/>
        <family val="3"/>
        <charset val="134"/>
      </rPr>
      <t>进深比</t>
    </r>
    <phoneticPr fontId="3" type="noConversion"/>
  </si>
  <si>
    <r>
      <rPr>
        <sz val="11"/>
        <color indexed="8"/>
        <rFont val="宋体"/>
        <family val="3"/>
        <charset val="134"/>
      </rPr>
      <t>内部装修</t>
    </r>
    <phoneticPr fontId="31"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</si>
  <si>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</si>
  <si>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</si>
  <si>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</si>
  <si>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</si>
  <si>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</si>
  <si>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</si>
  <si>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sz val="11"/>
        <rFont val="宋体"/>
        <family val="3"/>
        <charset val="134"/>
      </rPr>
      <t>七通</t>
    </r>
    <phoneticPr fontId="31" type="noConversion"/>
  </si>
  <si>
    <r>
      <rPr>
        <sz val="11"/>
        <rFont val="宋体"/>
        <family val="3"/>
        <charset val="134"/>
      </rPr>
      <t>六通</t>
    </r>
    <phoneticPr fontId="31" type="noConversion"/>
  </si>
  <si>
    <r>
      <rPr>
        <sz val="11"/>
        <rFont val="宋体"/>
        <family val="3"/>
        <charset val="134"/>
      </rPr>
      <t>五通</t>
    </r>
    <phoneticPr fontId="31" type="noConversion"/>
  </si>
  <si>
    <r>
      <rPr>
        <sz val="11"/>
        <rFont val="宋体"/>
        <family val="3"/>
        <charset val="134"/>
      </rPr>
      <t>四通</t>
    </r>
    <phoneticPr fontId="31" type="noConversion"/>
  </si>
  <si>
    <r>
      <rPr>
        <sz val="11"/>
        <rFont val="宋体"/>
        <family val="3"/>
        <charset val="134"/>
      </rPr>
      <t>三通</t>
    </r>
    <phoneticPr fontId="31" type="noConversion"/>
  </si>
  <si>
    <r>
      <rPr>
        <sz val="11"/>
        <color indexed="8"/>
        <rFont val="宋体"/>
        <family val="3"/>
        <charset val="134"/>
      </rPr>
      <t>临街状况</t>
    </r>
    <phoneticPr fontId="3" type="noConversion"/>
  </si>
  <si>
    <r>
      <rPr>
        <sz val="11"/>
        <color indexed="8"/>
        <rFont val="宋体"/>
        <family val="3"/>
        <charset val="134"/>
      </rPr>
      <t>商业类型</t>
    </r>
    <phoneticPr fontId="3" type="noConversion"/>
  </si>
  <si>
    <r>
      <rPr>
        <sz val="11"/>
        <color indexed="8"/>
        <rFont val="宋体"/>
        <family val="3"/>
        <charset val="134"/>
      </rPr>
      <t>业态</t>
    </r>
    <phoneticPr fontId="3" type="noConversion"/>
  </si>
  <si>
    <r>
      <rPr>
        <sz val="11"/>
        <color indexed="8"/>
        <rFont val="宋体"/>
        <family val="3"/>
        <charset val="134"/>
      </rPr>
      <t>层高</t>
    </r>
    <phoneticPr fontId="3" type="noConversion"/>
  </si>
  <si>
    <r>
      <rPr>
        <sz val="11"/>
        <color indexed="8"/>
        <rFont val="宋体"/>
        <family val="3"/>
        <charset val="134"/>
      </rPr>
      <t>单套建筑面积</t>
    </r>
    <phoneticPr fontId="3" type="noConversion"/>
  </si>
  <si>
    <r>
      <rPr>
        <sz val="11"/>
        <color indexed="8"/>
        <rFont val="宋体"/>
        <family val="3"/>
        <charset val="134"/>
      </rPr>
      <t>进深比</t>
    </r>
    <phoneticPr fontId="3" type="noConversion"/>
  </si>
  <si>
    <r>
      <rPr>
        <b/>
        <sz val="16"/>
        <rFont val="宋体"/>
        <family val="3"/>
        <charset val="134"/>
      </rPr>
      <t>办公</t>
    </r>
    <phoneticPr fontId="31" type="noConversion"/>
  </si>
  <si>
    <r>
      <rPr>
        <sz val="11"/>
        <color indexed="8"/>
        <rFont val="宋体"/>
        <family val="3"/>
        <charset val="134"/>
      </rPr>
      <t>办公集聚程度</t>
    </r>
    <phoneticPr fontId="31" type="noConversion"/>
  </si>
  <si>
    <r>
      <rPr>
        <sz val="11"/>
        <color indexed="8"/>
        <rFont val="宋体"/>
        <family val="3"/>
        <charset val="134"/>
      </rPr>
      <t>公共配套设施</t>
    </r>
    <phoneticPr fontId="32" type="noConversion"/>
  </si>
  <si>
    <r>
      <rPr>
        <sz val="11"/>
        <color indexed="8"/>
        <rFont val="宋体"/>
        <family val="3"/>
        <charset val="134"/>
      </rPr>
      <t>基础设施水平</t>
    </r>
    <phoneticPr fontId="32" type="noConversion"/>
  </si>
  <si>
    <r>
      <rPr>
        <sz val="11"/>
        <color indexed="8"/>
        <rFont val="宋体"/>
        <family val="3"/>
        <charset val="134"/>
      </rPr>
      <t>环境质量</t>
    </r>
    <phoneticPr fontId="32" type="noConversion"/>
  </si>
  <si>
    <r>
      <rPr>
        <sz val="11"/>
        <color indexed="8"/>
        <rFont val="宋体"/>
        <family val="3"/>
        <charset val="134"/>
      </rPr>
      <t>毗邻道路的类型与等级</t>
    </r>
    <phoneticPr fontId="31" type="noConversion"/>
  </si>
  <si>
    <r>
      <rPr>
        <sz val="11"/>
        <color indexed="8"/>
        <rFont val="宋体"/>
        <family val="3"/>
        <charset val="134"/>
      </rPr>
      <t>朝向</t>
    </r>
    <phoneticPr fontId="31" type="noConversion"/>
  </si>
  <si>
    <r>
      <rPr>
        <sz val="11"/>
        <color indexed="8"/>
        <rFont val="宋体"/>
        <family val="3"/>
        <charset val="134"/>
      </rPr>
      <t>建筑类型</t>
    </r>
    <phoneticPr fontId="31" type="noConversion"/>
  </si>
  <si>
    <r>
      <rPr>
        <sz val="11"/>
        <color indexed="8"/>
        <rFont val="宋体"/>
        <family val="3"/>
        <charset val="134"/>
      </rPr>
      <t>写字楼等级</t>
    </r>
    <phoneticPr fontId="31" type="noConversion"/>
  </si>
  <si>
    <r>
      <rPr>
        <sz val="11"/>
        <color indexed="8"/>
        <rFont val="宋体"/>
        <family val="3"/>
        <charset val="134"/>
      </rPr>
      <t>物业管理</t>
    </r>
    <phoneticPr fontId="31" type="noConversion"/>
  </si>
  <si>
    <r>
      <rPr>
        <sz val="11"/>
        <rFont val="宋体"/>
        <family val="3"/>
        <charset val="134"/>
      </rPr>
      <t>单套建筑面积</t>
    </r>
    <phoneticPr fontId="3" type="noConversion"/>
  </si>
  <si>
    <r>
      <rPr>
        <sz val="11"/>
        <color indexed="8"/>
        <rFont val="宋体"/>
        <family val="3"/>
        <charset val="134"/>
      </rPr>
      <t>办公集聚程度</t>
    </r>
    <phoneticPr fontId="3" type="noConversion"/>
  </si>
  <si>
    <r>
      <rPr>
        <sz val="11"/>
        <color indexed="8"/>
        <rFont val="宋体"/>
        <family val="3"/>
        <charset val="134"/>
      </rPr>
      <t>环境质量</t>
    </r>
    <phoneticPr fontId="3" type="noConversion"/>
  </si>
  <si>
    <r>
      <rPr>
        <sz val="11"/>
        <color indexed="8"/>
        <rFont val="宋体"/>
        <family val="3"/>
        <charset val="134"/>
      </rPr>
      <t>毗邻道路的类型与等级</t>
    </r>
    <phoneticPr fontId="3" type="noConversion"/>
  </si>
  <si>
    <r>
      <rPr>
        <sz val="11"/>
        <color indexed="8"/>
        <rFont val="宋体"/>
        <family val="3"/>
        <charset val="134"/>
      </rPr>
      <t>写字楼等级</t>
    </r>
    <phoneticPr fontId="3" type="noConversion"/>
  </si>
  <si>
    <r>
      <rPr>
        <sz val="11"/>
        <rFont val="宋体"/>
        <family val="3"/>
        <charset val="134"/>
      </rPr>
      <t>层高</t>
    </r>
    <phoneticPr fontId="3" type="noConversion"/>
  </si>
  <si>
    <r>
      <rPr>
        <b/>
        <sz val="16"/>
        <rFont val="宋体"/>
        <family val="3"/>
        <charset val="134"/>
      </rPr>
      <t>工业</t>
    </r>
    <phoneticPr fontId="3" type="noConversion"/>
  </si>
  <si>
    <r>
      <rPr>
        <sz val="11"/>
        <color indexed="8"/>
        <rFont val="宋体"/>
        <family val="3"/>
        <charset val="134"/>
      </rPr>
      <t>产业集聚程度</t>
    </r>
    <phoneticPr fontId="31" type="noConversion"/>
  </si>
  <si>
    <r>
      <rPr>
        <sz val="11"/>
        <color indexed="8"/>
        <rFont val="宋体"/>
        <family val="3"/>
        <charset val="134"/>
      </rPr>
      <t>内部装修状况</t>
    </r>
    <phoneticPr fontId="31" type="noConversion"/>
  </si>
  <si>
    <r>
      <rPr>
        <sz val="11"/>
        <color indexed="8"/>
        <rFont val="宋体"/>
        <family val="3"/>
        <charset val="134"/>
      </rPr>
      <t>产业集聚程度</t>
    </r>
    <phoneticPr fontId="3" type="noConversion"/>
  </si>
  <si>
    <r>
      <rPr>
        <sz val="11"/>
        <rFont val="宋体"/>
        <family val="3"/>
        <charset val="134"/>
      </rPr>
      <t>内部装修维护状况</t>
    </r>
    <phoneticPr fontId="3" type="noConversion"/>
  </si>
  <si>
    <r>
      <rPr>
        <b/>
        <sz val="16"/>
        <color indexed="10"/>
        <rFont val="宋体"/>
        <family val="3"/>
        <charset val="134"/>
      </rPr>
      <t>比较法</t>
    </r>
    <phoneticPr fontId="3" type="noConversion"/>
  </si>
  <si>
    <r>
      <rPr>
        <b/>
        <sz val="12"/>
        <rFont val="宋体"/>
        <family val="3"/>
        <charset val="134"/>
      </rPr>
      <t>车位数</t>
    </r>
    <phoneticPr fontId="25" type="noConversion"/>
  </si>
  <si>
    <r>
      <rPr>
        <sz val="11"/>
        <color indexed="8"/>
        <rFont val="宋体"/>
        <family val="3"/>
        <charset val="134"/>
      </rPr>
      <t>交通便捷度</t>
    </r>
    <phoneticPr fontId="31" type="noConversion"/>
  </si>
  <si>
    <r>
      <rPr>
        <sz val="11"/>
        <color indexed="8"/>
        <rFont val="宋体"/>
        <family val="3"/>
        <charset val="134"/>
      </rPr>
      <t>自然及人文环境</t>
    </r>
    <phoneticPr fontId="32" type="noConversion"/>
  </si>
  <si>
    <r>
      <rPr>
        <sz val="11"/>
        <color indexed="8"/>
        <rFont val="宋体"/>
        <family val="3"/>
        <charset val="134"/>
      </rPr>
      <t>楼层</t>
    </r>
    <phoneticPr fontId="32" type="noConversion"/>
  </si>
  <si>
    <r>
      <rPr>
        <sz val="11"/>
        <color indexed="8"/>
        <rFont val="宋体"/>
        <family val="3"/>
        <charset val="134"/>
      </rPr>
      <t>配套类型</t>
    </r>
    <phoneticPr fontId="31" type="noConversion"/>
  </si>
  <si>
    <r>
      <rPr>
        <sz val="11"/>
        <color indexed="8"/>
        <rFont val="宋体"/>
        <family val="3"/>
        <charset val="134"/>
      </rPr>
      <t>项目停车位配比</t>
    </r>
    <phoneticPr fontId="32" type="noConversion"/>
  </si>
  <si>
    <r>
      <rPr>
        <sz val="11"/>
        <color indexed="8"/>
        <rFont val="宋体"/>
        <family val="3"/>
        <charset val="134"/>
      </rPr>
      <t>公共部分装修</t>
    </r>
    <phoneticPr fontId="32" type="noConversion"/>
  </si>
  <si>
    <r>
      <rPr>
        <sz val="11"/>
        <color indexed="8"/>
        <rFont val="宋体"/>
        <family val="3"/>
        <charset val="134"/>
      </rPr>
      <t>成新率</t>
    </r>
    <phoneticPr fontId="31" type="noConversion"/>
  </si>
  <si>
    <r>
      <rPr>
        <sz val="11"/>
        <color indexed="8"/>
        <rFont val="宋体"/>
        <family val="3"/>
        <charset val="134"/>
      </rPr>
      <t>物业等级</t>
    </r>
    <phoneticPr fontId="31" type="noConversion"/>
  </si>
  <si>
    <r>
      <rPr>
        <sz val="11"/>
        <color indexed="8"/>
        <rFont val="宋体"/>
        <family val="3"/>
        <charset val="134"/>
      </rPr>
      <t>停车位面积</t>
    </r>
    <phoneticPr fontId="31" type="noConversion"/>
  </si>
  <si>
    <r>
      <rPr>
        <sz val="11"/>
        <color indexed="8"/>
        <rFont val="宋体"/>
        <family val="3"/>
        <charset val="134"/>
      </rPr>
      <t>车位类型</t>
    </r>
    <phoneticPr fontId="31" type="noConversion"/>
  </si>
  <si>
    <r>
      <rPr>
        <sz val="11"/>
        <color indexed="8"/>
        <rFont val="宋体"/>
        <family val="3"/>
        <charset val="134"/>
      </rPr>
      <t>是否直接入户</t>
    </r>
    <phoneticPr fontId="31" type="noConversion"/>
  </si>
  <si>
    <r>
      <rPr>
        <b/>
        <sz val="11"/>
        <rFont val="宋体"/>
        <family val="3"/>
        <charset val="134"/>
      </rPr>
      <t>成交单价</t>
    </r>
    <phoneticPr fontId="3" type="noConversion"/>
  </si>
  <si>
    <r>
      <rPr>
        <b/>
        <sz val="11"/>
        <rFont val="宋体"/>
        <family val="3"/>
        <charset val="134"/>
      </rPr>
      <t>元</t>
    </r>
    <r>
      <rPr>
        <b/>
        <sz val="11"/>
        <rFont val="Arial"/>
        <family val="2"/>
      </rPr>
      <t>/</t>
    </r>
    <r>
      <rPr>
        <b/>
        <sz val="11"/>
        <rFont val="宋体"/>
        <family val="3"/>
        <charset val="134"/>
      </rPr>
      <t>车位</t>
    </r>
  </si>
  <si>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</si>
  <si>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t>
    </r>
    <r>
      <rPr>
        <b/>
        <sz val="11"/>
        <color indexed="10"/>
        <rFont val="宋体"/>
        <family val="3"/>
        <charset val="134"/>
      </rPr>
      <t>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</si>
  <si>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</si>
  <si>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</si>
  <si>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</si>
  <si>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</si>
  <si>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</si>
  <si>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sz val="11"/>
        <color indexed="8"/>
        <rFont val="宋体"/>
        <family val="3"/>
        <charset val="134"/>
      </rPr>
      <t>楼层</t>
    </r>
    <phoneticPr fontId="3" type="noConversion"/>
  </si>
  <si>
    <r>
      <rPr>
        <sz val="11"/>
        <color indexed="8"/>
        <rFont val="宋体"/>
        <family val="3"/>
        <charset val="134"/>
      </rPr>
      <t>配套类型（地上主用途）</t>
    </r>
    <phoneticPr fontId="3" type="noConversion"/>
  </si>
  <si>
    <r>
      <rPr>
        <sz val="11"/>
        <color indexed="8"/>
        <rFont val="宋体"/>
        <family val="3"/>
        <charset val="134"/>
      </rPr>
      <t>项目停车位配比</t>
    </r>
    <phoneticPr fontId="3" type="noConversion"/>
  </si>
  <si>
    <r>
      <rPr>
        <sz val="11"/>
        <color indexed="8"/>
        <rFont val="宋体"/>
        <family val="3"/>
        <charset val="134"/>
      </rPr>
      <t>成新率</t>
    </r>
    <phoneticPr fontId="3" type="noConversion"/>
  </si>
  <si>
    <r>
      <rPr>
        <sz val="11"/>
        <color indexed="8"/>
        <rFont val="宋体"/>
        <family val="3"/>
        <charset val="134"/>
      </rPr>
      <t>物业等级</t>
    </r>
    <phoneticPr fontId="32" type="noConversion"/>
  </si>
  <si>
    <r>
      <rPr>
        <sz val="11"/>
        <color indexed="8"/>
        <rFont val="宋体"/>
        <family val="3"/>
        <charset val="134"/>
      </rPr>
      <t>停车位面积</t>
    </r>
    <phoneticPr fontId="3" type="noConversion"/>
  </si>
  <si>
    <r>
      <rPr>
        <sz val="11"/>
        <color indexed="8"/>
        <rFont val="宋体"/>
        <family val="3"/>
        <charset val="134"/>
      </rPr>
      <t>车位类型</t>
    </r>
    <phoneticPr fontId="3" type="noConversion"/>
  </si>
  <si>
    <r>
      <rPr>
        <sz val="11"/>
        <color indexed="8"/>
        <rFont val="宋体"/>
        <family val="3"/>
        <charset val="134"/>
      </rPr>
      <t>是否直接入户</t>
    </r>
    <phoneticPr fontId="3" type="noConversion"/>
  </si>
  <si>
    <r>
      <rPr>
        <sz val="11"/>
        <color indexed="8"/>
        <rFont val="宋体"/>
        <family val="3"/>
        <charset val="134"/>
      </rPr>
      <t>有无电梯</t>
    </r>
    <phoneticPr fontId="31" type="noConversion"/>
  </si>
  <si>
    <r>
      <rPr>
        <sz val="11"/>
        <color indexed="8"/>
        <rFont val="宋体"/>
        <family val="3"/>
        <charset val="134"/>
      </rPr>
      <t>建筑面积</t>
    </r>
    <phoneticPr fontId="31" type="noConversion"/>
  </si>
  <si>
    <r>
      <rPr>
        <sz val="11"/>
        <color indexed="8"/>
        <rFont val="宋体"/>
        <family val="3"/>
        <charset val="134"/>
      </rPr>
      <t>是否封闭</t>
    </r>
    <phoneticPr fontId="31" type="noConversion"/>
  </si>
  <si>
    <r>
      <rPr>
        <sz val="11"/>
        <color indexed="8"/>
        <rFont val="宋体"/>
        <family val="3"/>
        <charset val="134"/>
      </rPr>
      <t>公用设施及基础设施水平</t>
    </r>
    <phoneticPr fontId="3" type="noConversion"/>
  </si>
  <si>
    <r>
      <rPr>
        <sz val="11"/>
        <color indexed="8"/>
        <rFont val="宋体"/>
        <family val="3"/>
        <charset val="134"/>
      </rPr>
      <t>有无电梯</t>
    </r>
    <phoneticPr fontId="3" type="noConversion"/>
  </si>
  <si>
    <r>
      <rPr>
        <sz val="11"/>
        <color indexed="8"/>
        <rFont val="宋体"/>
        <family val="3"/>
        <charset val="134"/>
      </rPr>
      <t>建筑面积</t>
    </r>
    <phoneticPr fontId="32" type="noConversion"/>
  </si>
  <si>
    <r>
      <rPr>
        <sz val="11"/>
        <color indexed="8"/>
        <rFont val="宋体"/>
        <family val="3"/>
        <charset val="134"/>
      </rPr>
      <t>是否封闭</t>
    </r>
    <phoneticPr fontId="3" type="noConversion"/>
  </si>
  <si>
    <r>
      <rPr>
        <b/>
        <sz val="16"/>
        <color indexed="10"/>
        <rFont val="宋体"/>
        <family val="3"/>
        <charset val="134"/>
      </rPr>
      <t>套用比较法</t>
    </r>
    <phoneticPr fontId="3" type="noConversion"/>
  </si>
  <si>
    <r>
      <rPr>
        <b/>
        <sz val="12"/>
        <rFont val="宋体"/>
        <family val="3"/>
        <charset val="134"/>
      </rPr>
      <t>建筑面积</t>
    </r>
    <phoneticPr fontId="18" type="noConversion"/>
  </si>
  <si>
    <r>
      <rPr>
        <sz val="11"/>
        <color indexed="8"/>
        <rFont val="宋体"/>
        <family val="3"/>
        <charset val="134"/>
      </rPr>
      <t>区域土地利用方向</t>
    </r>
    <phoneticPr fontId="31" type="noConversion"/>
  </si>
  <si>
    <r>
      <rPr>
        <sz val="11"/>
        <color indexed="8"/>
        <rFont val="宋体"/>
        <family val="3"/>
        <charset val="134"/>
      </rPr>
      <t>土地级别</t>
    </r>
    <phoneticPr fontId="31" type="noConversion"/>
  </si>
  <si>
    <r>
      <rPr>
        <sz val="11"/>
        <color indexed="8"/>
        <rFont val="宋体"/>
        <family val="3"/>
        <charset val="134"/>
      </rPr>
      <t>宗地面积</t>
    </r>
    <phoneticPr fontId="31" type="noConversion"/>
  </si>
  <si>
    <r>
      <rPr>
        <sz val="11"/>
        <color indexed="8"/>
        <rFont val="宋体"/>
        <family val="3"/>
        <charset val="134"/>
      </rPr>
      <t>宗地形状</t>
    </r>
    <phoneticPr fontId="31" type="noConversion"/>
  </si>
  <si>
    <r>
      <rPr>
        <sz val="11"/>
        <color indexed="8"/>
        <rFont val="宋体"/>
        <family val="3"/>
        <charset val="134"/>
      </rPr>
      <t>宗地开发程度</t>
    </r>
    <phoneticPr fontId="31" type="noConversion"/>
  </si>
  <si>
    <r>
      <rPr>
        <sz val="11"/>
        <color indexed="8"/>
        <rFont val="宋体"/>
        <family val="3"/>
        <charset val="134"/>
      </rPr>
      <t>工程地质条件</t>
    </r>
    <phoneticPr fontId="31" type="noConversion"/>
  </si>
  <si>
    <r>
      <rPr>
        <sz val="11"/>
        <rFont val="宋体"/>
        <family val="3"/>
        <charset val="134"/>
      </rPr>
      <t>用途</t>
    </r>
    <r>
      <rPr>
        <sz val="11"/>
        <rFont val="Arial"/>
        <family val="2"/>
      </rPr>
      <t>/</t>
    </r>
    <r>
      <rPr>
        <sz val="11"/>
        <rFont val="宋体"/>
        <family val="3"/>
        <charset val="134"/>
      </rPr>
      <t>位置</t>
    </r>
    <phoneticPr fontId="31" type="noConversion"/>
  </si>
  <si>
    <r>
      <rPr>
        <sz val="11"/>
        <rFont val="宋体"/>
        <family val="3"/>
        <charset val="134"/>
      </rPr>
      <t>修正单价</t>
    </r>
    <phoneticPr fontId="31" type="noConversion"/>
  </si>
  <si>
    <r>
      <rPr>
        <sz val="11"/>
        <rFont val="宋体"/>
        <family val="3"/>
        <charset val="134"/>
      </rPr>
      <t>北京市系数</t>
    </r>
  </si>
  <si>
    <r>
      <rPr>
        <sz val="11"/>
        <rFont val="宋体"/>
        <family val="3"/>
        <charset val="134"/>
      </rPr>
      <t>政府土地出让收益比例</t>
    </r>
    <phoneticPr fontId="3" type="noConversion"/>
  </si>
  <si>
    <r>
      <rPr>
        <sz val="11"/>
        <rFont val="宋体"/>
        <family val="3"/>
        <charset val="134"/>
      </rPr>
      <t>建筑面积</t>
    </r>
    <phoneticPr fontId="31" type="noConversion"/>
  </si>
  <si>
    <r>
      <rPr>
        <sz val="11"/>
        <rFont val="宋体"/>
        <family val="3"/>
        <charset val="134"/>
      </rPr>
      <t>总价</t>
    </r>
    <phoneticPr fontId="31" type="noConversion"/>
  </si>
  <si>
    <r>
      <rPr>
        <sz val="11"/>
        <rFont val="宋体"/>
        <family val="3"/>
        <charset val="134"/>
      </rPr>
      <t>对应的地上用途及土地级别（北京市）</t>
    </r>
    <phoneticPr fontId="31" type="noConversion"/>
  </si>
  <si>
    <r>
      <rPr>
        <sz val="11"/>
        <color rgb="FFFF0000"/>
        <rFont val="宋体"/>
        <family val="3"/>
        <charset val="134"/>
      </rPr>
      <t>外省市地下修正系数请自行录入</t>
    </r>
    <phoneticPr fontId="31" type="noConversion"/>
  </si>
  <si>
    <r>
      <rPr>
        <sz val="10"/>
        <rFont val="宋体"/>
        <family val="3"/>
        <charset val="134"/>
      </rPr>
      <t>地上</t>
    </r>
    <phoneticPr fontId="18" type="noConversion"/>
  </si>
  <si>
    <r>
      <rPr>
        <sz val="10"/>
        <rFont val="宋体"/>
        <family val="3"/>
        <charset val="134"/>
      </rPr>
      <t>地下商业（</t>
    </r>
    <r>
      <rPr>
        <sz val="10"/>
        <rFont val="Arial"/>
        <family val="2"/>
      </rPr>
      <t>-1</t>
    </r>
    <r>
      <rPr>
        <sz val="10"/>
        <rFont val="宋体"/>
        <family val="3"/>
        <charset val="134"/>
      </rPr>
      <t>）</t>
    </r>
    <phoneticPr fontId="16" type="noConversion"/>
  </si>
  <si>
    <r>
      <rPr>
        <sz val="10"/>
        <color theme="1"/>
        <rFont val="宋体"/>
        <family val="3"/>
        <charset val="134"/>
      </rPr>
      <t>对应商业级别</t>
    </r>
    <phoneticPr fontId="31" type="noConversion"/>
  </si>
  <si>
    <r>
      <rPr>
        <sz val="10"/>
        <rFont val="宋体"/>
        <family val="3"/>
        <charset val="134"/>
      </rPr>
      <t>地下商业（</t>
    </r>
    <r>
      <rPr>
        <sz val="10"/>
        <rFont val="Arial"/>
        <family val="2"/>
      </rPr>
      <t>-2</t>
    </r>
    <r>
      <rPr>
        <sz val="10"/>
        <rFont val="宋体"/>
        <family val="3"/>
        <charset val="134"/>
      </rPr>
      <t>）</t>
    </r>
    <phoneticPr fontId="16" type="noConversion"/>
  </si>
  <si>
    <r>
      <rPr>
        <sz val="10"/>
        <rFont val="宋体"/>
        <family val="3"/>
        <charset val="134"/>
      </rPr>
      <t>地下商业（</t>
    </r>
    <r>
      <rPr>
        <sz val="10"/>
        <rFont val="Arial"/>
        <family val="2"/>
      </rPr>
      <t>-3</t>
    </r>
    <r>
      <rPr>
        <sz val="10"/>
        <rFont val="宋体"/>
        <family val="3"/>
        <charset val="134"/>
      </rPr>
      <t>）</t>
    </r>
    <phoneticPr fontId="16" type="noConversion"/>
  </si>
  <si>
    <r>
      <rPr>
        <sz val="10"/>
        <rFont val="宋体"/>
        <family val="3"/>
        <charset val="134"/>
      </rPr>
      <t>地下商业（</t>
    </r>
    <r>
      <rPr>
        <sz val="10"/>
        <rFont val="Arial"/>
        <family val="2"/>
      </rPr>
      <t>-4</t>
    </r>
    <r>
      <rPr>
        <sz val="10"/>
        <rFont val="宋体"/>
        <family val="3"/>
        <charset val="134"/>
      </rPr>
      <t>）</t>
    </r>
    <phoneticPr fontId="16" type="noConversion"/>
  </si>
  <si>
    <r>
      <rPr>
        <sz val="10"/>
        <rFont val="宋体"/>
        <family val="3"/>
        <charset val="134"/>
      </rPr>
      <t>地下办公（含物业）</t>
    </r>
    <phoneticPr fontId="16" type="noConversion"/>
  </si>
  <si>
    <r>
      <rPr>
        <sz val="10"/>
        <color theme="1"/>
        <rFont val="宋体"/>
        <family val="3"/>
        <charset val="134"/>
      </rPr>
      <t>对应办公级别</t>
    </r>
    <phoneticPr fontId="31" type="noConversion"/>
  </si>
  <si>
    <r>
      <rPr>
        <sz val="10"/>
        <rFont val="宋体"/>
        <family val="3"/>
        <charset val="134"/>
      </rPr>
      <t>地下仓储</t>
    </r>
    <phoneticPr fontId="16" type="noConversion"/>
  </si>
  <si>
    <r>
      <rPr>
        <sz val="10"/>
        <color indexed="53"/>
        <rFont val="宋体"/>
        <family val="3"/>
        <charset val="134"/>
      </rPr>
      <t>办公</t>
    </r>
  </si>
  <si>
    <r>
      <rPr>
        <sz val="10"/>
        <rFont val="宋体"/>
        <family val="3"/>
        <charset val="134"/>
      </rPr>
      <t>地下车库</t>
    </r>
    <phoneticPr fontId="16" type="noConversion"/>
  </si>
  <si>
    <r>
      <rPr>
        <sz val="10"/>
        <color indexed="53"/>
        <rFont val="宋体"/>
        <family val="3"/>
        <charset val="134"/>
      </rPr>
      <t>住宅</t>
    </r>
  </si>
  <si>
    <r>
      <rPr>
        <sz val="10"/>
        <rFont val="宋体"/>
        <family val="3"/>
        <charset val="134"/>
      </rPr>
      <t>地下车库</t>
    </r>
    <r>
      <rPr>
        <sz val="10"/>
        <rFont val="Arial"/>
        <family val="2"/>
      </rPr>
      <t>-</t>
    </r>
    <r>
      <rPr>
        <sz val="10"/>
        <rFont val="宋体"/>
        <family val="3"/>
        <charset val="134"/>
      </rPr>
      <t>商业</t>
    </r>
    <phoneticPr fontId="16" type="noConversion"/>
  </si>
  <si>
    <r>
      <rPr>
        <sz val="10"/>
        <rFont val="宋体"/>
        <family val="3"/>
        <charset val="134"/>
      </rPr>
      <t>地下车库</t>
    </r>
    <r>
      <rPr>
        <sz val="10"/>
        <rFont val="Arial"/>
        <family val="2"/>
      </rPr>
      <t>-</t>
    </r>
    <r>
      <rPr>
        <sz val="10"/>
        <rFont val="宋体"/>
        <family val="3"/>
        <charset val="134"/>
      </rPr>
      <t>办公</t>
    </r>
    <phoneticPr fontId="16" type="noConversion"/>
  </si>
  <si>
    <r>
      <rPr>
        <b/>
        <sz val="10"/>
        <rFont val="宋体"/>
        <family val="3"/>
        <charset val="134"/>
      </rPr>
      <t>土地购买价格</t>
    </r>
    <phoneticPr fontId="16" type="noConversion"/>
  </si>
  <si>
    <r>
      <rPr>
        <b/>
        <sz val="11"/>
        <color indexed="8"/>
        <rFont val="宋体"/>
        <family val="3"/>
        <charset val="134"/>
      </rPr>
      <t>交易时间（按季度调整）</t>
    </r>
    <phoneticPr fontId="3" type="noConversion"/>
  </si>
  <si>
    <r>
      <rPr>
        <sz val="11"/>
        <color indexed="8"/>
        <rFont val="宋体"/>
        <family val="3"/>
        <charset val="134"/>
      </rPr>
      <t>区域土地利用方向</t>
    </r>
    <phoneticPr fontId="3" type="noConversion"/>
  </si>
  <si>
    <r>
      <rPr>
        <sz val="11"/>
        <color indexed="8"/>
        <rFont val="宋体"/>
        <family val="3"/>
        <charset val="134"/>
      </rPr>
      <t>自然及人文环境状况</t>
    </r>
    <phoneticPr fontId="3" type="noConversion"/>
  </si>
  <si>
    <r>
      <rPr>
        <sz val="11"/>
        <rFont val="宋体"/>
        <family val="3"/>
        <charset val="134"/>
      </rPr>
      <t>多面临街</t>
    </r>
    <phoneticPr fontId="31" type="noConversion"/>
  </si>
  <si>
    <r>
      <rPr>
        <sz val="11"/>
        <rFont val="宋体"/>
        <family val="3"/>
        <charset val="134"/>
      </rPr>
      <t>双面临街</t>
    </r>
    <phoneticPr fontId="31" type="noConversion"/>
  </si>
  <si>
    <r>
      <rPr>
        <sz val="11"/>
        <rFont val="宋体"/>
        <family val="3"/>
        <charset val="134"/>
      </rPr>
      <t>单面临街</t>
    </r>
    <phoneticPr fontId="31" type="noConversion"/>
  </si>
  <si>
    <r>
      <rPr>
        <sz val="11"/>
        <rFont val="宋体"/>
        <family val="3"/>
        <charset val="134"/>
      </rPr>
      <t>不临街</t>
    </r>
    <phoneticPr fontId="31" type="noConversion"/>
  </si>
  <si>
    <r>
      <rPr>
        <sz val="11"/>
        <color indexed="8"/>
        <rFont val="宋体"/>
        <family val="3"/>
        <charset val="134"/>
      </rPr>
      <t>宗地面积</t>
    </r>
    <phoneticPr fontId="3" type="noConversion"/>
  </si>
  <si>
    <r>
      <rPr>
        <sz val="11"/>
        <color indexed="8"/>
        <rFont val="宋体"/>
        <family val="3"/>
        <charset val="134"/>
      </rPr>
      <t>宗地形状</t>
    </r>
    <phoneticPr fontId="3" type="noConversion"/>
  </si>
  <si>
    <r>
      <rPr>
        <sz val="11"/>
        <color indexed="8"/>
        <rFont val="宋体"/>
        <family val="3"/>
        <charset val="134"/>
      </rPr>
      <t>宗地开发程度</t>
    </r>
    <phoneticPr fontId="3" type="noConversion"/>
  </si>
  <si>
    <r>
      <rPr>
        <sz val="11"/>
        <color indexed="8"/>
        <rFont val="宋体"/>
        <family val="3"/>
        <charset val="134"/>
      </rPr>
      <t>工程地质条件</t>
    </r>
    <phoneticPr fontId="3" type="noConversion"/>
  </si>
  <si>
    <r>
      <rPr>
        <b/>
        <sz val="16"/>
        <rFont val="宋体"/>
        <family val="3"/>
        <charset val="134"/>
      </rPr>
      <t>工业</t>
    </r>
    <phoneticPr fontId="31" type="noConversion"/>
  </si>
  <si>
    <r>
      <rPr>
        <sz val="11"/>
        <rFont val="宋体"/>
        <family val="3"/>
        <charset val="134"/>
      </rPr>
      <t>项目位置</t>
    </r>
    <phoneticPr fontId="3" type="noConversion"/>
  </si>
  <si>
    <r>
      <rPr>
        <sz val="11"/>
        <color indexed="8"/>
        <rFont val="宋体"/>
        <family val="3"/>
        <charset val="134"/>
      </rPr>
      <t>产业集聚程度</t>
    </r>
    <phoneticPr fontId="33" type="noConversion"/>
  </si>
  <si>
    <r>
      <rPr>
        <sz val="11"/>
        <color indexed="8"/>
        <rFont val="宋体"/>
        <family val="3"/>
        <charset val="134"/>
      </rPr>
      <t>环境状况</t>
    </r>
    <phoneticPr fontId="31" type="noConversion"/>
  </si>
  <si>
    <r>
      <rPr>
        <b/>
        <sz val="11"/>
        <rFont val="宋体"/>
        <family val="3"/>
        <charset val="134"/>
      </rPr>
      <t>单价内涵</t>
    </r>
  </si>
  <si>
    <r>
      <rPr>
        <sz val="11"/>
        <rFont val="宋体"/>
        <family val="3"/>
        <charset val="134"/>
      </rPr>
      <t>北京市</t>
    </r>
    <phoneticPr fontId="31" type="noConversion"/>
  </si>
  <si>
    <r>
      <rPr>
        <b/>
        <sz val="11"/>
        <color indexed="8"/>
        <rFont val="宋体"/>
        <family val="3"/>
        <charset val="134"/>
      </rPr>
      <t>工业</t>
    </r>
    <phoneticPr fontId="33" type="noConversion"/>
  </si>
  <si>
    <r>
      <rPr>
        <sz val="11"/>
        <color indexed="8"/>
        <rFont val="宋体"/>
        <family val="3"/>
        <charset val="134"/>
      </rPr>
      <t>基础设施水平</t>
    </r>
    <phoneticPr fontId="33" type="noConversion"/>
  </si>
  <si>
    <r>
      <rPr>
        <b/>
        <sz val="16"/>
        <color indexed="10"/>
        <rFont val="宋体"/>
        <family val="3"/>
        <charset val="134"/>
      </rPr>
      <t>基准地价系数修正法</t>
    </r>
    <phoneticPr fontId="3" type="noConversion"/>
  </si>
  <si>
    <r>
      <rPr>
        <b/>
        <sz val="12"/>
        <rFont val="宋体"/>
        <family val="3"/>
        <charset val="134"/>
      </rPr>
      <t>建筑面积</t>
    </r>
    <phoneticPr fontId="78" type="noConversion"/>
  </si>
  <si>
    <r>
      <rPr>
        <sz val="11"/>
        <color theme="1"/>
        <rFont val="宋体"/>
        <family val="3"/>
        <charset val="134"/>
      </rPr>
      <t>一级</t>
    </r>
  </si>
  <si>
    <r>
      <rPr>
        <sz val="12"/>
        <rFont val="宋体"/>
        <family val="3"/>
        <charset val="134"/>
      </rPr>
      <t>商业多楼层</t>
    </r>
    <phoneticPr fontId="3" type="noConversion"/>
  </si>
  <si>
    <r>
      <rPr>
        <sz val="12"/>
        <rFont val="宋体"/>
        <family val="3"/>
        <charset val="134"/>
      </rPr>
      <t>楼层修正系数</t>
    </r>
    <phoneticPr fontId="3" type="noConversion"/>
  </si>
  <si>
    <r>
      <rPr>
        <sz val="12"/>
        <rFont val="宋体"/>
        <family val="3"/>
        <charset val="134"/>
      </rPr>
      <t>楼面熟地单价</t>
    </r>
    <phoneticPr fontId="3" type="noConversion"/>
  </si>
  <si>
    <r>
      <rPr>
        <sz val="12"/>
        <rFont val="宋体"/>
        <family val="3"/>
        <charset val="134"/>
      </rPr>
      <t>层面积</t>
    </r>
    <phoneticPr fontId="3" type="noConversion"/>
  </si>
  <si>
    <r>
      <rPr>
        <sz val="12"/>
        <rFont val="宋体"/>
        <family val="3"/>
        <charset val="134"/>
      </rPr>
      <t>总额</t>
    </r>
    <phoneticPr fontId="3" type="noConversion"/>
  </si>
  <si>
    <r>
      <rPr>
        <b/>
        <sz val="12"/>
        <rFont val="宋体"/>
        <family val="3"/>
        <charset val="134"/>
      </rPr>
      <t>总价</t>
    </r>
    <phoneticPr fontId="3" type="noConversion"/>
  </si>
  <si>
    <r>
      <rPr>
        <b/>
        <sz val="12"/>
        <rFont val="宋体"/>
        <family val="3"/>
        <charset val="134"/>
      </rPr>
      <t>万元</t>
    </r>
    <phoneticPr fontId="3" type="noConversion"/>
  </si>
  <si>
    <r>
      <rPr>
        <sz val="10"/>
        <rFont val="宋体"/>
        <family val="3"/>
        <charset val="134"/>
      </rPr>
      <t>用途</t>
    </r>
    <phoneticPr fontId="3" type="noConversion"/>
  </si>
  <si>
    <r>
      <rPr>
        <sz val="10"/>
        <rFont val="宋体"/>
        <family val="3"/>
        <charset val="134"/>
      </rPr>
      <t>土地级别</t>
    </r>
    <phoneticPr fontId="3" type="noConversion"/>
  </si>
  <si>
    <r>
      <rPr>
        <sz val="10"/>
        <rFont val="宋体"/>
        <family val="3"/>
        <charset val="134"/>
      </rPr>
      <t>区片编号</t>
    </r>
    <phoneticPr fontId="3" type="noConversion"/>
  </si>
  <si>
    <r>
      <rPr>
        <sz val="11"/>
        <color theme="1"/>
        <rFont val="宋体"/>
        <family val="3"/>
        <charset val="134"/>
      </rPr>
      <t>二级</t>
    </r>
  </si>
  <si>
    <r>
      <rPr>
        <b/>
        <sz val="12"/>
        <rFont val="宋体"/>
        <family val="3"/>
        <charset val="134"/>
      </rPr>
      <t>楼面单价</t>
    </r>
    <phoneticPr fontId="3" type="noConversion"/>
  </si>
  <si>
    <r>
      <rPr>
        <b/>
        <sz val="12"/>
        <rFont val="宋体"/>
        <family val="3"/>
        <charset val="134"/>
      </rPr>
      <t>元</t>
    </r>
    <r>
      <rPr>
        <b/>
        <sz val="12"/>
        <rFont val="Arial"/>
        <family val="2"/>
      </rPr>
      <t>/</t>
    </r>
    <r>
      <rPr>
        <b/>
        <sz val="12"/>
        <rFont val="宋体"/>
        <family val="3"/>
        <charset val="134"/>
      </rPr>
      <t>平方米</t>
    </r>
    <phoneticPr fontId="3" type="noConversion"/>
  </si>
  <si>
    <r>
      <rPr>
        <sz val="10"/>
        <rFont val="宋体"/>
        <family val="3"/>
        <charset val="134"/>
      </rPr>
      <t>用途类别</t>
    </r>
    <phoneticPr fontId="3" type="noConversion"/>
  </si>
  <si>
    <r>
      <rPr>
        <sz val="10"/>
        <rFont val="宋体"/>
        <family val="3"/>
        <charset val="134"/>
      </rPr>
      <t>宗地容积率</t>
    </r>
  </si>
  <si>
    <r>
      <rPr>
        <sz val="10"/>
        <rFont val="宋体"/>
        <family val="3"/>
        <charset val="134"/>
      </rPr>
      <t>楼层</t>
    </r>
    <phoneticPr fontId="3" type="noConversion"/>
  </si>
  <si>
    <r>
      <rPr>
        <sz val="10"/>
        <rFont val="宋体"/>
        <family val="3"/>
        <charset val="134"/>
      </rPr>
      <t>（地上）</t>
    </r>
    <phoneticPr fontId="3" type="noConversion"/>
  </si>
  <si>
    <r>
      <rPr>
        <sz val="11"/>
        <color theme="1"/>
        <rFont val="宋体"/>
        <family val="3"/>
        <charset val="134"/>
      </rPr>
      <t>三级</t>
    </r>
  </si>
  <si>
    <r>
      <rPr>
        <sz val="11"/>
        <color theme="1"/>
        <rFont val="宋体"/>
        <family val="3"/>
        <charset val="134"/>
      </rPr>
      <t>四级</t>
    </r>
  </si>
  <si>
    <r>
      <rPr>
        <b/>
        <sz val="11"/>
        <rFont val="宋体"/>
        <family val="3"/>
        <charset val="134"/>
      </rPr>
      <t>适用的楼面熟地价</t>
    </r>
    <phoneticPr fontId="3" type="noConversion"/>
  </si>
  <si>
    <r>
      <rPr>
        <sz val="11"/>
        <color theme="1"/>
        <rFont val="宋体"/>
        <family val="3"/>
        <charset val="134"/>
      </rPr>
      <t>五级</t>
    </r>
  </si>
  <si>
    <r>
      <rPr>
        <b/>
        <sz val="10"/>
        <rFont val="宋体"/>
        <family val="3"/>
        <charset val="134"/>
      </rPr>
      <t>（</t>
    </r>
    <r>
      <rPr>
        <b/>
        <sz val="10"/>
        <rFont val="Arial"/>
        <family val="2"/>
      </rPr>
      <t>1</t>
    </r>
    <r>
      <rPr>
        <b/>
        <sz val="10"/>
        <rFont val="宋体"/>
        <family val="3"/>
        <charset val="134"/>
      </rPr>
      <t>）</t>
    </r>
    <phoneticPr fontId="78" type="noConversion"/>
  </si>
  <si>
    <r>
      <rPr>
        <b/>
        <sz val="10"/>
        <rFont val="宋体"/>
        <family val="3"/>
        <charset val="134"/>
      </rPr>
      <t>适用的楼面熟地价</t>
    </r>
    <phoneticPr fontId="3" type="noConversion"/>
  </si>
  <si>
    <r>
      <rPr>
        <sz val="10"/>
        <color indexed="10"/>
        <rFont val="宋体"/>
        <family val="3"/>
        <charset val="134"/>
      </rPr>
      <t>依据《北京市区片基准地价表》，能否通过用途和级别筛选？</t>
    </r>
    <phoneticPr fontId="3" type="noConversion"/>
  </si>
  <si>
    <r>
      <rPr>
        <sz val="11"/>
        <color theme="1"/>
        <rFont val="宋体"/>
        <family val="3"/>
        <charset val="134"/>
      </rPr>
      <t>六级</t>
    </r>
  </si>
  <si>
    <r>
      <rPr>
        <b/>
        <sz val="10"/>
        <rFont val="宋体"/>
        <family val="3"/>
        <charset val="134"/>
      </rPr>
      <t>商业路线价修正（商业用途）</t>
    </r>
    <phoneticPr fontId="3" type="noConversion"/>
  </si>
  <si>
    <r>
      <rPr>
        <sz val="10"/>
        <rFont val="宋体"/>
        <family val="3"/>
        <charset val="134"/>
      </rPr>
      <t>宗地深度（米）</t>
    </r>
    <phoneticPr fontId="3" type="noConversion"/>
  </si>
  <si>
    <r>
      <rPr>
        <sz val="11"/>
        <color theme="1"/>
        <rFont val="宋体"/>
        <family val="3"/>
        <charset val="134"/>
      </rPr>
      <t>七级</t>
    </r>
  </si>
  <si>
    <r>
      <rPr>
        <sz val="10"/>
        <rFont val="宋体"/>
        <family val="3"/>
        <charset val="134"/>
      </rPr>
      <t>估价对象级别</t>
    </r>
    <phoneticPr fontId="3" type="noConversion"/>
  </si>
  <si>
    <r>
      <rPr>
        <sz val="10"/>
        <rFont val="宋体"/>
        <family val="3"/>
        <charset val="134"/>
      </rPr>
      <t>容积率</t>
    </r>
    <phoneticPr fontId="3" type="noConversion"/>
  </si>
  <si>
    <r>
      <rPr>
        <sz val="10"/>
        <rFont val="宋体"/>
        <family val="3"/>
        <charset val="134"/>
      </rPr>
      <t>所在商业街</t>
    </r>
    <phoneticPr fontId="3"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</si>
  <si>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3"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</si>
  <si>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</si>
  <si>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3" type="noConversion"/>
  </si>
  <si>
    <r>
      <rPr>
        <sz val="10"/>
        <color theme="1"/>
        <rFont val="宋体"/>
        <family val="3"/>
        <charset val="134"/>
      </rPr>
      <t>一级</t>
    </r>
    <phoneticPr fontId="3" type="noConversion"/>
  </si>
  <si>
    <r>
      <rPr>
        <sz val="10"/>
        <color theme="1"/>
        <rFont val="宋体"/>
        <family val="3"/>
        <charset val="134"/>
      </rPr>
      <t>二级</t>
    </r>
    <phoneticPr fontId="3" type="noConversion"/>
  </si>
  <si>
    <r>
      <rPr>
        <sz val="10"/>
        <color theme="1"/>
        <rFont val="宋体"/>
        <family val="3"/>
        <charset val="134"/>
      </rPr>
      <t>三级</t>
    </r>
    <phoneticPr fontId="3" type="noConversion"/>
  </si>
  <si>
    <r>
      <rPr>
        <sz val="10"/>
        <color theme="1"/>
        <rFont val="宋体"/>
        <family val="3"/>
        <charset val="134"/>
      </rPr>
      <t>四级</t>
    </r>
    <phoneticPr fontId="3" type="noConversion"/>
  </si>
  <si>
    <r>
      <rPr>
        <sz val="10"/>
        <color theme="1"/>
        <rFont val="宋体"/>
        <family val="3"/>
        <charset val="134"/>
      </rPr>
      <t>五级</t>
    </r>
    <phoneticPr fontId="3" type="noConversion"/>
  </si>
  <si>
    <r>
      <rPr>
        <sz val="10"/>
        <color theme="1"/>
        <rFont val="宋体"/>
        <family val="3"/>
        <charset val="134"/>
      </rPr>
      <t>六级</t>
    </r>
    <phoneticPr fontId="3" type="noConversion"/>
  </si>
  <si>
    <r>
      <rPr>
        <sz val="10"/>
        <color theme="1"/>
        <rFont val="宋体"/>
        <family val="3"/>
        <charset val="134"/>
      </rPr>
      <t>七级</t>
    </r>
    <phoneticPr fontId="3" type="noConversion"/>
  </si>
  <si>
    <r>
      <rPr>
        <sz val="10"/>
        <color theme="1"/>
        <rFont val="宋体"/>
        <family val="3"/>
        <charset val="134"/>
      </rPr>
      <t>八级</t>
    </r>
    <phoneticPr fontId="3" type="noConversion"/>
  </si>
  <si>
    <r>
      <rPr>
        <sz val="10"/>
        <color theme="1"/>
        <rFont val="宋体"/>
        <family val="3"/>
        <charset val="134"/>
      </rPr>
      <t>九级</t>
    </r>
    <phoneticPr fontId="3" type="noConversion"/>
  </si>
  <si>
    <r>
      <rPr>
        <sz val="10"/>
        <color theme="1"/>
        <rFont val="宋体"/>
        <family val="3"/>
        <charset val="134"/>
      </rPr>
      <t>十级</t>
    </r>
    <phoneticPr fontId="3" type="noConversion"/>
  </si>
  <si>
    <r>
      <rPr>
        <sz val="10"/>
        <color theme="1"/>
        <rFont val="宋体"/>
        <family val="3"/>
        <charset val="134"/>
      </rPr>
      <t>十一级</t>
    </r>
    <phoneticPr fontId="3" type="noConversion"/>
  </si>
  <si>
    <r>
      <rPr>
        <sz val="10"/>
        <color theme="1"/>
        <rFont val="宋体"/>
        <family val="3"/>
        <charset val="134"/>
      </rPr>
      <t>十二级</t>
    </r>
    <phoneticPr fontId="3" type="noConversion"/>
  </si>
  <si>
    <r>
      <rPr>
        <sz val="10"/>
        <rFont val="宋体"/>
        <family val="3"/>
        <charset val="134"/>
      </rPr>
      <t>加价幅度</t>
    </r>
    <phoneticPr fontId="3"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</si>
  <si>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3"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</si>
  <si>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</si>
  <si>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3" type="noConversion"/>
  </si>
  <si>
    <r>
      <t>7</t>
    </r>
    <r>
      <rPr>
        <sz val="10"/>
        <color theme="1"/>
        <rFont val="宋体"/>
        <family val="3"/>
        <charset val="134"/>
      </rPr>
      <t>层及以上</t>
    </r>
    <phoneticPr fontId="3" type="noConversion"/>
  </si>
  <si>
    <r>
      <rPr>
        <sz val="10"/>
        <rFont val="宋体"/>
        <family val="3"/>
        <charset val="134"/>
      </rPr>
      <t>标准深度（米）</t>
    </r>
    <phoneticPr fontId="3"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</si>
  <si>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3" type="noConversion"/>
  </si>
  <si>
    <r>
      <rPr>
        <sz val="11"/>
        <color theme="1"/>
        <rFont val="宋体"/>
        <family val="3"/>
        <charset val="134"/>
      </rPr>
      <t>十级</t>
    </r>
  </si>
  <si>
    <r>
      <t>1/4</t>
    </r>
    <r>
      <rPr>
        <sz val="10"/>
        <rFont val="宋体"/>
        <family val="3"/>
        <charset val="134"/>
      </rPr>
      <t>标准深度</t>
    </r>
    <phoneticPr fontId="3"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</si>
  <si>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3" type="noConversion"/>
  </si>
  <si>
    <r>
      <rPr>
        <sz val="11"/>
        <color theme="1"/>
        <rFont val="宋体"/>
        <family val="3"/>
        <charset val="134"/>
      </rPr>
      <t>十一级</t>
    </r>
  </si>
  <si>
    <r>
      <rPr>
        <sz val="10"/>
        <rFont val="宋体"/>
        <family val="3"/>
        <charset val="134"/>
      </rPr>
      <t>商业</t>
    </r>
    <r>
      <rPr>
        <sz val="10"/>
        <rFont val="Arial"/>
        <family val="2"/>
      </rPr>
      <t>R&lt;1</t>
    </r>
    <phoneticPr fontId="3" type="noConversion"/>
  </si>
  <si>
    <r>
      <rPr>
        <sz val="10"/>
        <rFont val="宋体"/>
        <family val="3"/>
        <charset val="134"/>
      </rPr>
      <t>容积率</t>
    </r>
    <phoneticPr fontId="3" type="noConversion"/>
  </si>
  <si>
    <r>
      <rPr>
        <sz val="10"/>
        <rFont val="宋体"/>
        <family val="3"/>
        <charset val="134"/>
      </rPr>
      <t>（</t>
    </r>
    <r>
      <rPr>
        <sz val="10"/>
        <rFont val="Arial"/>
        <family val="2"/>
      </rPr>
      <t>2</t>
    </r>
    <r>
      <rPr>
        <sz val="10"/>
        <rFont val="宋体"/>
        <family val="3"/>
        <charset val="134"/>
      </rPr>
      <t>）</t>
    </r>
    <phoneticPr fontId="78" type="noConversion"/>
  </si>
  <si>
    <r>
      <rPr>
        <b/>
        <sz val="10"/>
        <rFont val="宋体"/>
        <family val="3"/>
        <charset val="134"/>
      </rPr>
      <t>特殊情况修正（居住用途）</t>
    </r>
    <phoneticPr fontId="3" type="noConversion"/>
  </si>
  <si>
    <r>
      <rPr>
        <sz val="10"/>
        <rFont val="宋体"/>
        <family val="3"/>
        <charset val="134"/>
      </rPr>
      <t>需根据项目情况调整公式修正项</t>
    </r>
    <phoneticPr fontId="3"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</si>
  <si>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</si>
  <si>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</si>
  <si>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indexed="8"/>
        <rFont val="宋体"/>
        <family val="3"/>
        <charset val="134"/>
      </rPr>
      <t>特殊情况</t>
    </r>
    <phoneticPr fontId="3" type="noConversion"/>
  </si>
  <si>
    <r>
      <rPr>
        <sz val="10"/>
        <color indexed="8"/>
        <rFont val="宋体"/>
        <family val="3"/>
        <charset val="134"/>
      </rPr>
      <t>公园</t>
    </r>
    <phoneticPr fontId="3" type="noConversion"/>
  </si>
  <si>
    <r>
      <rPr>
        <sz val="10"/>
        <color indexed="8"/>
        <rFont val="宋体"/>
        <family val="3"/>
        <charset val="134"/>
      </rPr>
      <t>水系</t>
    </r>
    <phoneticPr fontId="3" type="noConversion"/>
  </si>
  <si>
    <r>
      <rPr>
        <sz val="10"/>
        <color indexed="8"/>
        <rFont val="宋体"/>
        <family val="3"/>
        <charset val="134"/>
      </rPr>
      <t>中小学名校</t>
    </r>
    <phoneticPr fontId="3" type="noConversion"/>
  </si>
  <si>
    <r>
      <rPr>
        <sz val="10"/>
        <color indexed="8"/>
        <rFont val="宋体"/>
        <family val="3"/>
        <charset val="134"/>
      </rPr>
      <t>轨道交通站点周边</t>
    </r>
    <phoneticPr fontId="3" type="noConversion"/>
  </si>
  <si>
    <r>
      <rPr>
        <sz val="10"/>
        <rFont val="宋体"/>
        <family val="3"/>
        <charset val="134"/>
      </rPr>
      <t>无</t>
    </r>
    <phoneticPr fontId="78" type="noConversion"/>
  </si>
  <si>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3" type="noConversion"/>
  </si>
  <si>
    <r>
      <rPr>
        <sz val="10"/>
        <color indexed="8"/>
        <rFont val="宋体"/>
        <family val="3"/>
        <charset val="134"/>
      </rPr>
      <t>修正系数</t>
    </r>
    <phoneticPr fontId="3" type="noConversion"/>
  </si>
  <si>
    <r>
      <rPr>
        <sz val="10"/>
        <rFont val="宋体"/>
        <family val="3"/>
        <charset val="134"/>
      </rPr>
      <t>商业</t>
    </r>
    <phoneticPr fontId="3" type="noConversion"/>
  </si>
  <si>
    <r>
      <rPr>
        <sz val="10"/>
        <rFont val="宋体"/>
        <family val="3"/>
        <charset val="134"/>
      </rPr>
      <t>办公</t>
    </r>
    <phoneticPr fontId="3" type="noConversion"/>
  </si>
  <si>
    <r>
      <rPr>
        <sz val="10"/>
        <rFont val="宋体"/>
        <family val="3"/>
        <charset val="134"/>
      </rPr>
      <t>住宅</t>
    </r>
    <phoneticPr fontId="3" type="noConversion"/>
  </si>
  <si>
    <r>
      <rPr>
        <sz val="10"/>
        <rFont val="宋体"/>
        <family val="3"/>
        <charset val="134"/>
      </rPr>
      <t>工业</t>
    </r>
    <phoneticPr fontId="3" type="noConversion"/>
  </si>
  <si>
    <r>
      <rPr>
        <sz val="10"/>
        <rFont val="宋体"/>
        <family val="3"/>
        <charset val="134"/>
      </rPr>
      <t>（</t>
    </r>
    <r>
      <rPr>
        <sz val="10"/>
        <rFont val="Arial"/>
        <family val="2"/>
      </rPr>
      <t>3</t>
    </r>
    <r>
      <rPr>
        <sz val="10"/>
        <rFont val="宋体"/>
        <family val="3"/>
        <charset val="134"/>
      </rPr>
      <t>）</t>
    </r>
    <phoneticPr fontId="78" type="noConversion"/>
  </si>
  <si>
    <r>
      <rPr>
        <b/>
        <sz val="10"/>
        <rFont val="宋体"/>
        <family val="3"/>
        <charset val="134"/>
      </rPr>
      <t>开发程度差异修正</t>
    </r>
    <phoneticPr fontId="3" type="noConversion"/>
  </si>
  <si>
    <r>
      <rPr>
        <sz val="10"/>
        <rFont val="宋体"/>
        <family val="3"/>
        <charset val="134"/>
      </rPr>
      <t>估价对象开发程度</t>
    </r>
    <phoneticPr fontId="3" type="noConversion"/>
  </si>
  <si>
    <r>
      <rPr>
        <sz val="10"/>
        <rFont val="宋体"/>
        <family val="3"/>
        <charset val="134"/>
      </rPr>
      <t>上浮比率</t>
    </r>
    <phoneticPr fontId="3" type="noConversion"/>
  </si>
  <si>
    <r>
      <rPr>
        <sz val="10"/>
        <rFont val="宋体"/>
        <family val="3"/>
        <charset val="134"/>
      </rPr>
      <t>级别平均容积率</t>
    </r>
    <phoneticPr fontId="3" type="noConversion"/>
  </si>
  <si>
    <r>
      <rPr>
        <sz val="10"/>
        <rFont val="宋体"/>
        <family val="3"/>
        <charset val="134"/>
      </rPr>
      <t>级别开发程度</t>
    </r>
    <phoneticPr fontId="3" type="noConversion"/>
  </si>
  <si>
    <r>
      <rPr>
        <sz val="10"/>
        <rFont val="宋体"/>
        <family val="3"/>
        <charset val="134"/>
      </rPr>
      <t>土地还原率</t>
    </r>
    <phoneticPr fontId="3" type="noConversion"/>
  </si>
  <si>
    <r>
      <rPr>
        <b/>
        <sz val="11"/>
        <rFont val="宋体"/>
        <family val="3"/>
        <charset val="134"/>
      </rPr>
      <t>用途修正系数</t>
    </r>
    <phoneticPr fontId="3" type="noConversion"/>
  </si>
  <si>
    <r>
      <rPr>
        <b/>
        <sz val="11"/>
        <rFont val="宋体"/>
        <family val="3"/>
        <charset val="134"/>
      </rPr>
      <t>期日修正指数</t>
    </r>
    <phoneticPr fontId="3" type="noConversion"/>
  </si>
  <si>
    <r>
      <rPr>
        <sz val="11"/>
        <rFont val="宋体"/>
        <family val="3"/>
        <charset val="134"/>
      </rPr>
      <t>基准期日</t>
    </r>
    <phoneticPr fontId="3" type="noConversion"/>
  </si>
  <si>
    <r>
      <rPr>
        <sz val="11"/>
        <rFont val="宋体"/>
        <family val="3"/>
        <charset val="134"/>
      </rPr>
      <t>估价期日</t>
    </r>
    <phoneticPr fontId="3" type="noConversion"/>
  </si>
  <si>
    <r>
      <rPr>
        <sz val="11"/>
        <rFont val="宋体"/>
        <family val="3"/>
        <charset val="134"/>
      </rPr>
      <t>基准日地价指数</t>
    </r>
    <phoneticPr fontId="78" type="noConversion"/>
  </si>
  <si>
    <r>
      <rPr>
        <sz val="10"/>
        <rFont val="宋体"/>
        <family val="3"/>
        <charset val="134"/>
      </rPr>
      <t>相差季度数</t>
    </r>
    <phoneticPr fontId="78" type="noConversion"/>
  </si>
  <si>
    <r>
      <rPr>
        <b/>
        <sz val="11"/>
        <rFont val="宋体"/>
        <family val="3"/>
        <charset val="134"/>
      </rPr>
      <t>年期修正系数</t>
    </r>
    <phoneticPr fontId="3" type="noConversion"/>
  </si>
  <si>
    <r>
      <rPr>
        <sz val="10"/>
        <rFont val="宋体"/>
        <family val="3"/>
        <charset val="134"/>
      </rPr>
      <t>现行一年期贷款利率</t>
    </r>
    <phoneticPr fontId="3" type="noConversion"/>
  </si>
  <si>
    <r>
      <rPr>
        <sz val="10"/>
        <rFont val="宋体"/>
        <family val="3"/>
        <charset val="134"/>
      </rPr>
      <t>剩余使用年限</t>
    </r>
    <phoneticPr fontId="3" type="noConversion"/>
  </si>
  <si>
    <r>
      <rPr>
        <sz val="11"/>
        <rFont val="宋体"/>
        <family val="3"/>
        <charset val="134"/>
      </rPr>
      <t>所在季度地价指数</t>
    </r>
    <phoneticPr fontId="78" type="noConversion"/>
  </si>
  <si>
    <r>
      <rPr>
        <sz val="11"/>
        <rFont val="宋体"/>
        <family val="3"/>
        <charset val="134"/>
      </rPr>
      <t>季度增幅</t>
    </r>
    <phoneticPr fontId="3" type="noConversion"/>
  </si>
  <si>
    <r>
      <rPr>
        <sz val="11"/>
        <rFont val="宋体"/>
        <family val="3"/>
        <charset val="134"/>
      </rPr>
      <t>自定义涨幅</t>
    </r>
    <phoneticPr fontId="3" type="noConversion"/>
  </si>
  <si>
    <r>
      <rPr>
        <sz val="11"/>
        <rFont val="宋体"/>
        <family val="3"/>
        <charset val="134"/>
      </rPr>
      <t>平均季度增幅（公示）</t>
    </r>
    <phoneticPr fontId="3" type="noConversion"/>
  </si>
  <si>
    <r>
      <rPr>
        <sz val="11"/>
        <rFont val="宋体"/>
        <family val="3"/>
        <charset val="134"/>
      </rPr>
      <t>商业</t>
    </r>
    <phoneticPr fontId="3" type="noConversion"/>
  </si>
  <si>
    <r>
      <rPr>
        <sz val="11"/>
        <rFont val="宋体"/>
        <family val="3"/>
        <charset val="134"/>
      </rPr>
      <t>（</t>
    </r>
    <r>
      <rPr>
        <sz val="11"/>
        <rFont val="Arial"/>
        <family val="2"/>
      </rPr>
      <t>1</t>
    </r>
    <r>
      <rPr>
        <sz val="11"/>
        <rFont val="宋体"/>
        <family val="3"/>
        <charset val="134"/>
      </rPr>
      <t>）</t>
    </r>
    <phoneticPr fontId="78" type="noConversion"/>
  </si>
  <si>
    <r>
      <rPr>
        <sz val="11"/>
        <rFont val="宋体"/>
        <family val="3"/>
        <charset val="134"/>
      </rPr>
      <t>容积率修正系数</t>
    </r>
    <phoneticPr fontId="3" type="noConversion"/>
  </si>
  <si>
    <r>
      <t>R</t>
    </r>
    <r>
      <rPr>
        <sz val="11"/>
        <rFont val="宋体"/>
        <family val="3"/>
        <charset val="134"/>
      </rPr>
      <t>≤</t>
    </r>
    <r>
      <rPr>
        <sz val="11"/>
        <rFont val="Arial"/>
        <family val="2"/>
      </rPr>
      <t>10</t>
    </r>
    <phoneticPr fontId="3" type="noConversion"/>
  </si>
  <si>
    <r>
      <rPr>
        <sz val="11"/>
        <rFont val="宋体"/>
        <family val="3"/>
        <charset val="134"/>
      </rPr>
      <t>办公</t>
    </r>
    <phoneticPr fontId="3" type="noConversion"/>
  </si>
  <si>
    <r>
      <rPr>
        <sz val="11"/>
        <rFont val="宋体"/>
        <family val="3"/>
        <charset val="134"/>
      </rPr>
      <t>（</t>
    </r>
    <r>
      <rPr>
        <sz val="11"/>
        <rFont val="Arial"/>
        <family val="2"/>
      </rPr>
      <t>2</t>
    </r>
    <r>
      <rPr>
        <sz val="11"/>
        <rFont val="宋体"/>
        <family val="3"/>
        <charset val="134"/>
      </rPr>
      <t>）</t>
    </r>
    <phoneticPr fontId="78" type="noConversion"/>
  </si>
  <si>
    <r>
      <rPr>
        <sz val="11"/>
        <rFont val="宋体"/>
        <family val="3"/>
        <charset val="134"/>
      </rPr>
      <t>楼层修正系数（商业）</t>
    </r>
    <phoneticPr fontId="3" type="noConversion"/>
  </si>
  <si>
    <r>
      <rPr>
        <sz val="11"/>
        <rFont val="宋体"/>
        <family val="3"/>
        <charset val="134"/>
      </rPr>
      <t>住宅</t>
    </r>
  </si>
  <si>
    <r>
      <rPr>
        <b/>
        <sz val="11"/>
        <rFont val="宋体"/>
        <family val="3"/>
        <charset val="134"/>
      </rPr>
      <t>因素修正系数</t>
    </r>
    <phoneticPr fontId="3" type="noConversion"/>
  </si>
  <si>
    <r>
      <rPr>
        <sz val="11"/>
        <rFont val="宋体"/>
        <family val="3"/>
        <charset val="134"/>
      </rPr>
      <t>工业</t>
    </r>
  </si>
  <si>
    <r>
      <rPr>
        <b/>
        <sz val="11"/>
        <rFont val="宋体"/>
        <family val="3"/>
        <charset val="134"/>
      </rPr>
      <t>估算结果</t>
    </r>
    <phoneticPr fontId="3" type="noConversion"/>
  </si>
  <si>
    <r>
      <rPr>
        <sz val="11"/>
        <rFont val="宋体"/>
        <family val="3"/>
        <charset val="134"/>
      </rPr>
      <t>综合</t>
    </r>
    <phoneticPr fontId="3" type="noConversion"/>
  </si>
  <si>
    <r>
      <rPr>
        <sz val="11"/>
        <rFont val="宋体"/>
        <family val="3"/>
        <charset val="134"/>
      </rPr>
      <t>熟地价</t>
    </r>
    <phoneticPr fontId="78" type="noConversion"/>
  </si>
  <si>
    <r>
      <rPr>
        <sz val="11"/>
        <rFont val="宋体"/>
        <family val="3"/>
        <charset val="134"/>
      </rPr>
      <t>政府土地出让收益</t>
    </r>
    <phoneticPr fontId="78" type="noConversion"/>
  </si>
  <si>
    <r>
      <rPr>
        <b/>
        <sz val="10"/>
        <rFont val="宋体"/>
        <family val="3"/>
        <charset val="134"/>
      </rPr>
      <t>地上部分</t>
    </r>
    <phoneticPr fontId="3" type="noConversion"/>
  </si>
  <si>
    <r>
      <rPr>
        <b/>
        <sz val="11"/>
        <rFont val="宋体"/>
        <family val="3"/>
        <charset val="134"/>
      </rPr>
      <t>单价</t>
    </r>
    <phoneticPr fontId="3" type="noConversion"/>
  </si>
  <si>
    <r>
      <rPr>
        <b/>
        <sz val="11"/>
        <rFont val="宋体"/>
        <family val="3"/>
        <charset val="134"/>
      </rPr>
      <t>建筑面积</t>
    </r>
    <phoneticPr fontId="3" type="noConversion"/>
  </si>
  <si>
    <r>
      <rPr>
        <b/>
        <sz val="11"/>
        <rFont val="宋体"/>
        <family val="3"/>
        <charset val="134"/>
      </rPr>
      <t>总额</t>
    </r>
    <phoneticPr fontId="3" type="noConversion"/>
  </si>
  <si>
    <r>
      <rPr>
        <sz val="10"/>
        <rFont val="宋体"/>
        <family val="3"/>
        <charset val="134"/>
      </rPr>
      <t>地上部分</t>
    </r>
    <r>
      <rPr>
        <sz val="10"/>
        <rFont val="Arial"/>
        <family val="2"/>
      </rPr>
      <t>——</t>
    </r>
    <r>
      <rPr>
        <sz val="10"/>
        <rFont val="宋体"/>
        <family val="3"/>
        <charset val="134"/>
      </rPr>
      <t>楼面熟地价</t>
    </r>
    <phoneticPr fontId="3"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</si>
  <si>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3" type="noConversion"/>
  </si>
  <si>
    <r>
      <rPr>
        <sz val="10"/>
        <rFont val="宋体"/>
        <family val="3"/>
        <charset val="134"/>
      </rPr>
      <t>地上部分</t>
    </r>
    <r>
      <rPr>
        <sz val="10"/>
        <rFont val="Arial"/>
        <family val="2"/>
      </rPr>
      <t>——</t>
    </r>
    <r>
      <rPr>
        <sz val="10"/>
        <rFont val="宋体"/>
        <family val="3"/>
        <charset val="134"/>
      </rPr>
      <t>政府土地出让收益</t>
    </r>
    <phoneticPr fontId="3"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</si>
  <si>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3" type="noConversion"/>
  </si>
  <si>
    <r>
      <rPr>
        <b/>
        <sz val="10"/>
        <rFont val="宋体"/>
        <family val="3"/>
        <charset val="134"/>
      </rPr>
      <t>地下部分</t>
    </r>
    <phoneticPr fontId="3"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</si>
  <si>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8"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</si>
  <si>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8" type="noConversion"/>
  </si>
  <si>
    <r>
      <rPr>
        <sz val="10"/>
        <rFont val="宋体"/>
        <family val="3"/>
        <charset val="134"/>
      </rPr>
      <t>相应用途地下空间修正系数</t>
    </r>
  </si>
  <si>
    <r>
      <rPr>
        <sz val="10"/>
        <color theme="1"/>
        <rFont val="宋体"/>
        <family val="3"/>
        <charset val="134"/>
      </rPr>
      <t>地下第</t>
    </r>
    <r>
      <rPr>
        <sz val="10"/>
        <color theme="1"/>
        <rFont val="Arial"/>
        <family val="2"/>
      </rPr>
      <t>1</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</si>
  <si>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</si>
  <si>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</si>
  <si>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3" type="noConversion"/>
  </si>
  <si>
    <r>
      <rPr>
        <sz val="10"/>
        <color theme="1"/>
        <rFont val="宋体"/>
        <family val="3"/>
        <charset val="134"/>
      </rPr>
      <t>地下办公</t>
    </r>
    <phoneticPr fontId="3" type="noConversion"/>
  </si>
  <si>
    <r>
      <rPr>
        <sz val="10"/>
        <rFont val="宋体"/>
        <family val="3"/>
        <charset val="134"/>
      </rPr>
      <t>政府土地出让收益比例</t>
    </r>
    <phoneticPr fontId="78" type="noConversion"/>
  </si>
  <si>
    <r>
      <rPr>
        <sz val="10"/>
        <color theme="1"/>
        <rFont val="宋体"/>
        <family val="3"/>
        <charset val="134"/>
      </rPr>
      <t>地下仓储</t>
    </r>
    <phoneticPr fontId="3"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</si>
  <si>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3" type="noConversion"/>
  </si>
  <si>
    <r>
      <rPr>
        <sz val="10"/>
        <color theme="1"/>
        <rFont val="宋体"/>
        <family val="3"/>
        <charset val="134"/>
      </rPr>
      <t>地下车库</t>
    </r>
    <phoneticPr fontId="3" type="noConversion"/>
  </si>
  <si>
    <r>
      <rPr>
        <b/>
        <sz val="11"/>
        <color rgb="FFFF0000"/>
        <rFont val="宋体"/>
        <family val="3"/>
        <charset val="134"/>
      </rPr>
      <t>结果不可超过《北京市区片基准地价因素总修正幅度表》所列修正幅度；依据估价对象用途调整链接</t>
    </r>
    <phoneticPr fontId="3" type="noConversion"/>
  </si>
  <si>
    <r>
      <rPr>
        <b/>
        <sz val="11"/>
        <color rgb="FFFF0000"/>
        <rFont val="宋体"/>
        <family val="3"/>
        <charset val="134"/>
      </rPr>
      <t>商业</t>
    </r>
    <phoneticPr fontId="3" type="noConversion"/>
  </si>
  <si>
    <r>
      <rPr>
        <sz val="10"/>
        <color theme="1"/>
        <rFont val="宋体"/>
        <family val="3"/>
        <charset val="134"/>
      </rPr>
      <t>影响因素</t>
    </r>
    <phoneticPr fontId="3" type="noConversion"/>
  </si>
  <si>
    <r>
      <rPr>
        <sz val="10"/>
        <color theme="1"/>
        <rFont val="宋体"/>
        <family val="3"/>
        <charset val="134"/>
      </rPr>
      <t>情况说明</t>
    </r>
    <phoneticPr fontId="3" type="noConversion"/>
  </si>
  <si>
    <r>
      <rPr>
        <sz val="10"/>
        <color theme="1"/>
        <rFont val="宋体"/>
        <family val="3"/>
        <charset val="134"/>
      </rPr>
      <t>等级</t>
    </r>
    <phoneticPr fontId="3" type="noConversion"/>
  </si>
  <si>
    <r>
      <rPr>
        <sz val="10"/>
        <color indexed="8"/>
        <rFont val="宋体"/>
        <family val="3"/>
        <charset val="134"/>
      </rPr>
      <t>修正幅度</t>
    </r>
    <phoneticPr fontId="3" type="noConversion"/>
  </si>
  <si>
    <r>
      <rPr>
        <sz val="10"/>
        <rFont val="宋体"/>
        <family val="3"/>
        <charset val="134"/>
      </rPr>
      <t>合计</t>
    </r>
    <phoneticPr fontId="3" type="noConversion"/>
  </si>
  <si>
    <r>
      <rPr>
        <sz val="10"/>
        <color rgb="FFFF0000"/>
        <rFont val="宋体"/>
        <family val="3"/>
        <charset val="134"/>
      </rPr>
      <t>总幅度控制</t>
    </r>
    <r>
      <rPr>
        <sz val="10"/>
        <color rgb="FFFF0000"/>
        <rFont val="Arial"/>
        <family val="2"/>
      </rPr>
      <t>(±)</t>
    </r>
    <phoneticPr fontId="78" type="noConversion"/>
  </si>
  <si>
    <r>
      <rPr>
        <sz val="10"/>
        <color rgb="FFFF0000"/>
        <rFont val="宋体"/>
        <family val="3"/>
        <charset val="134"/>
      </rPr>
      <t>各因素幅度控制</t>
    </r>
    <r>
      <rPr>
        <sz val="10"/>
        <color rgb="FFFF0000"/>
        <rFont val="Arial"/>
        <family val="2"/>
      </rPr>
      <t>(±)</t>
    </r>
    <phoneticPr fontId="78" type="noConversion"/>
  </si>
  <si>
    <r>
      <rPr>
        <sz val="10"/>
        <color indexed="8"/>
        <rFont val="宋体"/>
        <family val="3"/>
        <charset val="134"/>
      </rPr>
      <t>权重</t>
    </r>
    <phoneticPr fontId="3" type="noConversion"/>
  </si>
  <si>
    <r>
      <t xml:space="preserve"> </t>
    </r>
    <r>
      <rPr>
        <sz val="10"/>
        <color theme="1"/>
        <rFont val="宋体"/>
        <family val="3"/>
        <charset val="134"/>
      </rPr>
      <t>商业繁华程度</t>
    </r>
    <phoneticPr fontId="3" type="noConversion"/>
  </si>
  <si>
    <r>
      <rPr>
        <sz val="10"/>
        <color theme="1"/>
        <rFont val="宋体"/>
        <family val="3"/>
        <charset val="134"/>
      </rPr>
      <t>交通便捷度</t>
    </r>
    <phoneticPr fontId="3" type="noConversion"/>
  </si>
  <si>
    <r>
      <rPr>
        <sz val="10"/>
        <color theme="1"/>
        <rFont val="宋体"/>
        <family val="3"/>
        <charset val="134"/>
      </rPr>
      <t>区域土地利用方向</t>
    </r>
    <phoneticPr fontId="3" type="noConversion"/>
  </si>
  <si>
    <r>
      <rPr>
        <sz val="10"/>
        <color theme="1"/>
        <rFont val="宋体"/>
        <family val="3"/>
        <charset val="134"/>
      </rPr>
      <t>临街宽度和深度</t>
    </r>
    <phoneticPr fontId="3"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</si>
  <si>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78" type="noConversion"/>
  </si>
  <si>
    <r>
      <rPr>
        <sz val="10"/>
        <color theme="1"/>
        <rFont val="宋体"/>
        <family val="3"/>
        <charset val="134"/>
      </rPr>
      <t>临街道路状况</t>
    </r>
    <phoneticPr fontId="3" type="noConversion"/>
  </si>
  <si>
    <r>
      <rPr>
        <sz val="10"/>
        <color theme="1"/>
        <rFont val="宋体"/>
        <family val="3"/>
        <charset val="134"/>
      </rPr>
      <t>宗地形状及可利用程度</t>
    </r>
    <phoneticPr fontId="3" type="noConversion"/>
  </si>
  <si>
    <r>
      <rPr>
        <sz val="10"/>
        <color theme="9" tint="-0.249977111117893"/>
        <rFont val="宋体"/>
        <family val="3"/>
        <charset val="134"/>
      </rPr>
      <t>宗地形状？，但对宗地利用影响？</t>
    </r>
    <phoneticPr fontId="78" type="noConversion"/>
  </si>
  <si>
    <r>
      <rPr>
        <sz val="10"/>
        <color theme="1"/>
        <rFont val="宋体"/>
        <family val="3"/>
        <charset val="134"/>
      </rPr>
      <t>公共服务设施状况</t>
    </r>
    <phoneticPr fontId="3" type="noConversion"/>
  </si>
  <si>
    <r>
      <rPr>
        <sz val="10"/>
        <color theme="1"/>
        <rFont val="宋体"/>
        <family val="3"/>
        <charset val="134"/>
      </rPr>
      <t>基础设施完备状况</t>
    </r>
    <phoneticPr fontId="3" type="noConversion"/>
  </si>
  <si>
    <r>
      <rPr>
        <sz val="10"/>
        <color theme="1"/>
        <rFont val="宋体"/>
        <family val="3"/>
        <charset val="134"/>
      </rPr>
      <t>自然和人文环境状况</t>
    </r>
    <phoneticPr fontId="3" type="noConversion"/>
  </si>
  <si>
    <r>
      <rPr>
        <b/>
        <sz val="11"/>
        <color rgb="FFFF0000"/>
        <rFont val="宋体"/>
        <family val="3"/>
        <charset val="134"/>
      </rPr>
      <t>办公</t>
    </r>
    <phoneticPr fontId="3" type="noConversion"/>
  </si>
  <si>
    <r>
      <rPr>
        <sz val="10"/>
        <color rgb="FFFF0000"/>
        <rFont val="宋体"/>
        <family val="3"/>
        <charset val="134"/>
      </rPr>
      <t>幅度控制</t>
    </r>
    <r>
      <rPr>
        <sz val="10"/>
        <color rgb="FFFF0000"/>
        <rFont val="Arial"/>
        <family val="2"/>
      </rPr>
      <t>(±)</t>
    </r>
    <phoneticPr fontId="78" type="noConversion"/>
  </si>
  <si>
    <r>
      <rPr>
        <sz val="10"/>
        <color theme="1"/>
        <rFont val="宋体"/>
        <family val="3"/>
        <charset val="134"/>
      </rPr>
      <t>办公集聚程度</t>
    </r>
    <phoneticPr fontId="3" type="noConversion"/>
  </si>
  <si>
    <r>
      <rPr>
        <b/>
        <sz val="11"/>
        <color rgb="FFFF0000"/>
        <rFont val="宋体"/>
        <family val="3"/>
        <charset val="134"/>
      </rPr>
      <t>住宅</t>
    </r>
    <phoneticPr fontId="3" type="noConversion"/>
  </si>
  <si>
    <r>
      <rPr>
        <sz val="10"/>
        <color theme="1"/>
        <rFont val="宋体"/>
        <family val="3"/>
        <charset val="134"/>
      </rPr>
      <t>居住社区成熟度</t>
    </r>
    <phoneticPr fontId="3" type="noConversion"/>
  </si>
  <si>
    <r>
      <rPr>
        <sz val="10"/>
        <color theme="1"/>
        <rFont val="宋体"/>
        <family val="3"/>
        <charset val="134"/>
      </rPr>
      <t>临路状况</t>
    </r>
    <phoneticPr fontId="3" type="noConversion"/>
  </si>
  <si>
    <r>
      <rPr>
        <sz val="10"/>
        <color theme="1"/>
        <rFont val="宋体"/>
        <family val="3"/>
        <charset val="134"/>
      </rPr>
      <t>与区域中心的接近程度</t>
    </r>
    <phoneticPr fontId="3" type="noConversion"/>
  </si>
  <si>
    <r>
      <rPr>
        <b/>
        <sz val="11"/>
        <color rgb="FFFF0000"/>
        <rFont val="宋体"/>
        <family val="3"/>
        <charset val="134"/>
      </rPr>
      <t>工业</t>
    </r>
    <phoneticPr fontId="3" type="noConversion"/>
  </si>
  <si>
    <r>
      <rPr>
        <sz val="10"/>
        <color theme="1"/>
        <rFont val="宋体"/>
        <family val="3"/>
        <charset val="134"/>
      </rPr>
      <t>产业集聚程度</t>
    </r>
    <phoneticPr fontId="3" type="noConversion"/>
  </si>
  <si>
    <r>
      <rPr>
        <sz val="10"/>
        <color theme="9" tint="-0.249977111117893"/>
        <rFont val="宋体"/>
        <family val="3"/>
        <charset val="134"/>
      </rPr>
      <t>宗地形状不规则，但对宗地利用影响较小</t>
    </r>
  </si>
  <si>
    <r>
      <rPr>
        <sz val="10"/>
        <color theme="1"/>
        <rFont val="宋体"/>
        <family val="3"/>
        <charset val="134"/>
      </rPr>
      <t>环境状况</t>
    </r>
    <phoneticPr fontId="3" type="noConversion"/>
  </si>
  <si>
    <r>
      <rPr>
        <b/>
        <sz val="10"/>
        <color theme="1"/>
        <rFont val="宋体"/>
        <family val="3"/>
        <charset val="134"/>
      </rPr>
      <t>北京市基准地价商业用途楼层修正系数表</t>
    </r>
    <phoneticPr fontId="3" type="noConversion"/>
  </si>
  <si>
    <r>
      <rPr>
        <sz val="10"/>
        <color theme="1"/>
        <rFont val="宋体"/>
        <family val="3"/>
        <charset val="134"/>
      </rPr>
      <t>用途</t>
    </r>
    <phoneticPr fontId="3" type="noConversion"/>
  </si>
  <si>
    <r>
      <rPr>
        <sz val="10"/>
        <color theme="1"/>
        <rFont val="宋体"/>
        <family val="3"/>
        <charset val="134"/>
      </rPr>
      <t>所在楼层</t>
    </r>
    <phoneticPr fontId="3" type="noConversion"/>
  </si>
  <si>
    <r>
      <rPr>
        <sz val="10"/>
        <color theme="1"/>
        <rFont val="宋体"/>
        <family val="3"/>
        <charset val="134"/>
      </rPr>
      <t>楼层修正系数</t>
    </r>
    <phoneticPr fontId="3"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</si>
  <si>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3" type="noConversion"/>
  </si>
  <si>
    <r>
      <rPr>
        <sz val="10"/>
        <color theme="1"/>
        <rFont val="宋体"/>
        <family val="3"/>
        <charset val="134"/>
      </rPr>
      <t>商业</t>
    </r>
    <r>
      <rPr>
        <sz val="10"/>
        <color theme="1"/>
        <rFont val="Arial"/>
        <family val="2"/>
      </rPr>
      <t>R</t>
    </r>
    <r>
      <rPr>
        <sz val="10"/>
        <color indexed="8"/>
        <rFont val="Arial"/>
        <family val="2"/>
      </rPr>
      <t>&lt;1</t>
    </r>
    <phoneticPr fontId="3" type="noConversion"/>
  </si>
  <si>
    <r>
      <rPr>
        <sz val="10"/>
        <color theme="1"/>
        <rFont val="宋体"/>
        <family val="3"/>
        <charset val="134"/>
      </rPr>
      <t>容积率</t>
    </r>
    <phoneticPr fontId="3"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</si>
  <si>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</si>
  <si>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3" type="noConversion"/>
  </si>
  <si>
    <r>
      <rPr>
        <sz val="10"/>
        <rFont val="宋体"/>
        <family val="3"/>
        <charset val="134"/>
      </rPr>
      <t>宗地容积率</t>
    </r>
    <r>
      <rPr>
        <sz val="10"/>
        <rFont val="Arial"/>
        <family val="2"/>
      </rPr>
      <t>R</t>
    </r>
    <phoneticPr fontId="3" type="noConversion"/>
  </si>
  <si>
    <r>
      <rPr>
        <sz val="10"/>
        <rFont val="宋体"/>
        <family val="3"/>
        <charset val="134"/>
      </rPr>
      <t>修正系数</t>
    </r>
    <phoneticPr fontId="3" type="noConversion"/>
  </si>
  <si>
    <r>
      <rPr>
        <sz val="10"/>
        <rFont val="宋体"/>
        <family val="3"/>
        <charset val="134"/>
      </rPr>
      <t>一级</t>
    </r>
    <phoneticPr fontId="3" type="noConversion"/>
  </si>
  <si>
    <r>
      <rPr>
        <sz val="10"/>
        <rFont val="宋体"/>
        <family val="3"/>
        <charset val="134"/>
      </rPr>
      <t>二级</t>
    </r>
    <phoneticPr fontId="3" type="noConversion"/>
  </si>
  <si>
    <r>
      <rPr>
        <sz val="10"/>
        <rFont val="宋体"/>
        <family val="3"/>
        <charset val="134"/>
      </rPr>
      <t>三级</t>
    </r>
    <phoneticPr fontId="3" type="noConversion"/>
  </si>
  <si>
    <r>
      <rPr>
        <sz val="10"/>
        <rFont val="宋体"/>
        <family val="3"/>
        <charset val="134"/>
      </rPr>
      <t>四级</t>
    </r>
    <phoneticPr fontId="3" type="noConversion"/>
  </si>
  <si>
    <r>
      <rPr>
        <sz val="10"/>
        <rFont val="宋体"/>
        <family val="3"/>
        <charset val="134"/>
      </rPr>
      <t>五级</t>
    </r>
    <phoneticPr fontId="3" type="noConversion"/>
  </si>
  <si>
    <r>
      <rPr>
        <sz val="10"/>
        <rFont val="宋体"/>
        <family val="3"/>
        <charset val="134"/>
      </rPr>
      <t>六级</t>
    </r>
    <phoneticPr fontId="3" type="noConversion"/>
  </si>
  <si>
    <r>
      <rPr>
        <sz val="10"/>
        <rFont val="宋体"/>
        <family val="3"/>
        <charset val="134"/>
      </rPr>
      <t>七级</t>
    </r>
    <phoneticPr fontId="3" type="noConversion"/>
  </si>
  <si>
    <r>
      <rPr>
        <sz val="10"/>
        <rFont val="宋体"/>
        <family val="3"/>
        <charset val="134"/>
      </rPr>
      <t>八级</t>
    </r>
    <phoneticPr fontId="3" type="noConversion"/>
  </si>
  <si>
    <r>
      <rPr>
        <sz val="10"/>
        <rFont val="宋体"/>
        <family val="3"/>
        <charset val="134"/>
      </rPr>
      <t>九级</t>
    </r>
    <phoneticPr fontId="3" type="noConversion"/>
  </si>
  <si>
    <r>
      <rPr>
        <sz val="10"/>
        <rFont val="宋体"/>
        <family val="3"/>
        <charset val="134"/>
      </rPr>
      <t>十级</t>
    </r>
    <phoneticPr fontId="3" type="noConversion"/>
  </si>
  <si>
    <r>
      <rPr>
        <sz val="10"/>
        <rFont val="宋体"/>
        <family val="3"/>
        <charset val="134"/>
      </rPr>
      <t>十一级</t>
    </r>
    <phoneticPr fontId="3" type="noConversion"/>
  </si>
  <si>
    <r>
      <rPr>
        <sz val="10"/>
        <rFont val="宋体"/>
        <family val="3"/>
        <charset val="134"/>
      </rPr>
      <t>十二级</t>
    </r>
    <phoneticPr fontId="3" type="noConversion"/>
  </si>
  <si>
    <r>
      <rPr>
        <b/>
        <sz val="12"/>
        <color theme="1"/>
        <rFont val="宋体"/>
        <family val="3"/>
        <charset val="134"/>
      </rPr>
      <t>总价</t>
    </r>
  </si>
  <si>
    <r>
      <rPr>
        <b/>
        <sz val="12"/>
        <color theme="1"/>
        <rFont val="宋体"/>
        <family val="3"/>
        <charset val="134"/>
      </rPr>
      <t>万元</t>
    </r>
  </si>
  <si>
    <r>
      <rPr>
        <b/>
        <sz val="12"/>
        <color theme="1"/>
        <rFont val="宋体"/>
        <family val="3"/>
        <charset val="134"/>
      </rPr>
      <t>汇总建筑面积</t>
    </r>
  </si>
  <si>
    <r>
      <rPr>
        <b/>
        <sz val="12"/>
        <color theme="1"/>
        <rFont val="宋体"/>
        <family val="3"/>
        <charset val="134"/>
      </rPr>
      <t>楼面单价</t>
    </r>
  </si>
  <si>
    <r>
      <rPr>
        <b/>
        <sz val="12"/>
        <color theme="1"/>
        <rFont val="宋体"/>
        <family val="3"/>
        <charset val="134"/>
      </rPr>
      <t>本次评估所采用的基准地价系数修正法</t>
    </r>
    <phoneticPr fontId="140" type="noConversion"/>
  </si>
  <si>
    <r>
      <rPr>
        <b/>
        <sz val="12"/>
        <color theme="1"/>
        <rFont val="宋体"/>
        <family val="3"/>
        <charset val="134"/>
      </rPr>
      <t>估价结果</t>
    </r>
  </si>
  <si>
    <r>
      <rPr>
        <b/>
        <sz val="12"/>
        <color theme="1"/>
        <rFont val="宋体"/>
        <family val="3"/>
        <charset val="134"/>
      </rPr>
      <t>建筑面积</t>
    </r>
  </si>
  <si>
    <r>
      <rPr>
        <b/>
        <sz val="12"/>
        <color theme="1"/>
        <rFont val="宋体"/>
        <family val="3"/>
        <charset val="134"/>
      </rPr>
      <t>基准地价修正</t>
    </r>
  </si>
  <si>
    <r>
      <rPr>
        <b/>
        <sz val="16"/>
        <color rgb="FFFF0000"/>
        <rFont val="宋体"/>
        <family val="3"/>
        <charset val="134"/>
      </rPr>
      <t>基准地价（汇总）</t>
    </r>
    <phoneticPr fontId="3" type="noConversion"/>
  </si>
  <si>
    <r>
      <rPr>
        <b/>
        <sz val="12"/>
        <color theme="1"/>
        <rFont val="宋体"/>
        <family val="3"/>
        <charset val="134"/>
      </rPr>
      <t>元</t>
    </r>
    <r>
      <rPr>
        <b/>
        <sz val="12"/>
        <color theme="1"/>
        <rFont val="Arial"/>
        <family val="2"/>
      </rPr>
      <t>/</t>
    </r>
    <r>
      <rPr>
        <b/>
        <sz val="12"/>
        <color theme="1"/>
        <rFont val="宋体"/>
        <family val="3"/>
        <charset val="134"/>
      </rPr>
      <t>平方米</t>
    </r>
  </si>
  <si>
    <r>
      <rPr>
        <sz val="10"/>
        <color indexed="8"/>
        <rFont val="宋体"/>
        <family val="3"/>
        <charset val="134"/>
      </rPr>
      <t>修正项</t>
    </r>
    <phoneticPr fontId="3" type="noConversion"/>
  </si>
  <si>
    <r>
      <rPr>
        <sz val="10"/>
        <color indexed="8"/>
        <rFont val="宋体"/>
        <family val="3"/>
        <charset val="134"/>
      </rPr>
      <t>说明</t>
    </r>
    <phoneticPr fontId="3" type="noConversion"/>
  </si>
  <si>
    <r>
      <rPr>
        <sz val="10"/>
        <color indexed="8"/>
        <rFont val="宋体"/>
        <family val="3"/>
        <charset val="134"/>
      </rPr>
      <t>修正系数</t>
    </r>
    <phoneticPr fontId="3" type="noConversion"/>
  </si>
  <si>
    <r>
      <rPr>
        <sz val="10"/>
        <color indexed="8"/>
        <rFont val="宋体"/>
        <family val="3"/>
        <charset val="134"/>
      </rPr>
      <t>建筑面积</t>
    </r>
    <phoneticPr fontId="3" type="noConversion"/>
  </si>
  <si>
    <r>
      <rPr>
        <sz val="10"/>
        <color theme="9" tint="-0.249977111117893"/>
        <rFont val="宋体"/>
        <family val="3"/>
        <charset val="134"/>
      </rPr>
      <t>修正项</t>
    </r>
    <r>
      <rPr>
        <sz val="10"/>
        <color theme="9" tint="-0.249977111117893"/>
        <rFont val="Arial"/>
        <family val="2"/>
      </rPr>
      <t>2</t>
    </r>
    <phoneticPr fontId="3" type="noConversion"/>
  </si>
  <si>
    <r>
      <rPr>
        <sz val="10"/>
        <color theme="9" tint="-0.249977111117893"/>
        <rFont val="宋体"/>
        <family val="3"/>
        <charset val="134"/>
      </rPr>
      <t>修正项</t>
    </r>
    <r>
      <rPr>
        <sz val="10"/>
        <color theme="9" tint="-0.249977111117893"/>
        <rFont val="Arial"/>
        <family val="2"/>
      </rPr>
      <t>3</t>
    </r>
    <phoneticPr fontId="3" type="noConversion"/>
  </si>
  <si>
    <r>
      <rPr>
        <sz val="10"/>
        <color theme="9" tint="-0.249977111117893"/>
        <rFont val="宋体"/>
        <family val="3"/>
        <charset val="134"/>
      </rPr>
      <t>修正项</t>
    </r>
    <r>
      <rPr>
        <sz val="10"/>
        <color theme="9" tint="-0.249977111117893"/>
        <rFont val="Arial"/>
        <family val="2"/>
      </rPr>
      <t>4</t>
    </r>
    <phoneticPr fontId="3" type="noConversion"/>
  </si>
  <si>
    <r>
      <rPr>
        <sz val="10"/>
        <color theme="9" tint="-0.249977111117893"/>
        <rFont val="宋体"/>
        <family val="3"/>
        <charset val="134"/>
      </rPr>
      <t>修正项</t>
    </r>
    <r>
      <rPr>
        <sz val="10"/>
        <color theme="9" tint="-0.249977111117893"/>
        <rFont val="Arial"/>
        <family val="2"/>
      </rPr>
      <t>5</t>
    </r>
    <phoneticPr fontId="3" type="noConversion"/>
  </si>
  <si>
    <r>
      <rPr>
        <sz val="10"/>
        <color theme="9" tint="-0.249977111117893"/>
        <rFont val="宋体"/>
        <family val="3"/>
        <charset val="134"/>
      </rPr>
      <t>修正项</t>
    </r>
    <r>
      <rPr>
        <sz val="10"/>
        <color theme="9" tint="-0.249977111117893"/>
        <rFont val="Arial"/>
        <family val="2"/>
      </rPr>
      <t>6</t>
    </r>
    <phoneticPr fontId="3" type="noConversion"/>
  </si>
  <si>
    <r>
      <rPr>
        <sz val="10"/>
        <color theme="9" tint="-0.249977111117893"/>
        <rFont val="宋体"/>
        <family val="3"/>
        <charset val="134"/>
      </rPr>
      <t>修正项</t>
    </r>
    <r>
      <rPr>
        <sz val="10"/>
        <color theme="9" tint="-0.249977111117893"/>
        <rFont val="Arial"/>
        <family val="2"/>
      </rPr>
      <t>7</t>
    </r>
    <phoneticPr fontId="3" type="noConversion"/>
  </si>
  <si>
    <r>
      <rPr>
        <b/>
        <sz val="10"/>
        <color indexed="8"/>
        <rFont val="宋体"/>
        <family val="3"/>
        <charset val="134"/>
      </rPr>
      <t>修正系数</t>
    </r>
    <phoneticPr fontId="3" type="noConversion"/>
  </si>
  <si>
    <r>
      <rPr>
        <sz val="10"/>
        <color indexed="8"/>
        <rFont val="宋体"/>
        <family val="3"/>
        <charset val="134"/>
      </rPr>
      <t>楼层</t>
    </r>
    <phoneticPr fontId="3" type="noConversion"/>
  </si>
  <si>
    <r>
      <rPr>
        <b/>
        <sz val="10"/>
        <color indexed="8"/>
        <rFont val="宋体"/>
        <family val="3"/>
        <charset val="134"/>
      </rPr>
      <t>承租人权益</t>
    </r>
    <phoneticPr fontId="25" type="noConversion"/>
  </si>
  <si>
    <r>
      <rPr>
        <b/>
        <sz val="12"/>
        <color indexed="8"/>
        <rFont val="宋体"/>
        <family val="3"/>
        <charset val="134"/>
      </rPr>
      <t>总价</t>
    </r>
    <phoneticPr fontId="25" type="noConversion"/>
  </si>
  <si>
    <r>
      <rPr>
        <sz val="10"/>
        <color indexed="8"/>
        <rFont val="宋体"/>
        <family val="3"/>
        <charset val="134"/>
      </rPr>
      <t>万元</t>
    </r>
    <phoneticPr fontId="25" type="noConversion"/>
  </si>
  <si>
    <r>
      <rPr>
        <b/>
        <sz val="12"/>
        <color indexed="8"/>
        <rFont val="宋体"/>
        <family val="3"/>
        <charset val="134"/>
      </rPr>
      <t>楼面单价</t>
    </r>
    <phoneticPr fontId="25" type="noConversion"/>
  </si>
  <si>
    <r>
      <rPr>
        <b/>
        <sz val="10"/>
        <color indexed="8"/>
        <rFont val="宋体"/>
        <family val="3"/>
        <charset val="134"/>
      </rPr>
      <t>合计</t>
    </r>
    <phoneticPr fontId="25"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</si>
  <si>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5" type="noConversion"/>
  </si>
  <si>
    <r>
      <rPr>
        <sz val="10"/>
        <color indexed="8"/>
        <rFont val="宋体"/>
        <family val="3"/>
        <charset val="134"/>
      </rPr>
      <t>建筑面积</t>
    </r>
    <phoneticPr fontId="25" type="noConversion"/>
  </si>
  <si>
    <r>
      <rPr>
        <sz val="10"/>
        <color indexed="8"/>
        <rFont val="宋体"/>
        <family val="3"/>
        <charset val="134"/>
      </rPr>
      <t>修正系数</t>
    </r>
    <phoneticPr fontId="25" type="noConversion"/>
  </si>
  <si>
    <r>
      <rPr>
        <sz val="10"/>
        <color indexed="8"/>
        <rFont val="宋体"/>
        <family val="3"/>
        <charset val="134"/>
      </rPr>
      <t>修正单价</t>
    </r>
    <phoneticPr fontId="25" type="noConversion"/>
  </si>
  <si>
    <r>
      <rPr>
        <sz val="10"/>
        <color indexed="8"/>
        <rFont val="宋体"/>
        <family val="3"/>
        <charset val="134"/>
      </rPr>
      <t>总价</t>
    </r>
    <phoneticPr fontId="25" type="noConversion"/>
  </si>
  <si>
    <r>
      <rPr>
        <b/>
        <sz val="10"/>
        <color indexed="10"/>
        <rFont val="宋体"/>
        <family val="3"/>
        <charset val="134"/>
      </rPr>
      <t>基准户型</t>
    </r>
    <phoneticPr fontId="25" type="noConversion"/>
  </si>
  <si>
    <r>
      <rPr>
        <sz val="10"/>
        <color indexed="8"/>
        <rFont val="宋体"/>
        <family val="3"/>
        <charset val="134"/>
      </rPr>
      <t>租金</t>
    </r>
    <r>
      <rPr>
        <sz val="10"/>
        <color indexed="8"/>
        <rFont val="Arial"/>
        <family val="2"/>
      </rPr>
      <t>×</t>
    </r>
    <r>
      <rPr>
        <sz val="10"/>
        <color indexed="8"/>
        <rFont val="宋体"/>
        <family val="3"/>
        <charset val="134"/>
      </rPr>
      <t>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</si>
  <si>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租金×天数×建筑面积×（1-空置率）</t>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</si>
  <si>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</si>
  <si>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</si>
  <si>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</si>
  <si>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2017-4</t>
    <phoneticPr fontId="3" type="noConversion"/>
  </si>
  <si>
    <t>2017-3</t>
    <phoneticPr fontId="3" type="noConversion"/>
  </si>
  <si>
    <t>2018-1</t>
    <phoneticPr fontId="3" type="noConversion"/>
  </si>
  <si>
    <t>本行不参与计算</t>
    <phoneticPr fontId="140"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</si>
  <si>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0"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</si>
  <si>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</si>
  <si>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</si>
  <si>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押金×一年期存款利率</t>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</si>
  <si>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</si>
  <si>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2018-2</t>
    <phoneticPr fontId="3" type="noConversion"/>
  </si>
  <si>
    <t>2018-3</t>
    <phoneticPr fontId="3" type="noConversion"/>
  </si>
  <si>
    <t>地下车库及仓储年期修正</t>
    <phoneticPr fontId="3" type="noConversion"/>
  </si>
  <si>
    <t>2019-1</t>
    <phoneticPr fontId="3" type="noConversion"/>
  </si>
  <si>
    <t>级别开发程度</t>
    <phoneticPr fontId="3" type="noConversion"/>
  </si>
  <si>
    <t>2019-2</t>
    <phoneticPr fontId="3" type="noConversion"/>
  </si>
  <si>
    <t>2018-4</t>
    <phoneticPr fontId="3" type="noConversion"/>
  </si>
  <si>
    <t>2019-3</t>
    <phoneticPr fontId="3" type="noConversion"/>
  </si>
  <si>
    <t>2019-4</t>
    <phoneticPr fontId="3" type="noConversion"/>
  </si>
  <si>
    <t>2020-1</t>
    <phoneticPr fontId="3" type="noConversion"/>
  </si>
  <si>
    <t>土地征用及拆迁补偿费</t>
    <phoneticPr fontId="8" type="noConversion"/>
  </si>
  <si>
    <t>2020-2</t>
    <phoneticPr fontId="3" type="noConversion"/>
  </si>
  <si>
    <t>★此处仍为计算过程，权重结果非最终结果，总价和单价分别为各自权重值，无直接关联★</t>
    <phoneticPr fontId="3" type="noConversion"/>
  </si>
  <si>
    <t>★合计部分请自行录入公式，很重要，与C32结果相关★</t>
    <phoneticPr fontId="3" type="noConversion"/>
  </si>
  <si>
    <t>★此线以下显示的为最终结果★</t>
    <phoneticPr fontId="3" type="noConversion"/>
  </si>
  <si>
    <t>北京普宅标准：</t>
    <phoneticPr fontId="3"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</si>
  <si>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3"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</si>
  <si>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3" type="noConversion"/>
  </si>
  <si>
    <t>北京标准</t>
    <phoneticPr fontId="3" type="noConversion"/>
  </si>
  <si>
    <t>简单平均</t>
  </si>
  <si>
    <t>今日</t>
    <phoneticPr fontId="3" type="noConversion"/>
  </si>
  <si>
    <t>资质过期显示为红色</t>
    <phoneticPr fontId="3" type="noConversion"/>
  </si>
  <si>
    <t>注册房地产估价师</t>
    <phoneticPr fontId="3" type="noConversion"/>
  </si>
  <si>
    <t>注册证号</t>
    <phoneticPr fontId="3" type="noConversion"/>
  </si>
  <si>
    <t>资质有效期</t>
    <phoneticPr fontId="3" type="noConversion"/>
  </si>
  <si>
    <t>房地产估价师及注册号</t>
    <phoneticPr fontId="3" type="noConversion"/>
  </si>
  <si>
    <t>土地估价师</t>
    <phoneticPr fontId="3" type="noConversion"/>
  </si>
  <si>
    <t>证号</t>
    <phoneticPr fontId="3" type="noConversion"/>
  </si>
  <si>
    <t>土地估价师及注册号</t>
    <phoneticPr fontId="3" type="noConversion"/>
  </si>
  <si>
    <t>梁津</t>
    <phoneticPr fontId="3" type="noConversion"/>
  </si>
  <si>
    <t>叶凌</t>
    <phoneticPr fontId="3" type="noConversion"/>
  </si>
  <si>
    <t>王鹏</t>
    <phoneticPr fontId="3" type="noConversion"/>
  </si>
  <si>
    <t>欧红伟</t>
    <phoneticPr fontId="3" type="noConversion"/>
  </si>
  <si>
    <t>吴薇</t>
    <phoneticPr fontId="3" type="noConversion"/>
  </si>
  <si>
    <t>陈颖</t>
    <phoneticPr fontId="3" type="noConversion"/>
  </si>
  <si>
    <t>崔锴</t>
    <phoneticPr fontId="3" type="noConversion"/>
  </si>
  <si>
    <t>郑燚</t>
    <phoneticPr fontId="3" type="noConversion"/>
  </si>
  <si>
    <t>苏海</t>
    <phoneticPr fontId="3" type="noConversion"/>
  </si>
  <si>
    <t>刘敬东</t>
    <phoneticPr fontId="3" type="noConversion"/>
  </si>
  <si>
    <t>刘俊财</t>
    <phoneticPr fontId="3" type="noConversion"/>
  </si>
  <si>
    <t>赵雯</t>
    <phoneticPr fontId="3" type="noConversion"/>
  </si>
  <si>
    <t>估价机构</t>
    <phoneticPr fontId="3" type="noConversion"/>
  </si>
  <si>
    <t>房地产</t>
    <phoneticPr fontId="3" type="noConversion"/>
  </si>
  <si>
    <t>土地</t>
    <phoneticPr fontId="3" type="noConversion"/>
  </si>
  <si>
    <t>证书名称</t>
    <phoneticPr fontId="3" type="noConversion"/>
  </si>
  <si>
    <t>号码</t>
    <phoneticPr fontId="3" type="noConversion"/>
  </si>
  <si>
    <t>备案等级：一级</t>
    <phoneticPr fontId="3" type="noConversion"/>
  </si>
  <si>
    <t>建房估备字[2013第]081号</t>
    <phoneticPr fontId="3" type="noConversion"/>
  </si>
  <si>
    <t>注册证书</t>
    <phoneticPr fontId="3" type="noConversion"/>
  </si>
  <si>
    <t>A201111009</t>
    <phoneticPr fontId="3" type="noConversion"/>
  </si>
  <si>
    <t>资信等级：A级</t>
    <phoneticPr fontId="3" type="noConversion"/>
  </si>
  <si>
    <t>2019A-027</t>
    <phoneticPr fontId="3" type="noConversion"/>
  </si>
  <si>
    <t>延期至2020年底</t>
    <phoneticPr fontId="3" type="noConversion"/>
  </si>
  <si>
    <r>
      <rPr>
        <sz val="10"/>
        <color indexed="8"/>
        <rFont val="宋体"/>
        <family val="3"/>
        <charset val="134"/>
      </rPr>
      <t>估价项目名称</t>
    </r>
    <phoneticPr fontId="3" type="noConversion"/>
  </si>
  <si>
    <r>
      <rPr>
        <sz val="10"/>
        <color indexed="8"/>
        <rFont val="宋体"/>
        <family val="3"/>
        <charset val="134"/>
      </rPr>
      <t>报告编号</t>
    </r>
    <phoneticPr fontId="6" type="noConversion"/>
  </si>
  <si>
    <r>
      <rPr>
        <sz val="10"/>
        <color indexed="8"/>
        <rFont val="宋体"/>
        <family val="3"/>
        <charset val="134"/>
      </rPr>
      <t>现场勘查日</t>
    </r>
    <phoneticPr fontId="86" type="noConversion"/>
  </si>
  <si>
    <r>
      <rPr>
        <sz val="10"/>
        <color indexed="8"/>
        <rFont val="宋体"/>
        <family val="3"/>
        <charset val="134"/>
      </rPr>
      <t>价值时点</t>
    </r>
    <phoneticPr fontId="86" type="noConversion"/>
  </si>
  <si>
    <r>
      <rPr>
        <sz val="10"/>
        <color indexed="8"/>
        <rFont val="宋体"/>
        <family val="3"/>
        <charset val="134"/>
      </rPr>
      <t>签字估价师</t>
    </r>
    <phoneticPr fontId="86" type="noConversion"/>
  </si>
  <si>
    <r>
      <rPr>
        <sz val="10"/>
        <color indexed="8"/>
        <rFont val="宋体"/>
        <family val="3"/>
        <charset val="134"/>
      </rPr>
      <t>估价委托人</t>
    </r>
    <r>
      <rPr>
        <sz val="10"/>
        <color indexed="8"/>
        <rFont val="Arial"/>
        <family val="2"/>
      </rPr>
      <t xml:space="preserve">  </t>
    </r>
    <phoneticPr fontId="84" type="noConversion"/>
  </si>
  <si>
    <r>
      <rPr>
        <sz val="10"/>
        <color indexed="8"/>
        <rFont val="宋体"/>
        <family val="3"/>
        <charset val="134"/>
      </rPr>
      <t>金融机构</t>
    </r>
    <r>
      <rPr>
        <sz val="10"/>
        <color indexed="8"/>
        <rFont val="Arial"/>
        <family val="2"/>
      </rPr>
      <t>(</t>
    </r>
    <r>
      <rPr>
        <sz val="10"/>
        <color indexed="8"/>
        <rFont val="宋体"/>
        <family val="3"/>
        <charset val="134"/>
      </rPr>
      <t>贷款方</t>
    </r>
    <r>
      <rPr>
        <sz val="10"/>
        <color indexed="8"/>
        <rFont val="Arial"/>
        <family val="2"/>
      </rPr>
      <t>)</t>
    </r>
    <phoneticPr fontId="84" type="noConversion"/>
  </si>
  <si>
    <r>
      <rPr>
        <sz val="10"/>
        <color indexed="8"/>
        <rFont val="宋体"/>
        <family val="3"/>
        <charset val="134"/>
      </rPr>
      <t>借款方</t>
    </r>
    <phoneticPr fontId="6" type="noConversion"/>
  </si>
  <si>
    <r>
      <rPr>
        <sz val="10"/>
        <color indexed="8"/>
        <rFont val="宋体"/>
        <family val="3"/>
        <charset val="134"/>
      </rPr>
      <t>估价目的</t>
    </r>
    <phoneticPr fontId="84" type="noConversion"/>
  </si>
  <si>
    <r>
      <rPr>
        <sz val="10"/>
        <color indexed="8"/>
        <rFont val="宋体"/>
        <family val="3"/>
        <charset val="134"/>
      </rPr>
      <t>抵押结果包含：</t>
    </r>
    <phoneticPr fontId="86" type="noConversion"/>
  </si>
  <si>
    <r>
      <rPr>
        <sz val="10"/>
        <color indexed="8"/>
        <rFont val="宋体"/>
        <family val="3"/>
        <charset val="134"/>
      </rPr>
      <t>价值类型</t>
    </r>
    <phoneticPr fontId="84" type="noConversion"/>
  </si>
  <si>
    <r>
      <rPr>
        <sz val="10"/>
        <color indexed="8"/>
        <rFont val="宋体"/>
        <family val="3"/>
        <charset val="134"/>
      </rPr>
      <t>项目所在城市</t>
    </r>
    <phoneticPr fontId="6" type="noConversion"/>
  </si>
  <si>
    <r>
      <rPr>
        <sz val="10"/>
        <color indexed="8"/>
        <rFont val="宋体"/>
        <family val="3"/>
        <charset val="134"/>
      </rPr>
      <t>坐落</t>
    </r>
    <phoneticPr fontId="84" type="noConversion"/>
  </si>
  <si>
    <r>
      <rPr>
        <sz val="10"/>
        <color indexed="8"/>
        <rFont val="宋体"/>
        <family val="3"/>
        <charset val="134"/>
      </rPr>
      <t>不动产权利人</t>
    </r>
    <phoneticPr fontId="6" type="noConversion"/>
  </si>
  <si>
    <r>
      <rPr>
        <sz val="10"/>
        <color indexed="8"/>
        <rFont val="宋体"/>
        <family val="3"/>
        <charset val="134"/>
      </rPr>
      <t>土地性质</t>
    </r>
    <phoneticPr fontId="84" type="noConversion"/>
  </si>
  <si>
    <r>
      <rPr>
        <sz val="10"/>
        <color indexed="8"/>
        <rFont val="宋体"/>
        <family val="3"/>
        <charset val="134"/>
      </rPr>
      <t>用途</t>
    </r>
    <phoneticPr fontId="6" type="noConversion"/>
  </si>
  <si>
    <r>
      <rPr>
        <sz val="10"/>
        <color indexed="8"/>
        <rFont val="宋体"/>
        <family val="3"/>
        <charset val="134"/>
      </rPr>
      <t>住宅</t>
    </r>
    <phoneticPr fontId="6" type="noConversion"/>
  </si>
  <si>
    <r>
      <rPr>
        <sz val="10"/>
        <color indexed="8"/>
        <rFont val="宋体"/>
        <family val="3"/>
        <charset val="134"/>
      </rPr>
      <t>商业</t>
    </r>
    <phoneticPr fontId="6" type="noConversion"/>
  </si>
  <si>
    <r>
      <rPr>
        <sz val="10"/>
        <color indexed="8"/>
        <rFont val="宋体"/>
        <family val="3"/>
        <charset val="134"/>
      </rPr>
      <t>办公</t>
    </r>
    <phoneticPr fontId="6" type="noConversion"/>
  </si>
  <si>
    <r>
      <rPr>
        <sz val="10"/>
        <color indexed="8"/>
        <rFont val="宋体"/>
        <family val="3"/>
        <charset val="134"/>
      </rPr>
      <t>车库</t>
    </r>
    <phoneticPr fontId="6" type="noConversion"/>
  </si>
  <si>
    <r>
      <rPr>
        <sz val="10"/>
        <color indexed="8"/>
        <rFont val="宋体"/>
        <family val="3"/>
        <charset val="134"/>
      </rPr>
      <t>仓储</t>
    </r>
    <phoneticPr fontId="6" type="noConversion"/>
  </si>
  <si>
    <r>
      <rPr>
        <sz val="10"/>
        <color indexed="8"/>
        <rFont val="宋体"/>
        <family val="3"/>
        <charset val="134"/>
      </rPr>
      <t>工业</t>
    </r>
    <phoneticPr fontId="6" type="noConversion"/>
  </si>
  <si>
    <r>
      <rPr>
        <sz val="10"/>
        <color indexed="8"/>
        <rFont val="宋体"/>
        <family val="3"/>
        <charset val="134"/>
      </rPr>
      <t>终止日期</t>
    </r>
    <phoneticPr fontId="6" type="noConversion"/>
  </si>
  <si>
    <r>
      <rPr>
        <sz val="10"/>
        <color indexed="8"/>
        <rFont val="宋体"/>
        <family val="3"/>
        <charset val="134"/>
      </rPr>
      <t>出让年限</t>
    </r>
    <phoneticPr fontId="6" type="noConversion"/>
  </si>
  <si>
    <r>
      <rPr>
        <sz val="10"/>
        <color indexed="8"/>
        <rFont val="宋体"/>
        <family val="3"/>
        <charset val="134"/>
      </rPr>
      <t>剩余年限</t>
    </r>
    <phoneticPr fontId="6" type="noConversion"/>
  </si>
  <si>
    <r>
      <rPr>
        <sz val="10"/>
        <color indexed="8"/>
        <rFont val="宋体"/>
        <family val="3"/>
        <charset val="134"/>
      </rPr>
      <t>估价对象用途明细</t>
    </r>
    <phoneticPr fontId="84" type="noConversion"/>
  </si>
  <si>
    <r>
      <rPr>
        <sz val="10"/>
        <color indexed="8"/>
        <rFont val="宋体"/>
        <family val="3"/>
        <charset val="134"/>
      </rPr>
      <t>剩余土地年限</t>
    </r>
    <phoneticPr fontId="6" type="noConversion"/>
  </si>
  <si>
    <r>
      <rPr>
        <sz val="10"/>
        <color indexed="8"/>
        <rFont val="宋体"/>
        <family val="3"/>
        <charset val="134"/>
      </rPr>
      <t>面积指标</t>
    </r>
    <phoneticPr fontId="84" type="noConversion"/>
  </si>
  <si>
    <r>
      <rPr>
        <sz val="10"/>
        <color indexed="8"/>
        <rFont val="宋体"/>
        <family val="3"/>
        <charset val="134"/>
      </rPr>
      <t>建筑面积</t>
    </r>
    <phoneticPr fontId="84" type="noConversion"/>
  </si>
  <si>
    <r>
      <rPr>
        <sz val="10"/>
        <color indexed="8"/>
        <rFont val="宋体"/>
        <family val="3"/>
        <charset val="134"/>
      </rPr>
      <t>面积依据</t>
    </r>
    <phoneticPr fontId="84" type="noConversion"/>
  </si>
  <si>
    <r>
      <rPr>
        <sz val="10"/>
        <color theme="9" tint="-0.249977111117893"/>
        <rFont val="宋体"/>
        <family val="3"/>
        <charset val="134"/>
      </rPr>
      <t>《房屋所有权证》</t>
    </r>
    <r>
      <rPr>
        <sz val="10"/>
        <color theme="9" tint="-0.249977111117893"/>
        <rFont val="Arial"/>
        <family val="2"/>
      </rPr>
      <t>[]</t>
    </r>
    <r>
      <rPr>
        <sz val="10"/>
        <color theme="9" tint="-0.249977111117893"/>
        <rFont val="宋体"/>
        <family val="3"/>
        <charset val="134"/>
      </rPr>
      <t>、《测绘报告》</t>
    </r>
    <r>
      <rPr>
        <sz val="10"/>
        <color theme="9" tint="-0.249977111117893"/>
        <rFont val="Arial"/>
        <family val="2"/>
      </rPr>
      <t>[]</t>
    </r>
    <phoneticPr fontId="6" type="noConversion"/>
  </si>
  <si>
    <r>
      <rPr>
        <sz val="10"/>
        <color indexed="8"/>
        <rFont val="宋体"/>
        <family val="3"/>
        <charset val="134"/>
      </rPr>
      <t>建筑与土地面积依据相同</t>
    </r>
  </si>
  <si>
    <r>
      <rPr>
        <sz val="10"/>
        <color indexed="8"/>
        <rFont val="宋体"/>
        <family val="3"/>
        <charset val="134"/>
      </rPr>
      <t>土地面积</t>
    </r>
    <phoneticPr fontId="84" type="noConversion"/>
  </si>
  <si>
    <r>
      <rPr>
        <sz val="10"/>
        <color indexed="8"/>
        <rFont val="宋体"/>
        <family val="3"/>
        <charset val="134"/>
      </rPr>
      <t>面积依据</t>
    </r>
    <phoneticPr fontId="84" type="noConversion"/>
  </si>
  <si>
    <r>
      <rPr>
        <sz val="10"/>
        <color theme="9" tint="-0.249977111117893"/>
        <rFont val="宋体"/>
        <family val="3"/>
        <charset val="134"/>
      </rPr>
      <t>《国有土地使用证》</t>
    </r>
    <r>
      <rPr>
        <sz val="10"/>
        <color theme="9" tint="-0.249977111117893"/>
        <rFont val="Arial"/>
        <family val="2"/>
      </rPr>
      <t>[]</t>
    </r>
    <phoneticPr fontId="6" type="noConversion"/>
  </si>
  <si>
    <r>
      <rPr>
        <sz val="10"/>
        <color indexed="8"/>
        <rFont val="宋体"/>
        <family val="3"/>
        <charset val="134"/>
      </rPr>
      <t>是否抵押</t>
    </r>
    <phoneticPr fontId="86" type="noConversion"/>
  </si>
  <si>
    <r>
      <rPr>
        <sz val="10"/>
        <color indexed="8"/>
        <rFont val="宋体"/>
        <family val="3"/>
        <charset val="134"/>
      </rPr>
      <t>权属证件是否登记权利价值</t>
    </r>
    <phoneticPr fontId="86" type="noConversion"/>
  </si>
  <si>
    <r>
      <rPr>
        <sz val="10"/>
        <color indexed="8"/>
        <rFont val="宋体"/>
        <family val="3"/>
        <charset val="134"/>
      </rPr>
      <t>依据</t>
    </r>
    <phoneticPr fontId="86" type="noConversion"/>
  </si>
  <si>
    <r>
      <rPr>
        <sz val="10"/>
        <color indexed="8"/>
        <rFont val="宋体"/>
        <family val="3"/>
        <charset val="134"/>
      </rPr>
      <t>权属文件</t>
    </r>
    <phoneticPr fontId="86" type="noConversion"/>
  </si>
  <si>
    <r>
      <rPr>
        <sz val="10"/>
        <color indexed="8"/>
        <rFont val="宋体"/>
        <family val="3"/>
        <charset val="134"/>
      </rPr>
      <t>他项权证</t>
    </r>
    <phoneticPr fontId="86" type="noConversion"/>
  </si>
  <si>
    <r>
      <rPr>
        <sz val="10"/>
        <color indexed="8"/>
        <rFont val="宋体"/>
        <family val="3"/>
        <charset val="134"/>
      </rPr>
      <t>抵押情况描述</t>
    </r>
    <phoneticPr fontId="86" type="noConversion"/>
  </si>
  <si>
    <r>
      <rPr>
        <sz val="10"/>
        <color indexed="8"/>
        <rFont val="宋体"/>
        <family val="3"/>
        <charset val="134"/>
      </rPr>
      <t>《房屋所有权证》</t>
    </r>
  </si>
  <si>
    <r>
      <rPr>
        <sz val="10"/>
        <color theme="9" tint="-0.249977111117893"/>
        <rFont val="宋体"/>
        <family val="3"/>
        <charset val="134"/>
      </rPr>
      <t>《房屋他项权利证书》</t>
    </r>
    <phoneticPr fontId="86" type="noConversion"/>
  </si>
  <si>
    <r>
      <rPr>
        <sz val="10"/>
        <color indexed="8"/>
        <rFont val="宋体"/>
        <family val="3"/>
        <charset val="134"/>
      </rPr>
      <t>《国有土地使用权》</t>
    </r>
  </si>
  <si>
    <r>
      <rPr>
        <sz val="10"/>
        <color indexed="8"/>
        <rFont val="宋体"/>
        <family val="3"/>
        <charset val="134"/>
      </rPr>
      <t>抵押信息</t>
    </r>
    <phoneticPr fontId="86" type="noConversion"/>
  </si>
  <si>
    <r>
      <rPr>
        <sz val="10"/>
        <color indexed="8"/>
        <rFont val="宋体"/>
        <family val="3"/>
        <charset val="134"/>
      </rPr>
      <t>设定日期</t>
    </r>
    <phoneticPr fontId="86" type="noConversion"/>
  </si>
  <si>
    <r>
      <rPr>
        <sz val="10"/>
        <color indexed="8"/>
        <rFont val="宋体"/>
        <family val="3"/>
        <charset val="134"/>
      </rPr>
      <t>项目类型</t>
    </r>
    <phoneticPr fontId="6" type="noConversion"/>
  </si>
  <si>
    <r>
      <rPr>
        <sz val="10"/>
        <color indexed="8"/>
        <rFont val="宋体"/>
        <family val="3"/>
        <charset val="134"/>
      </rPr>
      <t>按主用途</t>
    </r>
    <phoneticPr fontId="6" type="noConversion"/>
  </si>
  <si>
    <r>
      <rPr>
        <sz val="10"/>
        <color indexed="8"/>
        <rFont val="宋体"/>
        <family val="3"/>
        <charset val="134"/>
      </rPr>
      <t>特殊细项</t>
    </r>
    <phoneticPr fontId="6" type="noConversion"/>
  </si>
  <si>
    <r>
      <rPr>
        <sz val="10"/>
        <color indexed="8"/>
        <rFont val="宋体"/>
        <family val="3"/>
        <charset val="134"/>
      </rPr>
      <t>是否配建</t>
    </r>
    <phoneticPr fontId="6" type="noConversion"/>
  </si>
  <si>
    <r>
      <rPr>
        <sz val="10"/>
        <color indexed="8"/>
        <rFont val="宋体"/>
        <family val="3"/>
        <charset val="134"/>
      </rPr>
      <t>配建类型</t>
    </r>
    <phoneticPr fontId="6" type="noConversion"/>
  </si>
  <si>
    <r>
      <rPr>
        <sz val="10"/>
        <color indexed="8"/>
        <rFont val="宋体"/>
        <family val="3"/>
        <charset val="134"/>
      </rPr>
      <t>项目现状</t>
    </r>
    <phoneticPr fontId="6" type="noConversion"/>
  </si>
  <si>
    <r>
      <rPr>
        <sz val="10"/>
        <color indexed="8"/>
        <rFont val="宋体"/>
        <family val="3"/>
        <charset val="134"/>
      </rPr>
      <t>红线外市政</t>
    </r>
    <phoneticPr fontId="6" type="noConversion"/>
  </si>
  <si>
    <r>
      <rPr>
        <sz val="10"/>
        <color indexed="8"/>
        <rFont val="宋体"/>
        <family val="3"/>
        <charset val="134"/>
      </rPr>
      <t>一通</t>
    </r>
    <phoneticPr fontId="91" type="noConversion"/>
  </si>
  <si>
    <r>
      <rPr>
        <sz val="10"/>
        <color indexed="8"/>
        <rFont val="宋体"/>
        <family val="3"/>
        <charset val="134"/>
      </rPr>
      <t>二通</t>
    </r>
    <phoneticPr fontId="91" type="noConversion"/>
  </si>
  <si>
    <r>
      <rPr>
        <sz val="10"/>
        <color indexed="8"/>
        <rFont val="宋体"/>
        <family val="3"/>
        <charset val="134"/>
      </rPr>
      <t>三通</t>
    </r>
    <phoneticPr fontId="91" type="noConversion"/>
  </si>
  <si>
    <r>
      <rPr>
        <sz val="10"/>
        <color indexed="8"/>
        <rFont val="宋体"/>
        <family val="3"/>
        <charset val="134"/>
      </rPr>
      <t>四通</t>
    </r>
    <phoneticPr fontId="91" type="noConversion"/>
  </si>
  <si>
    <r>
      <rPr>
        <sz val="10"/>
        <color indexed="8"/>
        <rFont val="宋体"/>
        <family val="3"/>
        <charset val="134"/>
      </rPr>
      <t>五通</t>
    </r>
    <phoneticPr fontId="91" type="noConversion"/>
  </si>
  <si>
    <r>
      <rPr>
        <sz val="10"/>
        <color indexed="8"/>
        <rFont val="宋体"/>
        <family val="3"/>
        <charset val="134"/>
      </rPr>
      <t>六通</t>
    </r>
    <phoneticPr fontId="91" type="noConversion"/>
  </si>
  <si>
    <r>
      <rPr>
        <sz val="10"/>
        <color indexed="8"/>
        <rFont val="宋体"/>
        <family val="3"/>
        <charset val="134"/>
      </rPr>
      <t>七通</t>
    </r>
    <phoneticPr fontId="91" type="noConversion"/>
  </si>
  <si>
    <r>
      <rPr>
        <sz val="10"/>
        <color indexed="8"/>
        <rFont val="宋体"/>
        <family val="3"/>
        <charset val="134"/>
      </rPr>
      <t>估价对象</t>
    </r>
    <phoneticPr fontId="91" type="noConversion"/>
  </si>
  <si>
    <r>
      <rPr>
        <sz val="10"/>
        <color indexed="8"/>
        <rFont val="宋体"/>
        <family val="3"/>
        <charset val="134"/>
      </rPr>
      <t>北京市</t>
    </r>
    <phoneticPr fontId="6" type="noConversion"/>
  </si>
  <si>
    <r>
      <rPr>
        <sz val="10"/>
        <color indexed="8"/>
        <rFont val="宋体"/>
        <family val="3"/>
        <charset val="134"/>
      </rPr>
      <t>土地级别</t>
    </r>
    <phoneticPr fontId="6" type="noConversion"/>
  </si>
  <si>
    <r>
      <rPr>
        <sz val="10"/>
        <color indexed="8"/>
        <rFont val="宋体"/>
        <family val="3"/>
        <charset val="134"/>
      </rPr>
      <t>区片编号</t>
    </r>
    <phoneticPr fontId="6" type="noConversion"/>
  </si>
  <si>
    <r>
      <rPr>
        <b/>
        <sz val="10"/>
        <color rgb="FFFF0000"/>
        <rFont val="宋体"/>
        <family val="3"/>
        <charset val="134"/>
      </rPr>
      <t>虚线以上为必填</t>
    </r>
    <phoneticPr fontId="6" type="noConversion"/>
  </si>
  <si>
    <r>
      <rPr>
        <b/>
        <sz val="10"/>
        <color indexed="8"/>
        <rFont val="宋体"/>
        <family val="3"/>
        <charset val="134"/>
      </rPr>
      <t>证件取得及他项权利状况</t>
    </r>
    <phoneticPr fontId="6" type="noConversion"/>
  </si>
  <si>
    <r>
      <rPr>
        <sz val="10"/>
        <color indexed="8"/>
        <rFont val="宋体"/>
        <family val="3"/>
        <charset val="134"/>
      </rPr>
      <t>地块编号</t>
    </r>
    <phoneticPr fontId="3"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</si>
  <si>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3" type="noConversion"/>
  </si>
  <si>
    <r>
      <rPr>
        <sz val="10"/>
        <color indexed="8"/>
        <rFont val="宋体"/>
        <family val="3"/>
        <charset val="134"/>
      </rPr>
      <t>出让合同</t>
    </r>
    <phoneticPr fontId="3" type="noConversion"/>
  </si>
  <si>
    <r>
      <rPr>
        <sz val="10"/>
        <color indexed="8"/>
        <rFont val="宋体"/>
        <family val="3"/>
        <charset val="134"/>
      </rPr>
      <t>用地规划</t>
    </r>
    <phoneticPr fontId="3" type="noConversion"/>
  </si>
  <si>
    <r>
      <rPr>
        <sz val="10"/>
        <color indexed="8"/>
        <rFont val="宋体"/>
        <family val="3"/>
        <charset val="134"/>
      </rPr>
      <t>规划意见复函</t>
    </r>
    <phoneticPr fontId="3" type="noConversion"/>
  </si>
  <si>
    <r>
      <rPr>
        <sz val="10"/>
        <color indexed="8"/>
        <rFont val="宋体"/>
        <family val="3"/>
        <charset val="134"/>
      </rPr>
      <t>工程规划</t>
    </r>
    <phoneticPr fontId="3" type="noConversion"/>
  </si>
  <si>
    <r>
      <rPr>
        <sz val="10"/>
        <color indexed="8"/>
        <rFont val="宋体"/>
        <family val="3"/>
        <charset val="134"/>
      </rPr>
      <t>施工证</t>
    </r>
    <phoneticPr fontId="3" type="noConversion"/>
  </si>
  <si>
    <r>
      <rPr>
        <sz val="10"/>
        <color indexed="8"/>
        <rFont val="宋体"/>
        <family val="3"/>
        <charset val="134"/>
      </rPr>
      <t>预售证</t>
    </r>
    <phoneticPr fontId="3" type="noConversion"/>
  </si>
  <si>
    <r>
      <rPr>
        <sz val="10"/>
        <color indexed="8"/>
        <rFont val="宋体"/>
        <family val="3"/>
        <charset val="134"/>
      </rPr>
      <t>竣工备案</t>
    </r>
    <phoneticPr fontId="3" type="noConversion"/>
  </si>
  <si>
    <r>
      <rPr>
        <sz val="10"/>
        <color indexed="8"/>
        <rFont val="宋体"/>
        <family val="3"/>
        <charset val="134"/>
      </rPr>
      <t>测绘报告</t>
    </r>
    <phoneticPr fontId="3" type="noConversion"/>
  </si>
  <si>
    <r>
      <rPr>
        <sz val="10"/>
        <color indexed="8"/>
        <rFont val="宋体"/>
        <family val="3"/>
        <charset val="134"/>
      </rPr>
      <t>现状</t>
    </r>
    <phoneticPr fontId="6" type="noConversion"/>
  </si>
  <si>
    <r>
      <rPr>
        <sz val="10"/>
        <color indexed="8"/>
        <rFont val="宋体"/>
        <family val="3"/>
        <charset val="134"/>
      </rPr>
      <t>用地性质</t>
    </r>
    <r>
      <rPr>
        <sz val="10"/>
        <color indexed="8"/>
        <rFont val="Arial"/>
        <family val="2"/>
      </rPr>
      <t>/</t>
    </r>
    <r>
      <rPr>
        <sz val="10"/>
        <color indexed="8"/>
        <rFont val="宋体"/>
        <family val="3"/>
        <charset val="134"/>
      </rPr>
      <t>土地用途</t>
    </r>
    <phoneticPr fontId="6" type="noConversion"/>
  </si>
  <si>
    <r>
      <rPr>
        <sz val="10"/>
        <color indexed="8"/>
        <rFont val="宋体"/>
        <family val="3"/>
        <charset val="134"/>
      </rPr>
      <t>不动产权证书</t>
    </r>
    <phoneticPr fontId="6" type="noConversion"/>
  </si>
  <si>
    <r>
      <rPr>
        <sz val="10"/>
        <color indexed="8"/>
        <rFont val="宋体"/>
        <family val="3"/>
        <charset val="134"/>
      </rPr>
      <t>国土证</t>
    </r>
    <phoneticPr fontId="3" type="noConversion"/>
  </si>
  <si>
    <r>
      <rPr>
        <sz val="10"/>
        <color indexed="8"/>
        <rFont val="宋体"/>
        <family val="3"/>
        <charset val="134"/>
      </rPr>
      <t>房产证</t>
    </r>
    <phoneticPr fontId="3" type="noConversion"/>
  </si>
  <si>
    <r>
      <rPr>
        <sz val="10"/>
        <color indexed="8"/>
        <rFont val="宋体"/>
        <family val="3"/>
        <charset val="134"/>
      </rPr>
      <t>他项权利</t>
    </r>
    <r>
      <rPr>
        <sz val="10"/>
        <color indexed="8"/>
        <rFont val="Arial"/>
        <family val="2"/>
      </rPr>
      <t>——</t>
    </r>
    <r>
      <rPr>
        <sz val="10"/>
        <color indexed="8"/>
        <rFont val="宋体"/>
        <family val="3"/>
        <charset val="134"/>
      </rPr>
      <t>抵押</t>
    </r>
    <phoneticPr fontId="3" type="noConversion"/>
  </si>
  <si>
    <r>
      <rPr>
        <sz val="10"/>
        <color indexed="8"/>
        <rFont val="宋体"/>
        <family val="3"/>
        <charset val="134"/>
      </rPr>
      <t>他项权利</t>
    </r>
    <r>
      <rPr>
        <sz val="10"/>
        <color indexed="8"/>
        <rFont val="Arial"/>
        <family val="2"/>
      </rPr>
      <t>——</t>
    </r>
    <r>
      <rPr>
        <sz val="10"/>
        <color indexed="8"/>
        <rFont val="宋体"/>
        <family val="3"/>
        <charset val="134"/>
      </rPr>
      <t>租赁</t>
    </r>
    <phoneticPr fontId="6" type="noConversion"/>
  </si>
  <si>
    <r>
      <rPr>
        <sz val="10"/>
        <color indexed="8"/>
        <rFont val="宋体"/>
        <family val="3"/>
        <charset val="134"/>
      </rPr>
      <t>他项权利</t>
    </r>
    <r>
      <rPr>
        <sz val="10"/>
        <color indexed="8"/>
        <rFont val="Arial"/>
        <family val="2"/>
      </rPr>
      <t>——</t>
    </r>
    <r>
      <rPr>
        <sz val="10"/>
        <color indexed="8"/>
        <rFont val="宋体"/>
        <family val="3"/>
        <charset val="134"/>
      </rPr>
      <t>其他</t>
    </r>
    <phoneticPr fontId="6" type="noConversion"/>
  </si>
  <si>
    <r>
      <rPr>
        <sz val="10"/>
        <color indexed="8"/>
        <rFont val="宋体"/>
        <family val="3"/>
        <charset val="134"/>
      </rPr>
      <t>居住社区成熟度</t>
    </r>
  </si>
  <si>
    <r>
      <rPr>
        <sz val="10"/>
        <color indexed="8"/>
        <rFont val="宋体"/>
        <family val="3"/>
        <charset val="134"/>
      </rPr>
      <t>产业集聚程度</t>
    </r>
  </si>
  <si>
    <r>
      <rPr>
        <sz val="10"/>
        <color indexed="8"/>
        <rFont val="宋体"/>
        <family val="3"/>
        <charset val="134"/>
      </rPr>
      <t>商业繁华度</t>
    </r>
    <phoneticPr fontId="29" type="noConversion"/>
  </si>
  <si>
    <r>
      <rPr>
        <sz val="10"/>
        <color indexed="8"/>
        <rFont val="宋体"/>
        <family val="3"/>
        <charset val="134"/>
      </rPr>
      <t>交通便捷度</t>
    </r>
    <phoneticPr fontId="29" type="noConversion"/>
  </si>
  <si>
    <r>
      <rPr>
        <sz val="10"/>
        <color theme="9" tint="-0.249977111117893"/>
        <rFont val="宋体"/>
        <family val="3"/>
        <charset val="134"/>
      </rPr>
      <t>估价对象周边道路状况、公共交通通达情况、停车便捷程度，综合评价交通便捷度较好</t>
    </r>
    <phoneticPr fontId="41" type="noConversion"/>
  </si>
  <si>
    <r>
      <rPr>
        <sz val="10"/>
        <color indexed="8"/>
        <rFont val="宋体"/>
        <family val="3"/>
        <charset val="134"/>
      </rPr>
      <t>办公集聚程度</t>
    </r>
    <phoneticPr fontId="29" type="noConversion"/>
  </si>
  <si>
    <r>
      <rPr>
        <sz val="10"/>
        <color indexed="8"/>
        <rFont val="宋体"/>
        <family val="3"/>
        <charset val="134"/>
      </rPr>
      <t>公共配套设施</t>
    </r>
    <phoneticPr fontId="25" type="noConversion"/>
  </si>
  <si>
    <r>
      <rPr>
        <sz val="10"/>
        <color theme="9" tint="-0.249977111117893"/>
        <rFont val="宋体"/>
        <family val="3"/>
        <charset val="134"/>
      </rPr>
      <t>估价对象所在区域公共配套设施齐备情况</t>
    </r>
    <phoneticPr fontId="41" type="noConversion"/>
  </si>
  <si>
    <r>
      <rPr>
        <sz val="10"/>
        <color indexed="8"/>
        <rFont val="宋体"/>
        <family val="3"/>
        <charset val="134"/>
      </rPr>
      <t>交通便捷度</t>
    </r>
  </si>
  <si>
    <r>
      <rPr>
        <sz val="10"/>
        <color indexed="8"/>
        <rFont val="宋体"/>
        <family val="3"/>
        <charset val="134"/>
      </rPr>
      <t>基础设施水平</t>
    </r>
    <phoneticPr fontId="25" type="noConversion"/>
  </si>
  <si>
    <r>
      <rPr>
        <sz val="10"/>
        <color theme="9" tint="-0.249977111117893"/>
        <rFont val="宋体"/>
        <family val="3"/>
        <charset val="134"/>
      </rPr>
      <t>估价对象所在区域基础设施水平</t>
    </r>
    <phoneticPr fontId="25" type="noConversion"/>
  </si>
  <si>
    <r>
      <rPr>
        <sz val="10"/>
        <color indexed="8"/>
        <rFont val="宋体"/>
        <family val="3"/>
        <charset val="134"/>
      </rPr>
      <t>环境状况</t>
    </r>
    <phoneticPr fontId="29" type="noConversion"/>
  </si>
  <si>
    <r>
      <rPr>
        <sz val="10"/>
        <color theme="9" tint="-0.249977111117893"/>
        <rFont val="宋体"/>
        <family val="3"/>
        <charset val="134"/>
      </rPr>
      <t>该园区内是否有污染型企业，绿化情况，卫生条件，整体环境状况判断</t>
    </r>
    <phoneticPr fontId="41" type="noConversion"/>
  </si>
  <si>
    <r>
      <rPr>
        <sz val="10"/>
        <color indexed="8"/>
        <rFont val="宋体"/>
        <family val="3"/>
        <charset val="134"/>
      </rPr>
      <t>自然及人文环境</t>
    </r>
  </si>
  <si>
    <r>
      <rPr>
        <sz val="10"/>
        <color indexed="8"/>
        <rFont val="宋体"/>
        <family val="3"/>
        <charset val="134"/>
      </rPr>
      <t>毗邻道路的类型与等级</t>
    </r>
    <phoneticPr fontId="29" type="noConversion"/>
  </si>
  <si>
    <r>
      <rPr>
        <b/>
        <sz val="10"/>
        <color indexed="8"/>
        <rFont val="宋体"/>
        <family val="3"/>
        <charset val="134"/>
      </rPr>
      <t>住宅、办公及商业</t>
    </r>
    <phoneticPr fontId="28" type="noConversion"/>
  </si>
  <si>
    <r>
      <rPr>
        <b/>
        <sz val="10"/>
        <color indexed="8"/>
        <rFont val="宋体"/>
        <family val="3"/>
        <charset val="134"/>
      </rPr>
      <t>工业</t>
    </r>
    <phoneticPr fontId="28" type="noConversion"/>
  </si>
  <si>
    <r>
      <rPr>
        <b/>
        <sz val="10"/>
        <color indexed="8"/>
        <rFont val="宋体"/>
        <family val="3"/>
        <charset val="134"/>
      </rPr>
      <t>区位状况</t>
    </r>
    <phoneticPr fontId="29" type="noConversion"/>
  </si>
  <si>
    <r>
      <rPr>
        <b/>
        <sz val="10"/>
        <color indexed="8"/>
        <rFont val="宋体"/>
        <family val="3"/>
        <charset val="134"/>
      </rPr>
      <t>区位状况</t>
    </r>
    <phoneticPr fontId="25" type="noConversion"/>
  </si>
  <si>
    <r>
      <rPr>
        <sz val="10"/>
        <color indexed="8"/>
        <rFont val="宋体"/>
        <family val="3"/>
        <charset val="134"/>
      </rPr>
      <t>产业集聚程度</t>
    </r>
    <phoneticPr fontId="29" type="noConversion"/>
  </si>
  <si>
    <r>
      <rPr>
        <sz val="10"/>
        <color indexed="8"/>
        <rFont val="宋体"/>
        <family val="3"/>
        <charset val="134"/>
      </rPr>
      <t>区域土地利用方向</t>
    </r>
    <phoneticPr fontId="29"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</si>
  <si>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</si>
  <si>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</si>
  <si>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</si>
  <si>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9" type="noConversion"/>
  </si>
  <si>
    <r>
      <rPr>
        <sz val="10"/>
        <color indexed="8"/>
        <rFont val="宋体"/>
        <family val="3"/>
        <charset val="134"/>
      </rPr>
      <t>毗邻道路的类型与等级</t>
    </r>
  </si>
  <si>
    <r>
      <rPr>
        <b/>
        <sz val="10"/>
        <color indexed="8"/>
        <rFont val="宋体"/>
        <family val="3"/>
        <charset val="134"/>
      </rPr>
      <t>住宅、办公及商业</t>
    </r>
    <phoneticPr fontId="28" type="noConversion"/>
  </si>
  <si>
    <r>
      <rPr>
        <b/>
        <sz val="10"/>
        <color indexed="8"/>
        <rFont val="宋体"/>
        <family val="3"/>
        <charset val="134"/>
      </rPr>
      <t>工业</t>
    </r>
    <phoneticPr fontId="28" type="noConversion"/>
  </si>
  <si>
    <r>
      <rPr>
        <b/>
        <sz val="10"/>
        <color indexed="8"/>
        <rFont val="宋体"/>
        <family val="3"/>
        <charset val="134"/>
      </rPr>
      <t>区位状况</t>
    </r>
    <phoneticPr fontId="25"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</si>
  <si>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1" type="noConversion"/>
  </si>
  <si>
    <r>
      <rPr>
        <b/>
        <sz val="11"/>
        <color indexed="10"/>
        <rFont val="宋体"/>
        <family val="3"/>
        <charset val="134"/>
      </rPr>
      <t>房地产修正因素</t>
    </r>
    <phoneticPr fontId="3" type="noConversion"/>
  </si>
  <si>
    <r>
      <rPr>
        <b/>
        <sz val="11"/>
        <color indexed="10"/>
        <rFont val="宋体"/>
        <family val="3"/>
        <charset val="134"/>
      </rPr>
      <t>土地修正因素</t>
    </r>
    <phoneticPr fontId="3" type="noConversion"/>
  </si>
  <si>
    <t>★取得土地使用权所支付的金额，是指纳税人为取得土地使用权所支付的地价款和按国家统一规定交纳的有关费用★</t>
    <phoneticPr fontId="3" type="noConversion"/>
  </si>
  <si>
    <t>★土地征用及拆迁补偿费，包括土地征用费、耕地占用税、劳动力安置费及有关地上、地下附着物拆迁补偿的净支出、安置动迁用房支出等★</t>
    <phoneticPr fontId="3"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</si>
  <si>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3"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</si>
  <si>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</si>
  <si>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</si>
  <si>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t>典型户型修正</t>
    <phoneticPr fontId="16" type="noConversion"/>
  </si>
  <si>
    <r>
      <rPr>
        <sz val="11"/>
        <color rgb="FFFF0000"/>
        <rFont val="宋体"/>
        <family val="3"/>
        <charset val="134"/>
      </rPr>
      <t>凭票据或默认已缴纳</t>
    </r>
    <phoneticPr fontId="3" type="noConversion"/>
  </si>
  <si>
    <r>
      <rPr>
        <sz val="10"/>
        <color rgb="FFFF0000"/>
        <rFont val="宋体"/>
        <family val="3"/>
        <charset val="134"/>
      </rPr>
      <t>范围：</t>
    </r>
    <r>
      <rPr>
        <sz val="10"/>
        <color rgb="FFFF0000"/>
        <rFont val="Arial"/>
        <family val="2"/>
      </rPr>
      <t>3%-5%</t>
    </r>
    <phoneticPr fontId="3" type="noConversion"/>
  </si>
  <si>
    <r>
      <rPr>
        <sz val="10"/>
        <color rgb="FFFF0000"/>
        <rFont val="宋体"/>
        <family val="3"/>
        <charset val="134"/>
      </rPr>
      <t>范围：</t>
    </r>
    <r>
      <rPr>
        <sz val="10"/>
        <color rgb="FFFF0000"/>
        <rFont val="Arial"/>
        <family val="2"/>
      </rPr>
      <t>0-10%</t>
    </r>
    <phoneticPr fontId="3" type="noConversion"/>
  </si>
  <si>
    <r>
      <rPr>
        <sz val="10"/>
        <color rgb="FFFF0000"/>
        <rFont val="宋体"/>
        <family val="3"/>
        <charset val="134"/>
      </rPr>
      <t>变化</t>
    </r>
    <phoneticPr fontId="3" type="noConversion"/>
  </si>
  <si>
    <r>
      <rPr>
        <sz val="10"/>
        <color rgb="FFFF0000"/>
        <rFont val="宋体"/>
        <family val="3"/>
        <charset val="134"/>
      </rPr>
      <t>定值：</t>
    </r>
    <r>
      <rPr>
        <sz val="10"/>
        <color rgb="FFFF0000"/>
        <rFont val="Arial"/>
        <family val="2"/>
      </rPr>
      <t>1.5%</t>
    </r>
    <phoneticPr fontId="3" type="noConversion"/>
  </si>
  <si>
    <r>
      <rPr>
        <sz val="10"/>
        <color rgb="FFFF0000"/>
        <rFont val="宋体"/>
        <family val="3"/>
        <charset val="134"/>
      </rPr>
      <t>范围：</t>
    </r>
    <r>
      <rPr>
        <sz val="10"/>
        <color rgb="FFFF0000"/>
        <rFont val="Arial"/>
        <family val="2"/>
      </rPr>
      <t>1%-3%</t>
    </r>
    <phoneticPr fontId="3"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</si>
  <si>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3" type="noConversion"/>
  </si>
  <si>
    <r>
      <rPr>
        <sz val="11"/>
        <color rgb="FFFF0000"/>
        <rFont val="宋体"/>
        <family val="3"/>
        <charset val="134"/>
      </rPr>
      <t>北京：</t>
    </r>
    <r>
      <rPr>
        <sz val="11"/>
        <color rgb="FFFF0000"/>
        <rFont val="Arial"/>
        <family val="2"/>
      </rPr>
      <t>3%</t>
    </r>
    <phoneticPr fontId="3" type="noConversion"/>
  </si>
  <si>
    <r>
      <rPr>
        <sz val="11"/>
        <color rgb="FFFF0000"/>
        <rFont val="宋体"/>
        <family val="3"/>
        <charset val="134"/>
      </rPr>
      <t>北京：</t>
    </r>
    <r>
      <rPr>
        <sz val="11"/>
        <color rgb="FFFF0000"/>
        <rFont val="Arial"/>
        <family val="2"/>
      </rPr>
      <t>2%</t>
    </r>
    <phoneticPr fontId="3" type="noConversion"/>
  </si>
  <si>
    <r>
      <rPr>
        <sz val="11"/>
        <color rgb="FFFF0000"/>
        <rFont val="宋体"/>
        <family val="3"/>
        <charset val="134"/>
      </rPr>
      <t>北京：</t>
    </r>
    <r>
      <rPr>
        <sz val="11"/>
        <color rgb="FFFF0000"/>
        <rFont val="Arial"/>
        <family val="2"/>
      </rPr>
      <t>0.05%</t>
    </r>
    <phoneticPr fontId="3" type="noConversion"/>
  </si>
  <si>
    <r>
      <rPr>
        <sz val="11"/>
        <color rgb="FFFF0000"/>
        <rFont val="宋体"/>
        <family val="3"/>
        <charset val="134"/>
      </rPr>
      <t>包含未完成的红线外市政工程时间（如现状三通，开发完成后七通）</t>
    </r>
    <phoneticPr fontId="3" type="noConversion"/>
  </si>
  <si>
    <r>
      <rPr>
        <sz val="11"/>
        <color rgb="FFFF0000"/>
        <rFont val="宋体"/>
        <family val="3"/>
        <charset val="134"/>
      </rPr>
      <t>★非住宅项目及用公共配套计算实为</t>
    </r>
    <r>
      <rPr>
        <sz val="11"/>
        <color rgb="FFFF0000"/>
        <rFont val="Arial"/>
        <family val="2"/>
      </rPr>
      <t>0</t>
    </r>
    <r>
      <rPr>
        <sz val="11"/>
        <color rgb="FFFF0000"/>
        <rFont val="宋体"/>
        <family val="3"/>
        <charset val="134"/>
      </rPr>
      <t>★</t>
    </r>
    <phoneticPr fontId="3" type="noConversion"/>
  </si>
  <si>
    <t>★默认为已完成的土地开发期★</t>
    <phoneticPr fontId="3" type="noConversion"/>
  </si>
  <si>
    <r>
      <rPr>
        <sz val="11"/>
        <color indexed="10"/>
        <rFont val="宋体"/>
        <family val="3"/>
        <charset val="134"/>
      </rPr>
      <t>★</t>
    </r>
    <r>
      <rPr>
        <sz val="11"/>
        <color indexed="10"/>
        <rFont val="楷体_GB2312"/>
        <family val="3"/>
        <charset val="134"/>
      </rPr>
      <t>其他省市请录依据文件名称★：</t>
    </r>
    <phoneticPr fontId="3" type="noConversion"/>
  </si>
  <si>
    <t>★外省请录依据文件名称★：</t>
    <phoneticPr fontId="3" type="noConversion"/>
  </si>
  <si>
    <r>
      <rPr>
        <sz val="10"/>
        <color rgb="FFFF0000"/>
        <rFont val="宋体"/>
        <family val="3"/>
        <charset val="134"/>
      </rPr>
      <t>★看各地政策。市区</t>
    </r>
    <r>
      <rPr>
        <sz val="10"/>
        <color rgb="FFFF0000"/>
        <rFont val="Arial"/>
        <family val="2"/>
      </rPr>
      <t>7%</t>
    </r>
    <r>
      <rPr>
        <sz val="10"/>
        <color rgb="FFFF0000"/>
        <rFont val="宋体"/>
        <family val="3"/>
        <charset val="134"/>
      </rPr>
      <t>，县城和镇</t>
    </r>
    <r>
      <rPr>
        <sz val="10"/>
        <color rgb="FFFF0000"/>
        <rFont val="Arial"/>
        <family val="2"/>
      </rPr>
      <t>5%</t>
    </r>
    <r>
      <rPr>
        <sz val="10"/>
        <color rgb="FFFF0000"/>
        <rFont val="宋体"/>
        <family val="3"/>
        <charset val="134"/>
      </rPr>
      <t>，乡村</t>
    </r>
    <r>
      <rPr>
        <sz val="10"/>
        <color rgb="FFFF0000"/>
        <rFont val="Arial"/>
        <family val="2"/>
      </rPr>
      <t>1%</t>
    </r>
    <r>
      <rPr>
        <sz val="10"/>
        <color rgb="FFFF0000"/>
        <rFont val="宋体"/>
        <family val="3"/>
        <charset val="134"/>
      </rPr>
      <t>。大中型工矿企业所在地不在城市市区、县城、建制镇的，税率为</t>
    </r>
    <r>
      <rPr>
        <sz val="10"/>
        <color rgb="FFFF0000"/>
        <rFont val="Arial"/>
        <family val="2"/>
      </rPr>
      <t>1%</t>
    </r>
    <r>
      <rPr>
        <sz val="10"/>
        <color rgb="FFFF0000"/>
        <rFont val="宋体"/>
        <family val="3"/>
        <charset val="134"/>
      </rPr>
      <t>★</t>
    </r>
    <phoneticPr fontId="3" type="noConversion"/>
  </si>
  <si>
    <t>★请录依据文件名称★：</t>
    <phoneticPr fontId="3" type="noConversion"/>
  </si>
  <si>
    <t>★地下商业不考虑路线价修正★</t>
    <phoneticPr fontId="78" type="noConversion"/>
  </si>
  <si>
    <r>
      <rPr>
        <b/>
        <sz val="10"/>
        <color rgb="FFFF0000"/>
        <rFont val="宋体"/>
        <family val="3"/>
        <charset val="134"/>
      </rPr>
      <t>★北京：个人房产计综合税率：个人住宅月租</t>
    </r>
    <r>
      <rPr>
        <b/>
        <sz val="10"/>
        <color rgb="FFFF0000"/>
        <rFont val="Arial"/>
        <family val="2"/>
      </rPr>
      <t>10</t>
    </r>
    <r>
      <rPr>
        <b/>
        <sz val="10"/>
        <color rgb="FFFF0000"/>
        <rFont val="宋体"/>
        <family val="3"/>
        <charset val="134"/>
      </rPr>
      <t>万以上为</t>
    </r>
    <r>
      <rPr>
        <b/>
        <sz val="10"/>
        <color rgb="FFFF0000"/>
        <rFont val="Arial"/>
        <family val="2"/>
      </rPr>
      <t>4%</t>
    </r>
    <r>
      <rPr>
        <b/>
        <sz val="10"/>
        <color rgb="FFFF0000"/>
        <rFont val="宋体"/>
        <family val="3"/>
        <charset val="134"/>
      </rPr>
      <t>，以内为</t>
    </r>
    <r>
      <rPr>
        <b/>
        <sz val="10"/>
        <color rgb="FFFF0000"/>
        <rFont val="Arial"/>
        <family val="2"/>
      </rPr>
      <t>2.5%</t>
    </r>
    <r>
      <rPr>
        <b/>
        <sz val="10"/>
        <color rgb="FFFF0000"/>
        <rFont val="宋体"/>
        <family val="3"/>
        <charset val="134"/>
      </rPr>
      <t>；个人其他月租</t>
    </r>
    <r>
      <rPr>
        <b/>
        <sz val="10"/>
        <color rgb="FFFF0000"/>
        <rFont val="Arial"/>
        <family val="2"/>
      </rPr>
      <t>10</t>
    </r>
    <r>
      <rPr>
        <b/>
        <sz val="10"/>
        <color rgb="FFFF0000"/>
        <rFont val="宋体"/>
        <family val="3"/>
        <charset val="134"/>
      </rPr>
      <t>万以上为</t>
    </r>
    <r>
      <rPr>
        <b/>
        <sz val="10"/>
        <color rgb="FFFF0000"/>
        <rFont val="Arial"/>
        <family val="2"/>
      </rPr>
      <t>12%</t>
    </r>
    <r>
      <rPr>
        <b/>
        <sz val="10"/>
        <color rgb="FFFF0000"/>
        <rFont val="宋体"/>
        <family val="3"/>
        <charset val="134"/>
      </rPr>
      <t>，以下为</t>
    </r>
    <r>
      <rPr>
        <b/>
        <sz val="10"/>
        <color rgb="FFFF0000"/>
        <rFont val="Arial"/>
        <family val="2"/>
      </rPr>
      <t>7%</t>
    </r>
    <r>
      <rPr>
        <b/>
        <sz val="10"/>
        <color rgb="FFFF0000"/>
        <rFont val="宋体"/>
        <family val="3"/>
        <charset val="134"/>
      </rPr>
      <t>★</t>
    </r>
    <phoneticPr fontId="3" type="noConversion"/>
  </si>
  <si>
    <t>2020-3</t>
    <phoneticPr fontId="3" type="noConversion"/>
  </si>
  <si>
    <t>2021-1</t>
    <phoneticPr fontId="140" type="noConversion"/>
  </si>
  <si>
    <t>2020-4</t>
    <phoneticPr fontId="3" type="noConversion"/>
  </si>
  <si>
    <t>1号</t>
  </si>
  <si>
    <t>住宅</t>
  </si>
  <si>
    <t>2号</t>
  </si>
  <si>
    <t>3号</t>
  </si>
  <si>
    <t>4号</t>
  </si>
  <si>
    <t>序号</t>
    <phoneticPr fontId="140" type="noConversion"/>
  </si>
  <si>
    <t>出让</t>
  </si>
  <si>
    <t>抵押</t>
  </si>
  <si>
    <t>房地产抵押价值</t>
  </si>
  <si>
    <t>通路</t>
  </si>
  <si>
    <t>通电</t>
  </si>
  <si>
    <t>通讯</t>
  </si>
  <si>
    <t>通上水</t>
  </si>
  <si>
    <t>通下水</t>
  </si>
  <si>
    <t>通热</t>
  </si>
  <si>
    <t>燃气</t>
  </si>
  <si>
    <t>是</t>
  </si>
  <si>
    <t>自持住宅</t>
    <phoneticPr fontId="16" type="noConversion"/>
  </si>
  <si>
    <t>地上</t>
  </si>
  <si>
    <t>地下</t>
  </si>
  <si>
    <t>仓储</t>
  </si>
  <si>
    <t>戊类库房</t>
  </si>
  <si>
    <t>车库</t>
  </si>
  <si>
    <t>成新度</t>
  </si>
  <si>
    <t>未包含在土地购买价格中</t>
  </si>
  <si>
    <t>全部缴纳</t>
  </si>
  <si>
    <t>地块名称</t>
  </si>
  <si>
    <t>城市</t>
  </si>
  <si>
    <t>用地性质</t>
  </si>
  <si>
    <t>区县</t>
  </si>
  <si>
    <t>板块</t>
  </si>
  <si>
    <t>土地位置</t>
  </si>
  <si>
    <t>出让方式</t>
  </si>
  <si>
    <t>地块编号</t>
  </si>
  <si>
    <t>详细规划</t>
  </si>
  <si>
    <t>建设用地面积(㎡)</t>
  </si>
  <si>
    <t>规划建筑面积(㎡)</t>
  </si>
  <si>
    <t>容积率</t>
  </si>
  <si>
    <t>商业比例</t>
  </si>
  <si>
    <t>建筑密度</t>
  </si>
  <si>
    <t>限制高度</t>
  </si>
  <si>
    <t>保障房类型</t>
  </si>
  <si>
    <t>推出保障房面积(㎡)</t>
  </si>
  <si>
    <t>成交保障房面积(㎡)</t>
  </si>
  <si>
    <t>配建自住房情况</t>
  </si>
  <si>
    <t>推出特殊政策</t>
  </si>
  <si>
    <t>成交特殊政策</t>
  </si>
  <si>
    <t>配建养老设施面积情况</t>
  </si>
  <si>
    <t>开发进度</t>
  </si>
  <si>
    <t>公告时间</t>
  </si>
  <si>
    <t>起始日期</t>
  </si>
  <si>
    <t>截止日期</t>
  </si>
  <si>
    <t>成交日期</t>
  </si>
  <si>
    <t>公告编号</t>
  </si>
  <si>
    <t>交易状态</t>
  </si>
  <si>
    <t>受让单位</t>
  </si>
  <si>
    <t>拿地企业</t>
  </si>
  <si>
    <t>保证金(万元)</t>
  </si>
  <si>
    <t>起始价(万元)</t>
  </si>
  <si>
    <t>成交价(万元)</t>
  </si>
  <si>
    <t>推出每亩价(万元/亩)</t>
  </si>
  <si>
    <t>成交每亩价(万元/亩)</t>
  </si>
  <si>
    <t>推出楼面价(元/㎡)</t>
  </si>
  <si>
    <t>成交楼面价(元/㎡)</t>
  </si>
  <si>
    <t>推出楼面价(除保障房)(元/㎡)</t>
  </si>
  <si>
    <t>成交楼面价(除保障房)(元/㎡)</t>
  </si>
  <si>
    <t>溢价率</t>
  </si>
  <si>
    <t>出让年限</t>
  </si>
  <si>
    <t>竞报整体自持比例(%)</t>
  </si>
  <si>
    <t>竞报商品住房自持比例(%)</t>
  </si>
  <si>
    <t>竞报商办部分自持比例(%)</t>
  </si>
  <si>
    <t>土地星级</t>
  </si>
  <si>
    <t>集体建设用地区级统筹大兴区瀛海镇YZ00-0803-2003、2004、2005A、2005B、2008地块</t>
  </si>
  <si>
    <t>北京市</t>
  </si>
  <si>
    <t>综合用地(含住宅)</t>
  </si>
  <si>
    <t>大兴区</t>
  </si>
  <si>
    <t>瀛海</t>
  </si>
  <si>
    <t>大兴区瀛海镇</t>
  </si>
  <si>
    <t>挂牌</t>
  </si>
  <si>
    <t>京土集使挂(兴)[2019]003号</t>
  </si>
  <si>
    <t>F81绿隔产业用地(建设共有产权房)</t>
  </si>
  <si>
    <t>f81≤2.5</t>
  </si>
  <si>
    <t>本次出让宗地F81建筑规模全部建设“共有产权住房”,销售均价29000元/平方米(含全装修费用)。</t>
  </si>
  <si>
    <t>限房价,含自住房/共有产权住房</t>
  </si>
  <si>
    <t>未开工</t>
  </si>
  <si>
    <t>2019-08-01</t>
  </si>
  <si>
    <t>2020-12-11</t>
  </si>
  <si>
    <t>2020-12-25</t>
  </si>
  <si>
    <t>已成交</t>
  </si>
  <si>
    <t>北京北投如郡房地产开发有限公司</t>
  </si>
  <si>
    <t>北京城市副中心投资建设集团有限公司</t>
  </si>
  <si>
    <t>居住70年、商业40年、办公50年</t>
  </si>
  <si>
    <t>3星</t>
  </si>
  <si>
    <t>北京市大兴区黄村镇狼垡地区集体产业用地2号地DX00-1002-L06地块</t>
  </si>
  <si>
    <t>黄村北</t>
  </si>
  <si>
    <t>东至区界,西至芦花路,南至横三路,北至横四路</t>
  </si>
  <si>
    <t>京土集使挂(兴)[2020]001号</t>
  </si>
  <si>
    <t>F81绿隔产业用地</t>
  </si>
  <si>
    <t>≤2.5</t>
  </si>
  <si>
    <t>45米</t>
  </si>
  <si>
    <t>含人才住房</t>
  </si>
  <si>
    <t>2020-11-16</t>
  </si>
  <si>
    <t>2020-12-07</t>
  </si>
  <si>
    <t>2020-12-22</t>
  </si>
  <si>
    <t>北京兴业恒盛置业有限公司</t>
  </si>
  <si>
    <t>北京兴业利民置业有限公司</t>
  </si>
  <si>
    <t>50年</t>
  </si>
  <si>
    <t>4星</t>
  </si>
  <si>
    <t>北京经济技术开发区河西区X46R1、X46R2地块R2二类居住用地、A334托幼用地国有建设用地</t>
  </si>
  <si>
    <t>北京经济技术开发区河西区X46R1、X46R2地块</t>
  </si>
  <si>
    <t>京土整储挂(开)[2020]028号</t>
  </si>
  <si>
    <t>R2二类居住用地、A334托幼用地</t>
  </si>
  <si>
    <t>r2≤2.5,a33≤0.8</t>
  </si>
  <si>
    <t>≤30%</t>
  </si>
  <si>
    <t>R2≤80米,A33≤18米</t>
  </si>
  <si>
    <t>限地价,竞自持,报高标准商品住宅建设方案</t>
  </si>
  <si>
    <t>限地价</t>
  </si>
  <si>
    <t>2020-06-30</t>
  </si>
  <si>
    <t>2020-07-20</t>
  </si>
  <si>
    <t>2020-08-03</t>
  </si>
  <si>
    <t>北京中海地产有限公司</t>
  </si>
  <si>
    <t>中国海外发展有限公司</t>
  </si>
  <si>
    <t>北京市大兴区采育镇01-0129地块R2二类居住用地、01-0115地块R53托幼用地</t>
  </si>
  <si>
    <t>采育</t>
  </si>
  <si>
    <t>大兴区采育镇</t>
  </si>
  <si>
    <t>京土整储挂(兴)[2020]017号</t>
  </si>
  <si>
    <t>R2二类居住用地、R53托幼用地</t>
  </si>
  <si>
    <t>r2≤1.05,a53≤0.8</t>
  </si>
  <si>
    <t>R2≤30米,R53≤9米</t>
  </si>
  <si>
    <t>开工中</t>
  </si>
  <si>
    <t>2020-03-30</t>
  </si>
  <si>
    <t>2020-04-29</t>
  </si>
  <si>
    <t>2020-05-15</t>
  </si>
  <si>
    <t>北京路劲隽御房地产开发有限公司和北京首都开发股份有限公司联合体</t>
  </si>
  <si>
    <t>路劲基建有限公司</t>
  </si>
  <si>
    <t>2星</t>
  </si>
  <si>
    <t>北京市大兴区西红门镇B1-05-(3)地块R2二类居住用地</t>
  </si>
  <si>
    <t>住宅用地</t>
  </si>
  <si>
    <t>西红门</t>
  </si>
  <si>
    <t>大兴区西红门镇</t>
  </si>
  <si>
    <t>京土整储挂(兴)[2020]011号</t>
  </si>
  <si>
    <t>R2二类居住用地</t>
  </si>
  <si>
    <t>≤2.1</t>
  </si>
  <si>
    <t>≤30米</t>
  </si>
  <si>
    <t>限地价,限房价,竞自持,报高标准商品住宅建设方案,90/70</t>
  </si>
  <si>
    <t>限地价,限房价,90/70</t>
  </si>
  <si>
    <t>2020-03-27</t>
  </si>
  <si>
    <t>2020-04-16</t>
  </si>
  <si>
    <t>北京尚恒龙端商业运营管理有限公司和北京首都开发股份有限公司联合体</t>
  </si>
  <si>
    <t>北京首都开发股份有限公司,龙湖集团控股有限公司</t>
  </si>
  <si>
    <t>北京市大兴区西红门镇B1-05-(2)地块R2二类居住用地、B2-02地块S4社会停车场用地</t>
  </si>
  <si>
    <t>京土整储挂(兴)[2020]010号</t>
  </si>
  <si>
    <t>R2二类居住用地、S4社会停车场用地</t>
  </si>
  <si>
    <t>r2≤2.1</t>
  </si>
  <si>
    <t>北京新城万隆房地产开发有限公司</t>
  </si>
  <si>
    <t>新城发展控股有限公司</t>
  </si>
  <si>
    <t>北京市大兴区采育镇DX10-0001-6004地块R2二类居住用地</t>
  </si>
  <si>
    <t>京土整储挂(兴)[2019]054号</t>
  </si>
  <si>
    <t>≤60米</t>
  </si>
  <si>
    <t>2019-12-31</t>
  </si>
  <si>
    <t>2020-02-04</t>
  </si>
  <si>
    <t>2020-02-18</t>
  </si>
  <si>
    <t>北京住总房地产开发有限责任公司和北京兴创置地房地产开发有限公司联合体</t>
  </si>
  <si>
    <t>北京市大兴区国有资本投资运营有限公司,北京住总集团有限责任公司</t>
  </si>
  <si>
    <t>北京市大兴区旧宫镇YZ00-0801-0018、0019、0024、0025、0026地块二类居住用地、基础教育用地</t>
  </si>
  <si>
    <t>旧宫</t>
  </si>
  <si>
    <t>大兴区旧宫镇</t>
  </si>
  <si>
    <t>京土整储挂(兴)[2019]055号</t>
  </si>
  <si>
    <t>二类居住用地、基础教育用地</t>
  </si>
  <si>
    <t>基础教育≤0.8,二类居住≤2.5</t>
  </si>
  <si>
    <t>二类居住≤45米,基础教育≤12米</t>
  </si>
  <si>
    <t>北京昱意房地产开发有限公司</t>
  </si>
  <si>
    <t>保利发展控股集团股份有限公司,绿城中国控股有限公司</t>
  </si>
  <si>
    <t>5星</t>
  </si>
  <si>
    <t>北京市大兴区采育镇01-0042地块R2二类居住用地</t>
  </si>
  <si>
    <t>京土整储挂(兴)[2019]052号</t>
  </si>
  <si>
    <t>≤1.05</t>
  </si>
  <si>
    <t>2020-01-22</t>
  </si>
  <si>
    <t>2020-02-11</t>
  </si>
  <si>
    <t>京能置业股份有限公司</t>
  </si>
  <si>
    <t>北京经济技术开发区路东区E9R2、E9A2地块R2二类居住用地、A33基础教育用地</t>
  </si>
  <si>
    <t>北京经济技术开发区路东区E9R2、E9A2地块</t>
  </si>
  <si>
    <t>京土整储挂(开)[2019]030号</t>
  </si>
  <si>
    <t>R2二类居住用地、A33基础教育用地</t>
  </si>
  <si>
    <t>r2≤2.8,a33≤0.8</t>
  </si>
  <si>
    <t>2019-10-10</t>
  </si>
  <si>
    <t>2019-10-30</t>
  </si>
  <si>
    <t>2019-11-13</t>
  </si>
  <si>
    <t>山西通建房地产开发有限公司</t>
  </si>
  <si>
    <t>山西交通控股集团有限公司</t>
  </si>
  <si>
    <t>北京经济技术开发区路东区E9R3、E9R4地块R2二类居住用地</t>
  </si>
  <si>
    <t>北京经济技术开发区路东区E9R3、E9R4地块</t>
  </si>
  <si>
    <t>京土整储挂(开)[2019]031号</t>
  </si>
  <si>
    <t>≤2.8</t>
  </si>
  <si>
    <t>≤80米</t>
  </si>
  <si>
    <t>招商局地产(北京)有限公司</t>
  </si>
  <si>
    <t>招商局蛇口工业区控股股份有限公司</t>
  </si>
  <si>
    <t>北京市大兴区黄村镇孙村组团DX00-0009-6010地块R2二类居住用地、DX00-0009-6009地块A33基础教育用地</t>
  </si>
  <si>
    <t>黄村南</t>
  </si>
  <si>
    <t>大兴区黄村镇</t>
  </si>
  <si>
    <t>京土整储挂(兴)[2019]025号</t>
  </si>
  <si>
    <t>r2≤1.8,a33≤0.8</t>
  </si>
  <si>
    <t>R2≤24米,A33≤18米</t>
  </si>
  <si>
    <t>2019-08-28</t>
  </si>
  <si>
    <t>2019-09-26</t>
  </si>
  <si>
    <t>2019-10-15</t>
  </si>
  <si>
    <t>北京融创恒基地产有限公司和北京昌政大道实业有限公司联合体</t>
  </si>
  <si>
    <t>融创中国控股有限公司</t>
  </si>
  <si>
    <t>北京市大兴区地铁亦庄线旧宫东站2号地项目DX05-0102-6003、6004、6005地块R2居住用地、A334基础教育用地及S1城市道路用地</t>
  </si>
  <si>
    <t>京土整储挂(兴)[2019]026号</t>
  </si>
  <si>
    <t>R2居住用地及A334基础教育用地及S1城市道路用地</t>
  </si>
  <si>
    <t>r2≤2.5,幼儿园≤0.8,a33≤0.8</t>
  </si>
  <si>
    <t>R2≤60米,幼儿园≤12米,A33≤24米</t>
  </si>
  <si>
    <t>中国电建地产集团有限公司和京能置业股份有限公司联合体</t>
  </si>
  <si>
    <t>中国电建地产集团有限公司,京能置业股份有限公司</t>
  </si>
  <si>
    <t>北京市大兴区庞各庄镇DX06-0103-6001、6002、6003地块R2二类居住用地、A33基础教育用地</t>
  </si>
  <si>
    <t>庞各庄</t>
  </si>
  <si>
    <t>大兴区庞各庄镇</t>
  </si>
  <si>
    <t>京土整储挂(兴)[2019]023号</t>
  </si>
  <si>
    <t>r2≤2,a33≤0.8</t>
  </si>
  <si>
    <t>A33≤12米</t>
  </si>
  <si>
    <t>限地价,90/70</t>
  </si>
  <si>
    <t>2019-08-21</t>
  </si>
  <si>
    <t>2019-09-10</t>
  </si>
  <si>
    <t>2019-09-25</t>
  </si>
  <si>
    <t>保利(北京)房地产开发有限公司</t>
  </si>
  <si>
    <t>保利发展控股集团股份有限公司</t>
  </si>
  <si>
    <t>北京市大兴区瀛海镇YZ00-0803-0802、6021地块R2二类居住用地</t>
  </si>
  <si>
    <t>京土整储挂(兴)[2019]022号</t>
  </si>
  <si>
    <t>≤2.2</t>
  </si>
  <si>
    <t>≤45米</t>
  </si>
  <si>
    <t>集体建设用地区级统筹大兴区瀛海镇YZ00-0803-2010、2013A、2013B、2014、2016地块</t>
  </si>
  <si>
    <t>京土集使挂(兴)[2019]002号</t>
  </si>
  <si>
    <t>2019-08-22</t>
  </si>
  <si>
    <t>2019-09-12</t>
  </si>
  <si>
    <t>北京上瑞置业有限公司</t>
  </si>
  <si>
    <t>河南正商置业有限公司</t>
  </si>
  <si>
    <t>北京经济技术开发区河西区X92R1地块R2二类居住用地</t>
  </si>
  <si>
    <t>北京经济技术开发区河西区X92R1地块</t>
  </si>
  <si>
    <t>京土整储挂(开)[2019]010号</t>
  </si>
  <si>
    <t/>
  </si>
  <si>
    <t>2019-05-17</t>
  </si>
  <si>
    <t>2019-06-06</t>
  </si>
  <si>
    <t>2019-06-21</t>
  </si>
  <si>
    <t>北京雅信房地产开发有限公司</t>
  </si>
  <si>
    <t>雅居乐集团控股有限公司</t>
  </si>
  <si>
    <t>北京经济技术开发区河西区X92R2地块R2二类居住用地</t>
  </si>
  <si>
    <t>北京经济技术开发区河西区X92R2地块</t>
  </si>
  <si>
    <t>京土整储挂(开)[2019]011号</t>
  </si>
  <si>
    <t>港中旅房地产开发有限公司</t>
  </si>
  <si>
    <t>北京市大兴区瀛海镇YZ00-0803-6024、6025、6032、6035、6038地块F1住宅混合公建用地、A33基础教育用地、S32公交场站设施用地</t>
  </si>
  <si>
    <t>京土整储挂(兴)[2019]001号</t>
  </si>
  <si>
    <t>F1住宅混合公建用地、A33基础教育用地、S32公交场站设施用地</t>
  </si>
  <si>
    <t>f1=2.5,a33=0.8</t>
  </si>
  <si>
    <t>F1≤60米,A33≤12米</t>
  </si>
  <si>
    <t>2019-01-17</t>
  </si>
  <si>
    <t>2019-02-11</t>
  </si>
  <si>
    <t>2019-02-25</t>
  </si>
  <si>
    <t>居住70年,商业40年,办公50年</t>
  </si>
  <si>
    <t>北京市大兴区黄村镇三合庄村DX00-0202-6009地块F1住宅混合公建用地</t>
  </si>
  <si>
    <t>兴丰街道</t>
  </si>
  <si>
    <t>大兴区黄村镇三合庄村</t>
  </si>
  <si>
    <t>京土整储挂(兴)[2019]002号</t>
  </si>
  <si>
    <t>F1住宅混合公建用地</t>
  </si>
  <si>
    <t>≤50米</t>
  </si>
  <si>
    <t>北京金地达远企业管理咨询有限公司</t>
  </si>
  <si>
    <t>金地(集团)股份有限公司</t>
  </si>
  <si>
    <t>北京市大兴区采育镇区01-0119地块R2二类居住用地</t>
  </si>
  <si>
    <t>京土整储挂(兴)[2018]035号</t>
  </si>
  <si>
    <t>≤30</t>
  </si>
  <si>
    <t>限地价,限房价,竞自持,报高标准商品住宅建设方案</t>
  </si>
  <si>
    <t>限地价,限房价</t>
  </si>
  <si>
    <t>2018-10-23</t>
  </si>
  <si>
    <t>2018-11-12</t>
  </si>
  <si>
    <t>2018-11-26</t>
  </si>
  <si>
    <t>北京城建新城投资开发有限公司</t>
  </si>
  <si>
    <t>北京城建投资发展股份有限公司</t>
  </si>
  <si>
    <t>北京市大兴区采育镇区01-0128A地块R2二类居住用地</t>
  </si>
  <si>
    <t>京土整储挂(兴)[2018]031号</t>
  </si>
  <si>
    <t>30米</t>
  </si>
  <si>
    <t>限地价,限房价,竞自持</t>
  </si>
  <si>
    <t>2018-10-22</t>
  </si>
  <si>
    <t>北京住总房地产开发有限责任公司</t>
  </si>
  <si>
    <t>北京住总集团有限责任公司</t>
  </si>
  <si>
    <t>北京经济技术开发区河西区X89R1地块R2二类居住用地</t>
  </si>
  <si>
    <t>北京经济技术开发区河西区X89R1地块</t>
  </si>
  <si>
    <t>京土整储挂(开)[2018]021号</t>
  </si>
  <si>
    <t>≤60</t>
  </si>
  <si>
    <t>2018-09-10</t>
  </si>
  <si>
    <t>2018-09-30</t>
  </si>
  <si>
    <t>2018-10-19</t>
  </si>
  <si>
    <t>北京金隅兴大房地产开发有限公司</t>
  </si>
  <si>
    <t>北京金隅集团股份有限公司</t>
  </si>
  <si>
    <t>北京经济技术开发区河西区X89R2地块R2二类居住用地国有建设用地</t>
  </si>
  <si>
    <t>北京经济技术开发区河西区X89R2地块</t>
  </si>
  <si>
    <t>京土整储挂(开)[2018]022号</t>
  </si>
  <si>
    <t>天津北方博茂置业有限公司、中铁房地产集团北方有限公司和北京隽成房地产开发有限公司联合体</t>
  </si>
  <si>
    <t>中国金茂控股集团有限公司,中国铁建股份有限公司,路劲基建有限公司</t>
  </si>
  <si>
    <t>北京市大兴区魏善庄镇DX07-0102-6013地块R2二类居住用地、DX07-0102-6016地块A33基础教育用地</t>
  </si>
  <si>
    <t>魏善庄</t>
  </si>
  <si>
    <t>大兴区魏善庄镇</t>
  </si>
  <si>
    <t>京土整储挂(兴)[2018]015号</t>
  </si>
  <si>
    <t>R2≤30%;A33≤35%</t>
  </si>
  <si>
    <t>R2≤45;A33≤15</t>
  </si>
  <si>
    <t>2018-07-20</t>
  </si>
  <si>
    <t>2018-08-09</t>
  </si>
  <si>
    <t>2018-08-23</t>
  </si>
  <si>
    <t>北京喜茂置业有限公司</t>
  </si>
  <si>
    <t>中国金茂控股集团有限公司</t>
  </si>
  <si>
    <t>北京市大兴区魏善庄镇DX07-0102-6015地块R2二类居住用地</t>
  </si>
  <si>
    <t>京土整储挂(兴)[2018]016号</t>
  </si>
  <si>
    <t>≤45</t>
  </si>
  <si>
    <t>北京市大兴区庞各庄镇PGZ02-21地块R2二类居住用地</t>
  </si>
  <si>
    <t>京土整储挂(兴)[2017]115号</t>
  </si>
  <si>
    <t>2017-12-29</t>
  </si>
  <si>
    <t>2018-01-19</t>
  </si>
  <si>
    <t>2018-02-02</t>
  </si>
  <si>
    <t>北京市大兴区黄村镇三合庄0202-0206、0202-0208地块F1住宅混合公建用地</t>
  </si>
  <si>
    <t>京土整储挂(兴)[2017]114号</t>
  </si>
  <si>
    <t>≤35%</t>
  </si>
  <si>
    <t>已完工</t>
  </si>
  <si>
    <t>2017-12-27</t>
  </si>
  <si>
    <t>2018-01-16</t>
  </si>
  <si>
    <t>2018-01-30</t>
  </si>
  <si>
    <t>招商局地产(北京)有限公司和北京永世同创信息咨询有限公司联合体</t>
  </si>
  <si>
    <t>北京市大兴区黄村镇DX00-0103-1304地块R2二类居住用地</t>
  </si>
  <si>
    <t>林校路街道</t>
  </si>
  <si>
    <t>招标</t>
  </si>
  <si>
    <t>京土整储招(兴)[2017]110*号</t>
  </si>
  <si>
    <t>≤25%</t>
  </si>
  <si>
    <t>居住用途建筑规模全部用于建设“共有产权住房”,房屋销售限价为30000元/平方米(含全装修费用)</t>
  </si>
  <si>
    <t>2018-01-18</t>
  </si>
  <si>
    <t>北京三元德宏房地产开发有限公司</t>
  </si>
  <si>
    <t>北京市大兴区魏善庄镇2016年世界月季大会周边配套(国家新媒体产业基地B组团)土地一级开发项目AA-43(DX07-0102-6011)地块R2二类居住用地</t>
  </si>
  <si>
    <t>京土整储挂(兴)[2017]081号</t>
  </si>
  <si>
    <t>居住建筑规模全部建设“共有产权住房”</t>
  </si>
  <si>
    <t>2017-09-30</t>
  </si>
  <si>
    <t>2017-10-24</t>
  </si>
  <si>
    <t>2017-11-07</t>
  </si>
  <si>
    <t>北京首都开发股份有限公司和保利(北京)房地产开发有限公司联合体</t>
  </si>
  <si>
    <t>北京首都开发股份有限公司,保利发展控股集团股份有限公司</t>
  </si>
  <si>
    <t>北京市大兴区黄村镇DX00-0301-0029等地块R2二类居住用地、F3其他类多功能用地、A33基础教育用地</t>
  </si>
  <si>
    <t>观音寺街道</t>
  </si>
  <si>
    <t>京土整储挂(兴)[2017]075号</t>
  </si>
  <si>
    <t>R2二类居住用地、F3其他类多功能用地、A33基础教育用地</t>
  </si>
  <si>
    <t>R2:≤35%;F3:≤40%;A33:≤25%</t>
  </si>
  <si>
    <t>R2、F3:≤45;A33:≤18</t>
  </si>
  <si>
    <t>限地价,限房价,报高标准商品住宅建设方案,90/70</t>
  </si>
  <si>
    <t>2017-09-26</t>
  </si>
  <si>
    <t>2017-10-16</t>
  </si>
  <si>
    <t>2017-10-30</t>
  </si>
  <si>
    <t>北京金地远景企业管理咨询有限公司</t>
  </si>
  <si>
    <t>北京经济技术开发区河西区X90R2、X90A1地块R2二类居住用地、A33基础教育用地</t>
  </si>
  <si>
    <t>北京经济技术开发区河西区X90R2、X90A1地块</t>
  </si>
  <si>
    <t>京土整储挂(开)[2017]073号</t>
  </si>
  <si>
    <t>R2≤36;A33≤18</t>
  </si>
  <si>
    <t>限地价,限房价,竞自持,90/70</t>
  </si>
  <si>
    <t>2017-09-21</t>
  </si>
  <si>
    <t>2017-10-11</t>
  </si>
  <si>
    <t>2017-10-25</t>
  </si>
  <si>
    <t>北京金隅大成开发有限公司</t>
  </si>
  <si>
    <t>北京经济技术开发区河西区X90R1、X90S1地块R2二类居住用地、S4社会停车场用地</t>
  </si>
  <si>
    <t>北京经济技术开发区河西区X90R1、X90S1地块</t>
  </si>
  <si>
    <t>京土整储挂(开)[2017]072号</t>
  </si>
  <si>
    <t>≤36</t>
  </si>
  <si>
    <t>出让宗地居住建筑规模全部建设“自住型商品住房”,销售价格为30000元/平方米(含全装修费用)</t>
  </si>
  <si>
    <t>北京博大新元房地产开发有限公司</t>
  </si>
  <si>
    <t>北京经济技术开发区河西区X94R1地块R2二类居住用地</t>
  </si>
  <si>
    <t>北京经济技术开发区河西区X94R1地块</t>
  </si>
  <si>
    <t>京土整储挂(开)[2017]069</t>
  </si>
  <si>
    <t>≤24</t>
  </si>
  <si>
    <t>2017-09-01</t>
  </si>
  <si>
    <t>京土整储挂(开)[2017]069号</t>
  </si>
  <si>
    <t>保利(北京)房地产开发有限公司、北京首都开发股份有限公司和北京创嘉兴业科技有限公司联合体</t>
  </si>
  <si>
    <t>金地(集团)股份有限公司,北京首都开发股份有限公司,保利发展控股集团股份有限公司</t>
  </si>
  <si>
    <t>北京经济技术开发区路东区G2街区G2R1等地块R2二类居住用地、F1住宅混合公建用地、A33基础教育用地*&amp;quot</t>
  </si>
  <si>
    <t>北京经济技术开发区路东区G2街区G2R1、G2F1、G2F2、G2F3、G2A1地块</t>
  </si>
  <si>
    <t>京土整储挂(开)[2017]057号</t>
  </si>
  <si>
    <t>R2二类居住用地、F1住宅混合公建用地、A33基础教育用地</t>
  </si>
  <si>
    <t>2017-06-30</t>
  </si>
  <si>
    <t>2017-07-25</t>
  </si>
  <si>
    <t>2017-08-08</t>
  </si>
  <si>
    <t>北京中瑞凯华投资管理有限公司和北京德俊置业有限公司联合体</t>
  </si>
  <si>
    <t>远洋集团控股有限公司,首创置业股份有限公司</t>
  </si>
  <si>
    <t>大兴区黄村镇DX00-0102-0901地块F1住宅混合公建用地</t>
  </si>
  <si>
    <t>大兴区黄村镇饮马井、义和庄村</t>
  </si>
  <si>
    <t>京土整储挂(兴)[2017]053号</t>
  </si>
  <si>
    <t>2017-06-27</t>
  </si>
  <si>
    <t>2017-07-21</t>
  </si>
  <si>
    <t>2017-08-04</t>
  </si>
  <si>
    <t>远洋地产有限公司</t>
  </si>
  <si>
    <t>远洋集团控股有限公司,北京首都开发股份有限公司</t>
  </si>
  <si>
    <t>大兴区瀛海镇YZ00-0803-0512、YZ00-0803-0514、C07-3地块R2二类居住用地、A33基础教育用地</t>
  </si>
  <si>
    <t>京土整储挂(兴)[2017]047号</t>
  </si>
  <si>
    <t>r2:2;a33:0.8</t>
  </si>
  <si>
    <t>2017-06-23</t>
  </si>
  <si>
    <t>2017-07-13</t>
  </si>
  <si>
    <t>2017-07-27</t>
  </si>
  <si>
    <t>北京中瑞凯华投资管理有限公司、北京德俊置业有限公司和上海骞乐企业管理有限公司联合体</t>
  </si>
  <si>
    <t>远洋集团控股有限公司,首创置业股份有限公司,世茂集团控股有限公司</t>
  </si>
  <si>
    <t>大兴区黄村镇DX00-0102-0702地块F1住宅混合公建用地</t>
  </si>
  <si>
    <t>京土整储挂(兴)[2017]048号</t>
  </si>
  <si>
    <t>北京融平企业管理服务有限公司</t>
  </si>
  <si>
    <t>金融街控股股份有限公司</t>
  </si>
  <si>
    <t>大兴区黄村镇DX00-0102-0802地块F1住宅混合公建用地</t>
  </si>
  <si>
    <t>京土整储挂(兴)[2017]044号</t>
  </si>
  <si>
    <t>30%</t>
  </si>
  <si>
    <t>出让宗地居住建筑规模全部建设“自住型商品住房”,销售限价为29000元/平方米(含全装修费用)</t>
  </si>
  <si>
    <t>2017-06-21</t>
  </si>
  <si>
    <t>2017-07-11</t>
  </si>
  <si>
    <t>中国海外发展有限公司,保利发展控股集团股份有限公司</t>
  </si>
  <si>
    <t>大兴区瀛海镇C4组团YZ00-0803-0602地块F2公建混合住宅用地</t>
  </si>
  <si>
    <t>大兴区瀛海镇区C4组团</t>
  </si>
  <si>
    <t>京土整储挂(兴)[2017]043号</t>
  </si>
  <si>
    <t>F2公建混合住宅用地</t>
  </si>
  <si>
    <t>限地价,限房价,竞自持,报高标准商品住宅建设方案,90/70,含租赁用地</t>
  </si>
  <si>
    <t>限地价,限房价,90/70,含租赁用地</t>
  </si>
  <si>
    <t>2017-06-14</t>
  </si>
  <si>
    <t>2017-07-04</t>
  </si>
  <si>
    <t>2017-07-18</t>
  </si>
  <si>
    <t>北京中海地产有限公司、保利(北京)房地产开发有限公司联合体</t>
  </si>
  <si>
    <t>大兴区瀛海镇区C4组团YZ00-0803-0603地块</t>
  </si>
  <si>
    <t>京土整储挂(兴)[2017]024号</t>
  </si>
  <si>
    <t>出让宗地居住建筑规模全部建设“自住型商品住房”,销售限价为29000元/平方米</t>
  </si>
  <si>
    <t>2017-03-22</t>
  </si>
  <si>
    <t>2017-04-11</t>
  </si>
  <si>
    <t>2017-04-25</t>
  </si>
  <si>
    <t>北京国瑞兴业房地产控股有限公司</t>
  </si>
  <si>
    <t>居住70年商业40年办公50年</t>
  </si>
  <si>
    <t>大兴区旧宫镇DX07-0201-0010、0011、0012地块</t>
  </si>
  <si>
    <t>京土整储挂(兴)[2017]012号</t>
  </si>
  <si>
    <t>2017-03-02</t>
  </si>
  <si>
    <t>2017-04-13</t>
  </si>
  <si>
    <t>北京首都开发股份有限公司、北京中海地产有限公司、保利(北京)房地产开发有限公司和北京龙湖中佰置业有限公司联合体</t>
  </si>
  <si>
    <t>中国海外发展有限公司,北京首都开发股份有限公司,保利发展控股集团股份有限公司,龙湖集团控股有限公司</t>
  </si>
  <si>
    <t>大兴区旧宫镇DX07-0201-0006、0007地块</t>
  </si>
  <si>
    <t>京土整储挂(兴)[2017]011号</t>
  </si>
  <si>
    <t>大兴区黄村镇兴华大街DX00-0202-0305地块R2二类居住用地、DX00-0202-0308地块</t>
  </si>
  <si>
    <t>大兴新城东片区0202街区</t>
  </si>
  <si>
    <t>京土整储挂(兴)[2016]021号</t>
  </si>
  <si>
    <t>2016-09-29</t>
  </si>
  <si>
    <t>2016-11-02</t>
  </si>
  <si>
    <t>2016-12-01</t>
  </si>
  <si>
    <t>中铁房地产集团北方有限公司</t>
  </si>
  <si>
    <t>中国铁建股份有限公司</t>
  </si>
  <si>
    <t>北京经济技术开发区II-6街区X84R3地块</t>
  </si>
  <si>
    <t>京土整储挂(开)[2016]016号</t>
  </si>
  <si>
    <t>居住用途建筑规模全部用于建设“自住型商品住房”,销售限价为23000元/平方米(含全装修成本)</t>
  </si>
  <si>
    <t>2016-08-30</t>
  </si>
  <si>
    <t>2016-09-20</t>
  </si>
  <si>
    <t>2016-10-09</t>
  </si>
  <si>
    <t>居住70年、办公50年、商业40年</t>
  </si>
  <si>
    <t>大兴区黄村镇四街、五街、六街村项目DX00-0208-6001等地块</t>
  </si>
  <si>
    <t>京土整储挂(兴)[2016]001号</t>
  </si>
  <si>
    <t>R2二类居住用地、U17邮政设施用地、B4综合性商业金融服务业用地、A33基础教育用地</t>
  </si>
  <si>
    <t>现场竞报自住型住房面积15000平方米,销售限价为17500元/平方米。</t>
  </si>
  <si>
    <t>2016-01-15</t>
  </si>
  <si>
    <t>2016-02-04</t>
  </si>
  <si>
    <t>2016-02-23</t>
  </si>
  <si>
    <t>北京绿地京城置业有限公司和北京绿地京华置业有限公司联合体</t>
  </si>
  <si>
    <t>绿地控股集团股份有限公司</t>
  </si>
  <si>
    <t>大兴区旧宫镇YZ00-0801-0039、6001地块</t>
  </si>
  <si>
    <t>京土整储挂(兴)[2015]072号</t>
  </si>
  <si>
    <t>R2二类居住、A61机构养老设施用地</t>
  </si>
  <si>
    <t>2015-11-19</t>
  </si>
  <si>
    <t>2015-12-09</t>
  </si>
  <si>
    <t>2015-12-23</t>
  </si>
  <si>
    <t>中铁置业集团北京有限公司</t>
  </si>
  <si>
    <t>中铁置业集团有限公司</t>
  </si>
  <si>
    <t>大兴区瀛海镇区DX08-0002-0301地块(原瀛海镇西区C5组团土地一级开发项目部分地块)</t>
  </si>
  <si>
    <t>京土整储挂(兴)[2015]024号</t>
  </si>
  <si>
    <t>限价房,</t>
  </si>
  <si>
    <t>2015-06-01</t>
  </si>
  <si>
    <t>2015-06-23</t>
  </si>
  <si>
    <t>2015-07-07</t>
  </si>
  <si>
    <t>北京龙湖中佰置业有限公司、北京首都开发股份有限公司联合体</t>
  </si>
  <si>
    <t>住宅70年、商业40年、办公50年</t>
  </si>
  <si>
    <t>大兴区瀛海镇区DX08-0002-0304等地块(原瀛海镇西区C5组团土地一级开发项目部分地块)</t>
  </si>
  <si>
    <t>京土整储挂(兴)[2015]023号</t>
  </si>
  <si>
    <t>F1住宅混合公建用地、A33基础教育用地</t>
  </si>
  <si>
    <t>2015-05-29</t>
  </si>
  <si>
    <t>2015-06-18</t>
  </si>
  <si>
    <t>2015-07-03</t>
  </si>
  <si>
    <t>北京城建兴业置地有限公司</t>
  </si>
  <si>
    <t>大兴区庞各庄镇PGZ01-04、PGZ01-05地块(原庞各庄镇镇区改造项目1号地部分地块)</t>
  </si>
  <si>
    <t>京土整储挂(兴)[2015]022号</t>
  </si>
  <si>
    <t>F3其他类多功能用地、F2公建混合住宅用地</t>
  </si>
  <si>
    <t>2015-05-28</t>
  </si>
  <si>
    <t>2015-06-17</t>
  </si>
  <si>
    <t>2015-07-02</t>
  </si>
  <si>
    <t>北京兴展宏业投资有限公司</t>
  </si>
  <si>
    <t>成本法</t>
  </si>
  <si>
    <t>押一</t>
  </si>
  <si>
    <t>收益法</t>
  </si>
  <si>
    <t>地块</t>
    <phoneticPr fontId="140" type="noConversion"/>
  </si>
  <si>
    <t>楼号</t>
    <phoneticPr fontId="140" type="noConversion"/>
  </si>
  <si>
    <t>套数</t>
    <phoneticPr fontId="140" type="noConversion"/>
  </si>
  <si>
    <t>07地块</t>
    <phoneticPr fontId="140" type="noConversion"/>
  </si>
  <si>
    <t>06地块</t>
    <phoneticPr fontId="140" type="noConversion"/>
  </si>
  <si>
    <t>较好</t>
  </si>
  <si>
    <t>一般</t>
  </si>
  <si>
    <t>七通</t>
  </si>
  <si>
    <t>次</t>
  </si>
  <si>
    <t>支</t>
  </si>
  <si>
    <t>七通</t>
    <phoneticPr fontId="3" type="noConversion"/>
  </si>
  <si>
    <t>六通</t>
    <phoneticPr fontId="3" type="noConversion"/>
  </si>
  <si>
    <t>五通</t>
    <phoneticPr fontId="3" type="noConversion"/>
  </si>
  <si>
    <t>四通</t>
    <phoneticPr fontId="3" type="noConversion"/>
  </si>
  <si>
    <t>三通</t>
    <phoneticPr fontId="3" type="noConversion"/>
  </si>
  <si>
    <t>较规则</t>
  </si>
  <si>
    <t>较适宜</t>
  </si>
  <si>
    <t>六通</t>
  </si>
  <si>
    <t>较差</t>
  </si>
  <si>
    <t>已包含在土地取得成本中</t>
  </si>
  <si>
    <t>建筑面积依据</t>
    <phoneticPr fontId="140" type="noConversion"/>
  </si>
  <si>
    <t>《建设工程规划许可证》[2017规（大）建字0050号]</t>
    <phoneticPr fontId="140" type="noConversion"/>
  </si>
  <si>
    <t>房号</t>
    <phoneticPr fontId="140" type="noConversion"/>
  </si>
  <si>
    <t>《房屋面积测算技术报告书》</t>
    <phoneticPr fontId="140" type="noConversion"/>
  </si>
  <si>
    <t>10#住宅（自持）</t>
    <phoneticPr fontId="140" type="noConversion"/>
  </si>
  <si>
    <t>单元号</t>
    <phoneticPr fontId="140" type="noConversion"/>
  </si>
  <si>
    <t>1单元</t>
    <phoneticPr fontId="140" type="noConversion"/>
  </si>
  <si>
    <t>规划建筑面积（㎡）</t>
    <phoneticPr fontId="140" type="noConversion"/>
  </si>
  <si>
    <t>规划建筑面积（㎡）</t>
    <phoneticPr fontId="140" type="noConversion"/>
  </si>
  <si>
    <t>2单元</t>
    <phoneticPr fontId="140" type="noConversion"/>
  </si>
  <si>
    <t>小计</t>
    <phoneticPr fontId="140" type="noConversion"/>
  </si>
  <si>
    <t>11#住宅（自持）</t>
    <phoneticPr fontId="140" type="noConversion"/>
  </si>
  <si>
    <t>12#住宅（自持）</t>
    <phoneticPr fontId="140" type="noConversion"/>
  </si>
  <si>
    <t>——</t>
    <phoneticPr fontId="140" type="noConversion"/>
  </si>
  <si>
    <t>小计</t>
    <phoneticPr fontId="140" type="noConversion"/>
  </si>
  <si>
    <t>16#住宅（自持）</t>
    <phoneticPr fontId="140" type="noConversion"/>
  </si>
  <si>
    <t>小计</t>
    <phoneticPr fontId="140" type="noConversion"/>
  </si>
  <si>
    <t>17#住宅（自持）</t>
    <phoneticPr fontId="140" type="noConversion"/>
  </si>
  <si>
    <t>——</t>
    <phoneticPr fontId="140" type="noConversion"/>
  </si>
  <si>
    <t>18#住宅（自持）</t>
    <phoneticPr fontId="140" type="noConversion"/>
  </si>
  <si>
    <t>合计</t>
    <phoneticPr fontId="140" type="noConversion"/>
  </si>
  <si>
    <t>——</t>
    <phoneticPr fontId="140" type="noConversion"/>
  </si>
  <si>
    <r>
      <rPr>
        <b/>
        <sz val="16"/>
        <rFont val="宋体"/>
        <family val="3"/>
        <charset val="134"/>
      </rPr>
      <t>成本法</t>
    </r>
    <phoneticPr fontId="16" type="noConversion"/>
  </si>
  <si>
    <r>
      <rPr>
        <b/>
        <sz val="10"/>
        <rFont val="宋体"/>
        <family val="3"/>
        <charset val="134"/>
      </rPr>
      <t>万元</t>
    </r>
    <phoneticPr fontId="140" type="noConversion"/>
  </si>
  <si>
    <r>
      <rPr>
        <b/>
        <sz val="10"/>
        <rFont val="宋体"/>
        <family val="3"/>
        <charset val="134"/>
      </rPr>
      <t>成本比率</t>
    </r>
    <phoneticPr fontId="3" type="noConversion"/>
  </si>
  <si>
    <r>
      <rPr>
        <sz val="10"/>
        <rFont val="宋体"/>
        <family val="3"/>
        <charset val="134"/>
      </rPr>
      <t>土地成本比率</t>
    </r>
    <phoneticPr fontId="3" type="noConversion"/>
  </si>
  <si>
    <r>
      <rPr>
        <sz val="10"/>
        <rFont val="宋体"/>
        <family val="3"/>
        <charset val="134"/>
      </rPr>
      <t>建筑物成本比率</t>
    </r>
    <phoneticPr fontId="3" type="noConversion"/>
  </si>
  <si>
    <r>
      <rPr>
        <sz val="11"/>
        <color theme="1"/>
        <rFont val="宋体"/>
        <family val="3"/>
        <charset val="134"/>
      </rPr>
      <t>居住社区成熟度</t>
    </r>
  </si>
  <si>
    <r>
      <rPr>
        <b/>
        <sz val="11"/>
        <color theme="1"/>
        <rFont val="宋体"/>
        <family val="3"/>
        <charset val="134"/>
      </rPr>
      <t>楼面地价</t>
    </r>
  </si>
  <si>
    <r>
      <rPr>
        <sz val="10"/>
        <color theme="1"/>
        <rFont val="宋体"/>
        <family val="3"/>
        <charset val="134"/>
      </rPr>
      <t>办公</t>
    </r>
  </si>
  <si>
    <t>06地块</t>
    <phoneticPr fontId="140" type="noConversion"/>
  </si>
  <si>
    <t>6号</t>
    <phoneticPr fontId="140" type="noConversion"/>
  </si>
  <si>
    <t>序号</t>
    <phoneticPr fontId="140" type="noConversion"/>
  </si>
  <si>
    <t>建筑面积</t>
    <phoneticPr fontId="140" type="noConversion"/>
  </si>
  <si>
    <t>地上</t>
    <phoneticPr fontId="140" type="noConversion"/>
  </si>
  <si>
    <t>地下</t>
    <phoneticPr fontId="140" type="noConversion"/>
  </si>
  <si>
    <t>四合院</t>
    <phoneticPr fontId="16" type="noConversion"/>
  </si>
  <si>
    <t>居住用地（指一类居住用地）</t>
  </si>
  <si>
    <t>有</t>
  </si>
  <si>
    <t>500米范围内</t>
  </si>
  <si>
    <t>平整</t>
  </si>
  <si>
    <t>与级别开发程度一致</t>
  </si>
  <si>
    <t>季度增幅（自定义）</t>
  </si>
  <si>
    <t>容积率修正</t>
  </si>
  <si>
    <t>单面临街</t>
  </si>
  <si>
    <t>一致</t>
    <phoneticPr fontId="25" type="noConversion"/>
  </si>
  <si>
    <t>较不规则、有一定影响</t>
    <phoneticPr fontId="78" type="noConversion"/>
  </si>
  <si>
    <t>较接近</t>
    <phoneticPr fontId="78" type="noConversion"/>
  </si>
  <si>
    <t>户号</t>
    <phoneticPr fontId="140" type="noConversion"/>
  </si>
  <si>
    <t>夹层1101</t>
    <phoneticPr fontId="140" type="noConversion"/>
  </si>
  <si>
    <t>夹层2101</t>
    <phoneticPr fontId="140" type="noConversion"/>
  </si>
  <si>
    <t>酒店</t>
  </si>
  <si>
    <t>酒店</t>
    <phoneticPr fontId="7" type="noConversion"/>
  </si>
  <si>
    <t>其他：</t>
  </si>
  <si>
    <t>湖南省</t>
    <phoneticPr fontId="6" type="noConversion"/>
  </si>
  <si>
    <t>合计</t>
    <phoneticPr fontId="140" type="noConversion"/>
  </si>
  <si>
    <t>德国工业园一号路与林华路交叉口东南侧</t>
  </si>
  <si>
    <t>湘潭市</t>
  </si>
  <si>
    <t>商业/办公用地</t>
  </si>
  <si>
    <t>1.5≤,≤2.0</t>
  </si>
  <si>
    <t>工业用地</t>
  </si>
  <si>
    <t>2021-01-20</t>
  </si>
  <si>
    <t>铁姆肯(湖南)轴承有限公司</t>
  </si>
  <si>
    <t>岳塘经开区团山铺路以东,佳木路以南</t>
  </si>
  <si>
    <t>功能区一＜2.0,功能区二＜1.5</t>
  </si>
  <si>
    <t>商务设施、物流仓储用地</t>
  </si>
  <si>
    <t>2020-09-25</t>
  </si>
  <si>
    <t>湘潭怡亚通金津乐供应链产业发展有限公司</t>
  </si>
  <si>
    <t>高新区护华路与牡丹路交叉口西南角</t>
  </si>
  <si>
    <t>2.0-2.5</t>
  </si>
  <si>
    <t>商业用地</t>
  </si>
  <si>
    <t>2020-09-14</t>
  </si>
  <si>
    <t>湘潭城蹊教育投资集团有限公司</t>
  </si>
  <si>
    <t>雨湖区窑湾历史文化街区</t>
  </si>
  <si>
    <t>等于0.74</t>
  </si>
  <si>
    <t>其他商服用地</t>
  </si>
  <si>
    <t>2020-02-27</t>
  </si>
  <si>
    <t>湘潭市城乡资产经营管理有限公司</t>
  </si>
  <si>
    <t>雨湖区北二环路以南、西二环路以东</t>
  </si>
  <si>
    <t>大于0.2并且小于0.5</t>
  </si>
  <si>
    <t>2020-02-25</t>
  </si>
  <si>
    <t>长沙瑞霖能源科技有限公司</t>
  </si>
  <si>
    <t>等于0.72</t>
  </si>
  <si>
    <t>2020-02-20</t>
  </si>
  <si>
    <t>等于1.06</t>
  </si>
  <si>
    <t>2020-02-14</t>
  </si>
  <si>
    <t>岳塘区芙蓉大道以西、板塘六号路以南、板塘十四号路以北</t>
  </si>
  <si>
    <t>小于0.5</t>
  </si>
  <si>
    <t>2019-12-24</t>
  </si>
  <si>
    <t>湖南华远实业有限公司</t>
  </si>
  <si>
    <t>等于1.36</t>
  </si>
  <si>
    <t>2019-12-14</t>
  </si>
  <si>
    <t>岳塘区霞城乡下摄司村,滨江路以北,湘钢货运专线西南侧</t>
  </si>
  <si>
    <t>等于1.13</t>
  </si>
  <si>
    <t>零售商业用地</t>
  </si>
  <si>
    <t>2019-09-11</t>
  </si>
  <si>
    <t>湘潭城乡创新混凝土有限公司</t>
  </si>
  <si>
    <t>等于1</t>
  </si>
  <si>
    <t>2019-09-04</t>
  </si>
  <si>
    <t>昭山示范区晴岚路以北、芙蓉大道以东</t>
  </si>
  <si>
    <t>大于1并且小于2.5</t>
  </si>
  <si>
    <t>2019-08-07</t>
  </si>
  <si>
    <t>湖南科才置业有限公司</t>
  </si>
  <si>
    <t>雨湖区金桥路以北、西二环以东</t>
  </si>
  <si>
    <t>2019-07-10</t>
  </si>
  <si>
    <t>湖南华川商贸股份有限公司</t>
  </si>
  <si>
    <t>经开区江南大道北段以西</t>
  </si>
  <si>
    <t>2019-01-23</t>
  </si>
  <si>
    <t>湘潭九华石化发展有限公司</t>
  </si>
  <si>
    <t>岳塘区荷塘乡指方村、荷塘村、青山村</t>
  </si>
  <si>
    <t>≥0.001,≤0.1</t>
  </si>
  <si>
    <t>2019-01-16</t>
  </si>
  <si>
    <t>湘潭盘龙生态农业示范园有限公司</t>
  </si>
  <si>
    <t>岳塘区芙蓉大道以东,东站南路以北</t>
  </si>
  <si>
    <t>≥0.5,≤1</t>
  </si>
  <si>
    <t>2018-12-19</t>
  </si>
  <si>
    <t>湘潭顺广石化有限公司</t>
  </si>
  <si>
    <t>岳塘区板五路以东</t>
  </si>
  <si>
    <t>2018-12-14</t>
  </si>
  <si>
    <t>中国石化销售有限公司湖南湘潭石油分公司</t>
  </si>
  <si>
    <t>雨湖区柏荫路2号</t>
  </si>
  <si>
    <t>2018-11-08</t>
  </si>
  <si>
    <t>陈宇星,谢玉兰</t>
  </si>
  <si>
    <t>岳塘区佳木路以南,商城路以东</t>
  </si>
  <si>
    <t>2018-10-31</t>
  </si>
  <si>
    <t>湘潭岳城盛和建设开发有限公司</t>
  </si>
  <si>
    <t>雨湖区一大桥以东,沿江路以南</t>
  </si>
  <si>
    <t>≤1.2</t>
  </si>
  <si>
    <t>2018-09-07</t>
  </si>
  <si>
    <t>湘潭十八总商业街经营管理有限公司</t>
  </si>
  <si>
    <t>雨湖区一大桥以西,沿江路以南</t>
  </si>
  <si>
    <t>商业,文化设施</t>
  </si>
  <si>
    <t>2018-07-26</t>
  </si>
  <si>
    <t>雨湖区一大桥以西、沿江路以南</t>
  </si>
  <si>
    <t>2018-07-12</t>
  </si>
  <si>
    <t>经开区金鹏西路以北,沪昆高铁以南,保税路以东</t>
  </si>
  <si>
    <t>≤3</t>
  </si>
  <si>
    <t>2017-12-15</t>
  </si>
  <si>
    <t>湘潭九华综合保税区开发投资有限公司</t>
  </si>
  <si>
    <t>昭山示范区金南街以南,芙蓉大道以东,中建9号路以西</t>
  </si>
  <si>
    <t>≤1.1</t>
  </si>
  <si>
    <t>2017-11-18</t>
  </si>
  <si>
    <t>湖南北大未名生物科技有限公司</t>
  </si>
  <si>
    <t>昭山示范区中建6号路以北,仰天湖公园以南,芙蓉大道以西</t>
  </si>
  <si>
    <t>≤1.5</t>
  </si>
  <si>
    <t>2017-11-16</t>
  </si>
  <si>
    <t>湖南昭山经济建设投资有限公司</t>
  </si>
  <si>
    <t>岳塘区芙蓉大道以西,板塘十七号路以北</t>
  </si>
  <si>
    <t>2017-09-12</t>
  </si>
  <si>
    <t>湖南金阳城农产品物流园建设开发有限公司</t>
  </si>
  <si>
    <t>昭山示范区昭山乡高峰村、晴岚路以南、朝阳渠以东</t>
  </si>
  <si>
    <t>≤1.6</t>
  </si>
  <si>
    <t>2017-07-10</t>
  </si>
  <si>
    <t>湖南健康产业园投资有限公司</t>
  </si>
  <si>
    <t>雨湖区九华滨大道以西、竹埠港渠以南、丹桂路以北</t>
  </si>
  <si>
    <t>≥1且≤2.5</t>
  </si>
  <si>
    <t>2016-12-18</t>
  </si>
  <si>
    <t>湘潭万楼资产经营有限公司</t>
  </si>
  <si>
    <t>岳塘区板塘十六号路与佳木斯路交叉口东北角</t>
  </si>
  <si>
    <t>商业用地:≥3.5且≤4;仓储用地:≥1且≤2</t>
  </si>
  <si>
    <t>商务、仓储用地</t>
  </si>
  <si>
    <t>2016-12-17</t>
  </si>
  <si>
    <t>湖南省中岳物流有限公司</t>
  </si>
  <si>
    <t>岳塘区板塘十六号路与佳木斯路交叉东北角</t>
  </si>
  <si>
    <t>岳塘区万达东路与长新路交叉口东南角</t>
  </si>
  <si>
    <t>≥1.8且≤2.2</t>
  </si>
  <si>
    <t>2016-02-03</t>
  </si>
  <si>
    <t>湖北禾溢置业投资发展有限公司</t>
  </si>
  <si>
    <t>≥1且≤1.5</t>
  </si>
  <si>
    <t>湖南金湘泰投资发展有限公司</t>
  </si>
  <si>
    <t>雨湖区羊牯大道以南、袁坝路以东</t>
  </si>
  <si>
    <t>＞1.01,≤2.5</t>
  </si>
  <si>
    <t>2015-05-23</t>
  </si>
  <si>
    <t>湖南亿达市场开发有限责任公司、湖南鼎昌投资集团有限公司</t>
  </si>
  <si>
    <t>岳塘区芙蓉大道以西,昭山二十三号路以南</t>
  </si>
  <si>
    <t>2014-11-01</t>
  </si>
  <si>
    <t>岳塘区长株潭城际铁路以东,荷塘变电站以南,荷塘支路十三以北</t>
  </si>
  <si>
    <t>≤2.9</t>
  </si>
  <si>
    <t>2014-10-31</t>
  </si>
  <si>
    <t>湖南新中弘置业发展有限公司</t>
  </si>
  <si>
    <t>≤3.7</t>
  </si>
  <si>
    <t>岳塘区芙蓉路与吉安路交叉口东南角</t>
  </si>
  <si>
    <t>≤2</t>
  </si>
  <si>
    <t>批发零售用地</t>
  </si>
  <si>
    <t>2014-10-30</t>
  </si>
  <si>
    <t>湖南美林家美集团有限公司、北京住总物流有限公司</t>
  </si>
  <si>
    <t>岳塘区上瑞高速连接线与佳木路交叉口东北角</t>
  </si>
  <si>
    <t>≥1并且≤2</t>
  </si>
  <si>
    <t>湖南正方体医药有限责任公司</t>
  </si>
  <si>
    <t>1星</t>
  </si>
  <si>
    <t>昭山示范区昭山乡金星村</t>
  </si>
  <si>
    <t>＞1.01并且≤1.2</t>
  </si>
  <si>
    <t>2014-06-26</t>
  </si>
  <si>
    <t>湖南昭山晴岚酒店有限公司</t>
  </si>
  <si>
    <t>岳塘区芙蓉路以南,晓塘路以北</t>
  </si>
  <si>
    <t>2013-12-11</t>
  </si>
  <si>
    <t>大连万达商业地产股份有限公司</t>
  </si>
  <si>
    <t>九华示范区九华大道以东</t>
  </si>
  <si>
    <t>商业/住宅</t>
  </si>
  <si>
    <t>2013-09-01</t>
  </si>
  <si>
    <t>湖南九华国际新城开发建设有限公司</t>
  </si>
  <si>
    <t>2013-08-31</t>
  </si>
  <si>
    <t>岳塘区沃土路与昭山二十三号交叉东南角</t>
  </si>
  <si>
    <t>2013-08-30</t>
  </si>
  <si>
    <t>九华示范区江南大道以西、伏林西路以北</t>
  </si>
  <si>
    <t>≤5.0</t>
  </si>
  <si>
    <t>2013-06-30</t>
  </si>
  <si>
    <t>湘潭重九置业有限公司</t>
  </si>
  <si>
    <t>雨湖区羊牯大道以南、西二环以东</t>
  </si>
  <si>
    <t>＞1.01并且≤2.65</t>
  </si>
  <si>
    <t>2013-02-27</t>
  </si>
  <si>
    <t>岳塘区福星中路南侧</t>
  </si>
  <si>
    <t>≤8</t>
  </si>
  <si>
    <t>2012-12-14</t>
  </si>
  <si>
    <t>湖南东江房地产开发有限公司</t>
  </si>
  <si>
    <t>雨湖区车站路15号</t>
  </si>
  <si>
    <t>2012-11-15</t>
  </si>
  <si>
    <t>湖南秦汉商贸有限公司</t>
  </si>
  <si>
    <r>
      <rPr>
        <b/>
        <sz val="16"/>
        <color theme="1"/>
        <rFont val="宋体"/>
        <family val="3"/>
        <charset val="134"/>
      </rPr>
      <t>套用比较法</t>
    </r>
    <phoneticPr fontId="3" type="noConversion"/>
  </si>
  <si>
    <r>
      <rPr>
        <b/>
        <sz val="11"/>
        <color theme="1"/>
        <rFont val="宋体"/>
        <family val="3"/>
        <charset val="134"/>
      </rPr>
      <t>比较因素</t>
    </r>
    <phoneticPr fontId="3" type="noConversion"/>
  </si>
  <si>
    <r>
      <rPr>
        <sz val="11"/>
        <color theme="1"/>
        <rFont val="宋体"/>
        <family val="3"/>
        <charset val="134"/>
      </rPr>
      <t>估价对象</t>
    </r>
    <phoneticPr fontId="3" type="noConversion"/>
  </si>
  <si>
    <r>
      <rPr>
        <sz val="11"/>
        <color theme="1"/>
        <rFont val="宋体"/>
        <family val="3"/>
        <charset val="134"/>
      </rPr>
      <t>案例</t>
    </r>
    <r>
      <rPr>
        <sz val="11"/>
        <color theme="1"/>
        <rFont val="Arial"/>
        <family val="2"/>
      </rPr>
      <t>A</t>
    </r>
    <phoneticPr fontId="3" type="noConversion"/>
  </si>
  <si>
    <r>
      <rPr>
        <sz val="11"/>
        <color theme="1"/>
        <rFont val="宋体"/>
        <family val="3"/>
        <charset val="134"/>
      </rPr>
      <t>案例</t>
    </r>
    <r>
      <rPr>
        <sz val="11"/>
        <color theme="1"/>
        <rFont val="Arial"/>
        <family val="2"/>
      </rPr>
      <t>B</t>
    </r>
    <phoneticPr fontId="3" type="noConversion"/>
  </si>
  <si>
    <t>无</t>
    <phoneticPr fontId="25" type="noConversion"/>
  </si>
  <si>
    <t>有</t>
    <phoneticPr fontId="25" type="noConversion"/>
  </si>
  <si>
    <r>
      <rPr>
        <b/>
        <sz val="16"/>
        <color theme="1"/>
        <rFont val="宋体"/>
        <family val="3"/>
        <charset val="134"/>
      </rPr>
      <t>住宅、综合</t>
    </r>
    <phoneticPr fontId="3" type="noConversion"/>
  </si>
  <si>
    <r>
      <rPr>
        <b/>
        <sz val="12"/>
        <color theme="1"/>
        <rFont val="宋体"/>
        <family val="3"/>
        <charset val="134"/>
      </rPr>
      <t>总价</t>
    </r>
    <phoneticPr fontId="3" type="noConversion"/>
  </si>
  <si>
    <r>
      <rPr>
        <b/>
        <sz val="12"/>
        <color theme="1"/>
        <rFont val="宋体"/>
        <family val="3"/>
        <charset val="134"/>
      </rPr>
      <t>楼面单价</t>
    </r>
    <phoneticPr fontId="3" type="noConversion"/>
  </si>
  <si>
    <r>
      <rPr>
        <sz val="11"/>
        <color theme="1"/>
        <rFont val="宋体"/>
        <family val="3"/>
        <charset val="134"/>
      </rPr>
      <t>估价对象名称</t>
    </r>
    <phoneticPr fontId="3" type="noConversion"/>
  </si>
  <si>
    <r>
      <rPr>
        <sz val="11"/>
        <color theme="1"/>
        <rFont val="宋体"/>
        <family val="3"/>
        <charset val="134"/>
      </rPr>
      <t>项目位置</t>
    </r>
    <phoneticPr fontId="3" type="noConversion"/>
  </si>
  <si>
    <r>
      <rPr>
        <sz val="11"/>
        <color theme="1"/>
        <rFont val="宋体"/>
        <family val="3"/>
        <charset val="134"/>
      </rPr>
      <t>系数</t>
    </r>
    <r>
      <rPr>
        <sz val="11"/>
        <color theme="1"/>
        <rFont val="Arial"/>
        <family val="2"/>
      </rPr>
      <t>%</t>
    </r>
    <phoneticPr fontId="3" type="noConversion"/>
  </si>
  <si>
    <r>
      <rPr>
        <sz val="11"/>
        <color theme="1"/>
        <rFont val="宋体"/>
        <family val="3"/>
        <charset val="134"/>
      </rPr>
      <t>正常</t>
    </r>
    <phoneticPr fontId="3" type="noConversion"/>
  </si>
  <si>
    <r>
      <rPr>
        <sz val="11"/>
        <color theme="1"/>
        <rFont val="宋体"/>
        <family val="3"/>
        <charset val="134"/>
      </rPr>
      <t>用途</t>
    </r>
    <phoneticPr fontId="3" type="noConversion"/>
  </si>
  <si>
    <r>
      <rPr>
        <sz val="11"/>
        <color theme="1"/>
        <rFont val="宋体"/>
        <family val="3"/>
        <charset val="134"/>
      </rPr>
      <t>权益状况</t>
    </r>
    <phoneticPr fontId="3" type="noConversion"/>
  </si>
  <si>
    <t>100/</t>
    <phoneticPr fontId="3" type="noConversion"/>
  </si>
  <si>
    <r>
      <rPr>
        <sz val="11"/>
        <color theme="1"/>
        <rFont val="宋体"/>
        <family val="3"/>
        <charset val="134"/>
      </rPr>
      <t>土地使用年限（年）</t>
    </r>
    <phoneticPr fontId="3" type="noConversion"/>
  </si>
  <si>
    <r>
      <rPr>
        <sz val="11"/>
        <color theme="1"/>
        <rFont val="宋体"/>
        <family val="3"/>
        <charset val="134"/>
      </rPr>
      <t>容积率</t>
    </r>
    <phoneticPr fontId="3" type="noConversion"/>
  </si>
  <si>
    <t>自持</t>
    <phoneticPr fontId="3" type="noConversion"/>
  </si>
  <si>
    <r>
      <rPr>
        <sz val="11"/>
        <color theme="1"/>
        <rFont val="宋体"/>
        <family val="3"/>
        <charset val="134"/>
      </rPr>
      <t>办公集聚程度</t>
    </r>
    <phoneticPr fontId="3" type="noConversion"/>
  </si>
  <si>
    <r>
      <rPr>
        <sz val="11"/>
        <color theme="1"/>
        <rFont val="宋体"/>
        <family val="3"/>
        <charset val="134"/>
      </rPr>
      <t>交通便捷度</t>
    </r>
    <phoneticPr fontId="3" type="noConversion"/>
  </si>
  <si>
    <r>
      <rPr>
        <sz val="11"/>
        <color theme="1"/>
        <rFont val="宋体"/>
        <family val="3"/>
        <charset val="134"/>
      </rPr>
      <t>区域土地利用方向</t>
    </r>
    <phoneticPr fontId="3" type="noConversion"/>
  </si>
  <si>
    <r>
      <rPr>
        <sz val="11"/>
        <color theme="1"/>
        <rFont val="宋体"/>
        <family val="3"/>
        <charset val="134"/>
      </rPr>
      <t>自然及人文环境状况</t>
    </r>
    <phoneticPr fontId="3" type="noConversion"/>
  </si>
  <si>
    <r>
      <rPr>
        <sz val="11"/>
        <color theme="1"/>
        <rFont val="宋体"/>
        <family val="3"/>
        <charset val="134"/>
      </rPr>
      <t>公共配套设施</t>
    </r>
    <phoneticPr fontId="3" type="noConversion"/>
  </si>
  <si>
    <r>
      <rPr>
        <sz val="11"/>
        <color theme="1"/>
        <rFont val="宋体"/>
        <family val="3"/>
        <charset val="134"/>
      </rPr>
      <t>基础设施水平</t>
    </r>
    <phoneticPr fontId="3" type="noConversion"/>
  </si>
  <si>
    <r>
      <rPr>
        <sz val="11"/>
        <color theme="1"/>
        <rFont val="宋体"/>
        <family val="3"/>
        <charset val="134"/>
      </rPr>
      <t>临街状况</t>
    </r>
    <phoneticPr fontId="3" type="noConversion"/>
  </si>
  <si>
    <r>
      <rPr>
        <sz val="11"/>
        <color theme="1"/>
        <rFont val="宋体"/>
        <family val="3"/>
        <charset val="134"/>
      </rPr>
      <t>土地级别</t>
    </r>
    <phoneticPr fontId="3" type="noConversion"/>
  </si>
  <si>
    <r>
      <rPr>
        <sz val="11"/>
        <color theme="1"/>
        <rFont val="宋体"/>
        <family val="3"/>
        <charset val="134"/>
      </rPr>
      <t>临街宽度及深度</t>
    </r>
    <phoneticPr fontId="3" type="noConversion"/>
  </si>
  <si>
    <r>
      <rPr>
        <sz val="11"/>
        <color theme="1"/>
        <rFont val="宋体"/>
        <family val="3"/>
        <charset val="134"/>
      </rPr>
      <t>宗地开发程度</t>
    </r>
    <phoneticPr fontId="3" type="noConversion"/>
  </si>
  <si>
    <r>
      <rPr>
        <sz val="11"/>
        <color theme="1"/>
        <rFont val="宋体"/>
        <family val="3"/>
        <charset val="134"/>
      </rPr>
      <t>工程地质条件</t>
    </r>
    <phoneticPr fontId="3" type="noConversion"/>
  </si>
  <si>
    <r>
      <rPr>
        <b/>
        <sz val="11"/>
        <color theme="1"/>
        <rFont val="宋体"/>
        <family val="3"/>
        <charset val="134"/>
      </rPr>
      <t>估价对象</t>
    </r>
    <r>
      <rPr>
        <b/>
        <sz val="11"/>
        <color theme="1"/>
        <rFont val="Arial"/>
        <family val="2"/>
      </rPr>
      <t>XX</t>
    </r>
    <r>
      <rPr>
        <b/>
        <sz val="11"/>
        <color theme="1"/>
        <rFont val="宋体"/>
        <family val="3"/>
        <charset val="134"/>
      </rPr>
      <t>用房的比较价值（楼面单价，元</t>
    </r>
    <r>
      <rPr>
        <b/>
        <sz val="11"/>
        <color theme="1"/>
        <rFont val="Arial"/>
        <family val="2"/>
      </rPr>
      <t>/</t>
    </r>
    <r>
      <rPr>
        <b/>
        <sz val="11"/>
        <color theme="1"/>
        <rFont val="宋体"/>
        <family val="3"/>
        <charset val="134"/>
      </rPr>
      <t>平方米）</t>
    </r>
    <phoneticPr fontId="3" type="noConversion"/>
  </si>
  <si>
    <r>
      <rPr>
        <b/>
        <sz val="11"/>
        <color theme="1"/>
        <rFont val="宋体"/>
        <family val="3"/>
        <charset val="134"/>
      </rPr>
      <t>各案例间不超过</t>
    </r>
    <r>
      <rPr>
        <b/>
        <sz val="11"/>
        <color theme="1"/>
        <rFont val="Arial"/>
        <family val="2"/>
      </rPr>
      <t>30%</t>
    </r>
    <phoneticPr fontId="3" type="noConversion"/>
  </si>
  <si>
    <r>
      <rPr>
        <sz val="11"/>
        <color theme="1"/>
        <rFont val="宋体"/>
        <family val="3"/>
        <charset val="134"/>
      </rPr>
      <t>北京市系数</t>
    </r>
    <phoneticPr fontId="3" type="noConversion"/>
  </si>
  <si>
    <r>
      <rPr>
        <sz val="10"/>
        <color theme="1"/>
        <rFont val="宋体"/>
        <family val="3"/>
        <charset val="134"/>
      </rPr>
      <t>地下商业（</t>
    </r>
    <r>
      <rPr>
        <sz val="10"/>
        <color theme="1"/>
        <rFont val="Arial"/>
        <family val="2"/>
      </rPr>
      <t>-1</t>
    </r>
    <r>
      <rPr>
        <sz val="10"/>
        <color theme="1"/>
        <rFont val="宋体"/>
        <family val="3"/>
        <charset val="134"/>
      </rPr>
      <t>）</t>
    </r>
    <phoneticPr fontId="3" type="noConversion"/>
  </si>
  <si>
    <r>
      <rPr>
        <sz val="10"/>
        <color theme="1"/>
        <rFont val="宋体"/>
        <family val="3"/>
        <charset val="134"/>
      </rPr>
      <t>对应商业级别</t>
    </r>
    <phoneticPr fontId="3" type="noConversion"/>
  </si>
  <si>
    <r>
      <rPr>
        <sz val="10"/>
        <color theme="1"/>
        <rFont val="宋体"/>
        <family val="3"/>
        <charset val="134"/>
      </rPr>
      <t>地下商业（</t>
    </r>
    <r>
      <rPr>
        <sz val="10"/>
        <color theme="1"/>
        <rFont val="Arial"/>
        <family val="2"/>
      </rPr>
      <t>-2</t>
    </r>
    <r>
      <rPr>
        <sz val="10"/>
        <color theme="1"/>
        <rFont val="宋体"/>
        <family val="3"/>
        <charset val="134"/>
      </rPr>
      <t>）</t>
    </r>
    <phoneticPr fontId="3" type="noConversion"/>
  </si>
  <si>
    <r>
      <rPr>
        <sz val="10"/>
        <color theme="1"/>
        <rFont val="宋体"/>
        <family val="3"/>
        <charset val="134"/>
      </rPr>
      <t>地下商业（</t>
    </r>
    <r>
      <rPr>
        <sz val="10"/>
        <color theme="1"/>
        <rFont val="Arial"/>
        <family val="2"/>
      </rPr>
      <t>-3</t>
    </r>
    <r>
      <rPr>
        <sz val="10"/>
        <color theme="1"/>
        <rFont val="宋体"/>
        <family val="3"/>
        <charset val="134"/>
      </rPr>
      <t>）</t>
    </r>
    <phoneticPr fontId="3" type="noConversion"/>
  </si>
  <si>
    <r>
      <rPr>
        <sz val="10"/>
        <color theme="1"/>
        <rFont val="宋体"/>
        <family val="3"/>
        <charset val="134"/>
      </rPr>
      <t>地下商业（</t>
    </r>
    <r>
      <rPr>
        <sz val="10"/>
        <color theme="1"/>
        <rFont val="Arial"/>
        <family val="2"/>
      </rPr>
      <t>-4</t>
    </r>
    <r>
      <rPr>
        <sz val="10"/>
        <color theme="1"/>
        <rFont val="宋体"/>
        <family val="3"/>
        <charset val="134"/>
      </rPr>
      <t>）</t>
    </r>
    <phoneticPr fontId="3" type="noConversion"/>
  </si>
  <si>
    <r>
      <rPr>
        <sz val="10"/>
        <color theme="1"/>
        <rFont val="宋体"/>
        <family val="3"/>
        <charset val="134"/>
      </rPr>
      <t>地下办公（含物业）</t>
    </r>
    <phoneticPr fontId="3" type="noConversion"/>
  </si>
  <si>
    <r>
      <rPr>
        <sz val="10"/>
        <color theme="1"/>
        <rFont val="宋体"/>
        <family val="3"/>
        <charset val="134"/>
      </rPr>
      <t>地下仓储</t>
    </r>
    <phoneticPr fontId="3" type="noConversion"/>
  </si>
  <si>
    <r>
      <rPr>
        <sz val="10"/>
        <color theme="1"/>
        <rFont val="宋体"/>
        <family val="3"/>
        <charset val="134"/>
      </rPr>
      <t>地下车库</t>
    </r>
    <phoneticPr fontId="3" type="noConversion"/>
  </si>
  <si>
    <r>
      <rPr>
        <sz val="10"/>
        <color theme="1"/>
        <rFont val="宋体"/>
        <family val="3"/>
        <charset val="134"/>
      </rPr>
      <t>住宅</t>
    </r>
    <phoneticPr fontId="3" type="noConversion"/>
  </si>
  <si>
    <r>
      <rPr>
        <sz val="10"/>
        <color theme="1"/>
        <rFont val="宋体"/>
        <family val="3"/>
        <charset val="134"/>
      </rPr>
      <t>地下车库</t>
    </r>
    <r>
      <rPr>
        <sz val="10"/>
        <color theme="1"/>
        <rFont val="Arial"/>
        <family val="2"/>
      </rPr>
      <t>-</t>
    </r>
    <r>
      <rPr>
        <sz val="10"/>
        <color theme="1"/>
        <rFont val="宋体"/>
        <family val="3"/>
        <charset val="134"/>
      </rPr>
      <t>商业</t>
    </r>
    <phoneticPr fontId="3" type="noConversion"/>
  </si>
  <si>
    <r>
      <rPr>
        <b/>
        <sz val="11"/>
        <color theme="1"/>
        <rFont val="宋体"/>
        <family val="3"/>
        <charset val="134"/>
      </rPr>
      <t>住宅</t>
    </r>
    <phoneticPr fontId="3" type="noConversion"/>
  </si>
  <si>
    <t>住宅</t>
    <phoneticPr fontId="3" type="noConversion"/>
  </si>
  <si>
    <t>——</t>
    <phoneticPr fontId="3" type="noConversion"/>
  </si>
  <si>
    <t>-</t>
    <phoneticPr fontId="3" type="noConversion"/>
  </si>
  <si>
    <t>规则</t>
    <phoneticPr fontId="3" type="noConversion"/>
  </si>
  <si>
    <r>
      <rPr>
        <b/>
        <sz val="16"/>
        <color theme="1"/>
        <rFont val="宋体"/>
        <family val="3"/>
        <charset val="134"/>
      </rPr>
      <t>录入顺序：主表的空白区域</t>
    </r>
    <r>
      <rPr>
        <b/>
        <sz val="16"/>
        <color theme="1"/>
        <rFont val="Arial"/>
        <family val="2"/>
      </rPr>
      <t>-</t>
    </r>
    <r>
      <rPr>
        <b/>
        <sz val="16"/>
        <color theme="1"/>
        <rFont val="宋体"/>
        <family val="3"/>
        <charset val="134"/>
      </rPr>
      <t>因素表空白区域</t>
    </r>
    <r>
      <rPr>
        <b/>
        <sz val="16"/>
        <color theme="1"/>
        <rFont val="Arial"/>
        <family val="2"/>
      </rPr>
      <t>-</t>
    </r>
    <r>
      <rPr>
        <b/>
        <sz val="16"/>
        <color theme="1"/>
        <rFont val="宋体"/>
        <family val="3"/>
        <charset val="134"/>
      </rPr>
      <t>主表黄色选项区域</t>
    </r>
    <r>
      <rPr>
        <b/>
        <sz val="16"/>
        <color theme="1"/>
        <rFont val="Arial"/>
        <family val="2"/>
      </rPr>
      <t>-</t>
    </r>
    <r>
      <rPr>
        <b/>
        <sz val="16"/>
        <color theme="1"/>
        <rFont val="宋体"/>
        <family val="3"/>
        <charset val="134"/>
      </rPr>
      <t>调节修正幅度</t>
    </r>
    <r>
      <rPr>
        <b/>
        <sz val="16"/>
        <color theme="1"/>
        <rFont val="Arial"/>
        <family val="2"/>
      </rPr>
      <t>-</t>
    </r>
    <r>
      <rPr>
        <b/>
        <sz val="16"/>
        <color theme="1"/>
        <rFont val="宋体"/>
        <family val="3"/>
        <charset val="134"/>
      </rPr>
      <t>完成</t>
    </r>
    <phoneticPr fontId="3" type="noConversion"/>
  </si>
  <si>
    <r>
      <rPr>
        <b/>
        <sz val="12"/>
        <color theme="1"/>
        <rFont val="宋体"/>
        <family val="3"/>
        <charset val="134"/>
      </rPr>
      <t>建筑面积</t>
    </r>
    <phoneticPr fontId="3" type="noConversion"/>
  </si>
  <si>
    <r>
      <rPr>
        <sz val="11"/>
        <color theme="1"/>
        <rFont val="宋体"/>
        <family val="3"/>
        <charset val="134"/>
      </rPr>
      <t>案例</t>
    </r>
    <r>
      <rPr>
        <sz val="11"/>
        <color theme="1"/>
        <rFont val="Arial"/>
        <family val="2"/>
      </rPr>
      <t>C</t>
    </r>
    <phoneticPr fontId="3" type="noConversion"/>
  </si>
  <si>
    <r>
      <rPr>
        <sz val="11"/>
        <color theme="1"/>
        <rFont val="宋体"/>
        <family val="3"/>
        <charset val="134"/>
      </rPr>
      <t>修正幅度</t>
    </r>
    <phoneticPr fontId="3" type="noConversion"/>
  </si>
  <si>
    <r>
      <rPr>
        <sz val="11"/>
        <color theme="1"/>
        <rFont val="宋体"/>
        <family val="3"/>
        <charset val="134"/>
      </rPr>
      <t>比较因素</t>
    </r>
    <phoneticPr fontId="3" type="noConversion"/>
  </si>
  <si>
    <r>
      <rPr>
        <b/>
        <sz val="11"/>
        <color theme="1"/>
        <rFont val="宋体"/>
        <family val="3"/>
        <charset val="134"/>
      </rPr>
      <t>交易时间</t>
    </r>
    <phoneticPr fontId="3" type="noConversion"/>
  </si>
  <si>
    <r>
      <rPr>
        <sz val="11"/>
        <color theme="1"/>
        <rFont val="宋体"/>
        <family val="3"/>
        <charset val="134"/>
      </rPr>
      <t>交易时间</t>
    </r>
    <phoneticPr fontId="3" type="noConversion"/>
  </si>
  <si>
    <r>
      <rPr>
        <b/>
        <sz val="11"/>
        <color theme="1"/>
        <rFont val="宋体"/>
        <family val="3"/>
        <charset val="134"/>
      </rPr>
      <t>交易情况</t>
    </r>
    <phoneticPr fontId="3" type="noConversion"/>
  </si>
  <si>
    <r>
      <rPr>
        <sz val="11"/>
        <color theme="1"/>
        <rFont val="宋体"/>
        <family val="3"/>
        <charset val="134"/>
      </rPr>
      <t>交易情况</t>
    </r>
    <phoneticPr fontId="3" type="noConversion"/>
  </si>
  <si>
    <r>
      <rPr>
        <b/>
        <sz val="11"/>
        <color theme="1"/>
        <rFont val="宋体"/>
        <family val="3"/>
        <charset val="134"/>
      </rPr>
      <t>权益状况</t>
    </r>
    <phoneticPr fontId="3" type="noConversion"/>
  </si>
  <si>
    <r>
      <rPr>
        <b/>
        <sz val="11"/>
        <color theme="1"/>
        <rFont val="宋体"/>
        <family val="3"/>
        <charset val="134"/>
      </rPr>
      <t>区位状况</t>
    </r>
    <phoneticPr fontId="3" type="noConversion"/>
  </si>
  <si>
    <r>
      <rPr>
        <sz val="11"/>
        <color theme="1"/>
        <rFont val="宋体"/>
        <family val="3"/>
        <charset val="134"/>
      </rPr>
      <t>区位状况</t>
    </r>
    <phoneticPr fontId="3" type="noConversion"/>
  </si>
  <si>
    <r>
      <rPr>
        <sz val="11"/>
        <color theme="1"/>
        <rFont val="宋体"/>
        <family val="3"/>
        <charset val="134"/>
      </rPr>
      <t>商业繁华度</t>
    </r>
    <phoneticPr fontId="3" type="noConversion"/>
  </si>
  <si>
    <r>
      <rPr>
        <sz val="11"/>
        <color theme="1"/>
        <rFont val="宋体"/>
        <family val="3"/>
        <charset val="134"/>
      </rPr>
      <t>毗邻道路的类型与等级</t>
    </r>
    <phoneticPr fontId="3" type="noConversion"/>
  </si>
  <si>
    <r>
      <rPr>
        <sz val="11"/>
        <color theme="1"/>
        <rFont val="宋体"/>
        <family val="3"/>
        <charset val="134"/>
      </rPr>
      <t>实物状况</t>
    </r>
    <phoneticPr fontId="3" type="noConversion"/>
  </si>
  <si>
    <r>
      <rPr>
        <b/>
        <sz val="11"/>
        <color theme="1"/>
        <rFont val="宋体"/>
        <family val="3"/>
        <charset val="134"/>
      </rPr>
      <t>实物状况</t>
    </r>
    <phoneticPr fontId="3" type="noConversion"/>
  </si>
  <si>
    <r>
      <rPr>
        <sz val="11"/>
        <color theme="1"/>
        <rFont val="宋体"/>
        <family val="3"/>
        <charset val="134"/>
      </rPr>
      <t>宗地面积</t>
    </r>
    <phoneticPr fontId="3" type="noConversion"/>
  </si>
  <si>
    <r>
      <rPr>
        <sz val="11"/>
        <color theme="1"/>
        <rFont val="宋体"/>
        <family val="3"/>
        <charset val="134"/>
      </rPr>
      <t>宗地形状</t>
    </r>
    <phoneticPr fontId="3" type="noConversion"/>
  </si>
  <si>
    <r>
      <rPr>
        <b/>
        <sz val="11"/>
        <color theme="1"/>
        <rFont val="宋体"/>
        <family val="3"/>
        <charset val="134"/>
      </rPr>
      <t>成交单价</t>
    </r>
    <phoneticPr fontId="3" type="noConversion"/>
  </si>
  <si>
    <r>
      <rPr>
        <b/>
        <sz val="11"/>
        <color theme="1"/>
        <rFont val="宋体"/>
        <family val="3"/>
        <charset val="134"/>
      </rPr>
      <t>比较价值（元</t>
    </r>
    <r>
      <rPr>
        <b/>
        <sz val="11"/>
        <color theme="1"/>
        <rFont val="Arial"/>
        <family val="2"/>
      </rPr>
      <t>/</t>
    </r>
    <r>
      <rPr>
        <b/>
        <sz val="11"/>
        <color theme="1"/>
        <rFont val="宋体"/>
        <family val="3"/>
        <charset val="134"/>
      </rPr>
      <t>平方米）</t>
    </r>
    <phoneticPr fontId="3" type="noConversion"/>
  </si>
  <si>
    <r>
      <rPr>
        <b/>
        <sz val="11"/>
        <color theme="1"/>
        <rFont val="宋体"/>
        <family val="3"/>
        <charset val="134"/>
      </rPr>
      <t>总修正幅度不超过</t>
    </r>
    <r>
      <rPr>
        <b/>
        <sz val="11"/>
        <color theme="1"/>
        <rFont val="Arial"/>
        <family val="2"/>
      </rPr>
      <t>30%</t>
    </r>
    <phoneticPr fontId="3" type="noConversion"/>
  </si>
  <si>
    <r>
      <rPr>
        <b/>
        <sz val="11"/>
        <color theme="1"/>
        <rFont val="宋体"/>
        <family val="3"/>
        <charset val="134"/>
      </rPr>
      <t>各修正结果之间不超过</t>
    </r>
    <r>
      <rPr>
        <b/>
        <sz val="11"/>
        <color theme="1"/>
        <rFont val="Arial"/>
        <family val="2"/>
      </rPr>
      <t>20%</t>
    </r>
    <phoneticPr fontId="3" type="noConversion"/>
  </si>
  <si>
    <r>
      <rPr>
        <sz val="11"/>
        <color theme="1"/>
        <rFont val="宋体"/>
        <family val="3"/>
        <charset val="134"/>
      </rPr>
      <t>用途</t>
    </r>
    <r>
      <rPr>
        <sz val="11"/>
        <color theme="1"/>
        <rFont val="Arial"/>
        <family val="2"/>
      </rPr>
      <t>/</t>
    </r>
    <r>
      <rPr>
        <sz val="11"/>
        <color theme="1"/>
        <rFont val="宋体"/>
        <family val="3"/>
        <charset val="134"/>
      </rPr>
      <t>位置</t>
    </r>
    <phoneticPr fontId="3" type="noConversion"/>
  </si>
  <si>
    <r>
      <rPr>
        <sz val="11"/>
        <color theme="1"/>
        <rFont val="宋体"/>
        <family val="3"/>
        <charset val="134"/>
      </rPr>
      <t>修正单价</t>
    </r>
    <phoneticPr fontId="3" type="noConversion"/>
  </si>
  <si>
    <r>
      <rPr>
        <sz val="11"/>
        <color theme="1"/>
        <rFont val="宋体"/>
        <family val="3"/>
        <charset val="134"/>
      </rPr>
      <t>政府土地出让收益比例</t>
    </r>
    <phoneticPr fontId="3" type="noConversion"/>
  </si>
  <si>
    <r>
      <rPr>
        <sz val="11"/>
        <color theme="1"/>
        <rFont val="宋体"/>
        <family val="3"/>
        <charset val="134"/>
      </rPr>
      <t>建筑面积</t>
    </r>
    <phoneticPr fontId="3" type="noConversion"/>
  </si>
  <si>
    <r>
      <rPr>
        <sz val="11"/>
        <color theme="1"/>
        <rFont val="宋体"/>
        <family val="3"/>
        <charset val="134"/>
      </rPr>
      <t>总价</t>
    </r>
    <phoneticPr fontId="3" type="noConversion"/>
  </si>
  <si>
    <r>
      <rPr>
        <sz val="11"/>
        <color theme="1"/>
        <rFont val="宋体"/>
        <family val="3"/>
        <charset val="134"/>
      </rPr>
      <t>对应的地上用途及土地级别（北京市）</t>
    </r>
    <phoneticPr fontId="3" type="noConversion"/>
  </si>
  <si>
    <r>
      <rPr>
        <sz val="11"/>
        <color theme="1"/>
        <rFont val="宋体"/>
        <family val="3"/>
        <charset val="134"/>
      </rPr>
      <t>北京市</t>
    </r>
    <phoneticPr fontId="3" type="noConversion"/>
  </si>
  <si>
    <r>
      <rPr>
        <sz val="11"/>
        <color theme="1"/>
        <rFont val="宋体"/>
        <family val="3"/>
        <charset val="134"/>
      </rPr>
      <t>外省市地下修正系数请自行录入</t>
    </r>
    <phoneticPr fontId="3" type="noConversion"/>
  </si>
  <si>
    <r>
      <rPr>
        <sz val="10"/>
        <color theme="1"/>
        <rFont val="宋体"/>
        <family val="3"/>
        <charset val="134"/>
      </rPr>
      <t>地上</t>
    </r>
    <phoneticPr fontId="3" type="noConversion"/>
  </si>
  <si>
    <r>
      <rPr>
        <sz val="10"/>
        <color theme="1"/>
        <rFont val="宋体"/>
        <family val="3"/>
        <charset val="134"/>
      </rPr>
      <t>对应办公级别</t>
    </r>
    <phoneticPr fontId="3" type="noConversion"/>
  </si>
  <si>
    <r>
      <rPr>
        <sz val="10"/>
        <color theme="1"/>
        <rFont val="宋体"/>
        <family val="3"/>
        <charset val="134"/>
      </rPr>
      <t>地下车库</t>
    </r>
    <r>
      <rPr>
        <sz val="10"/>
        <color theme="1"/>
        <rFont val="Arial"/>
        <family val="2"/>
      </rPr>
      <t>-</t>
    </r>
    <r>
      <rPr>
        <sz val="10"/>
        <color theme="1"/>
        <rFont val="宋体"/>
        <family val="3"/>
        <charset val="134"/>
      </rPr>
      <t>办公</t>
    </r>
    <phoneticPr fontId="3" type="noConversion"/>
  </si>
  <si>
    <r>
      <rPr>
        <b/>
        <sz val="10"/>
        <color theme="1"/>
        <rFont val="宋体"/>
        <family val="3"/>
        <charset val="134"/>
      </rPr>
      <t>土地购买价格</t>
    </r>
    <phoneticPr fontId="3" type="noConversion"/>
  </si>
  <si>
    <r>
      <rPr>
        <b/>
        <sz val="16"/>
        <color theme="1"/>
        <rFont val="宋体"/>
        <family val="3"/>
        <charset val="134"/>
      </rPr>
      <t>各因素等级说明（手工录入的系数取值除建筑面积外，均应自高至低排序）</t>
    </r>
    <phoneticPr fontId="3" type="noConversion"/>
  </si>
  <si>
    <r>
      <rPr>
        <b/>
        <sz val="11"/>
        <color theme="1"/>
        <rFont val="宋体"/>
        <family val="3"/>
        <charset val="134"/>
      </rPr>
      <t>交易时间（按季度调整）</t>
    </r>
    <phoneticPr fontId="3" type="noConversion"/>
  </si>
  <si>
    <r>
      <rPr>
        <b/>
        <sz val="11"/>
        <color theme="1"/>
        <rFont val="宋体"/>
        <family val="3"/>
        <charset val="134"/>
      </rPr>
      <t>官方公布的价格指数</t>
    </r>
    <r>
      <rPr>
        <b/>
        <sz val="11"/>
        <color theme="1"/>
        <rFont val="Arial"/>
        <family val="2"/>
      </rPr>
      <t>/</t>
    </r>
    <r>
      <rPr>
        <b/>
        <sz val="11"/>
        <color theme="1"/>
        <rFont val="宋体"/>
        <family val="3"/>
        <charset val="134"/>
      </rPr>
      <t>增幅</t>
    </r>
    <phoneticPr fontId="3" type="noConversion"/>
  </si>
  <si>
    <r>
      <rPr>
        <sz val="11"/>
        <color theme="1"/>
        <rFont val="宋体"/>
        <family val="3"/>
        <charset val="134"/>
      </rPr>
      <t>正常</t>
    </r>
    <phoneticPr fontId="3" type="noConversion"/>
  </si>
  <si>
    <r>
      <rPr>
        <sz val="11"/>
        <color theme="1"/>
        <rFont val="宋体"/>
        <family val="3"/>
        <charset val="134"/>
      </rPr>
      <t>居住社区成熟度</t>
    </r>
    <phoneticPr fontId="3" type="noConversion"/>
  </si>
  <si>
    <r>
      <rPr>
        <sz val="11"/>
        <color theme="1"/>
        <rFont val="宋体"/>
        <family val="3"/>
        <charset val="134"/>
      </rPr>
      <t>好</t>
    </r>
    <phoneticPr fontId="3" type="noConversion"/>
  </si>
  <si>
    <r>
      <rPr>
        <sz val="11"/>
        <color theme="1"/>
        <rFont val="宋体"/>
        <family val="3"/>
        <charset val="134"/>
      </rPr>
      <t>较好</t>
    </r>
    <phoneticPr fontId="3" type="noConversion"/>
  </si>
  <si>
    <r>
      <rPr>
        <sz val="11"/>
        <color theme="1"/>
        <rFont val="宋体"/>
        <family val="3"/>
        <charset val="134"/>
      </rPr>
      <t>一般</t>
    </r>
    <phoneticPr fontId="3" type="noConversion"/>
  </si>
  <si>
    <r>
      <rPr>
        <sz val="11"/>
        <color theme="1"/>
        <rFont val="宋体"/>
        <family val="3"/>
        <charset val="134"/>
      </rPr>
      <t>较差</t>
    </r>
    <phoneticPr fontId="3" type="noConversion"/>
  </si>
  <si>
    <r>
      <rPr>
        <sz val="11"/>
        <color theme="1"/>
        <rFont val="宋体"/>
        <family val="3"/>
        <charset val="134"/>
      </rPr>
      <t>差</t>
    </r>
    <phoneticPr fontId="3" type="noConversion"/>
  </si>
  <si>
    <r>
      <rPr>
        <sz val="11"/>
        <color theme="1"/>
        <rFont val="宋体"/>
        <family val="3"/>
        <charset val="134"/>
      </rPr>
      <t>七通</t>
    </r>
    <phoneticPr fontId="3" type="noConversion"/>
  </si>
  <si>
    <r>
      <rPr>
        <sz val="11"/>
        <color theme="1"/>
        <rFont val="宋体"/>
        <family val="3"/>
        <charset val="134"/>
      </rPr>
      <t>六通</t>
    </r>
    <phoneticPr fontId="3" type="noConversion"/>
  </si>
  <si>
    <r>
      <rPr>
        <sz val="11"/>
        <color theme="1"/>
        <rFont val="宋体"/>
        <family val="3"/>
        <charset val="134"/>
      </rPr>
      <t>五通</t>
    </r>
    <phoneticPr fontId="3" type="noConversion"/>
  </si>
  <si>
    <r>
      <rPr>
        <sz val="11"/>
        <color theme="1"/>
        <rFont val="宋体"/>
        <family val="3"/>
        <charset val="134"/>
      </rPr>
      <t>四通</t>
    </r>
    <phoneticPr fontId="3" type="noConversion"/>
  </si>
  <si>
    <r>
      <rPr>
        <sz val="11"/>
        <color theme="1"/>
        <rFont val="宋体"/>
        <family val="3"/>
        <charset val="134"/>
      </rPr>
      <t>三通</t>
    </r>
    <phoneticPr fontId="3" type="noConversion"/>
  </si>
  <si>
    <r>
      <rPr>
        <sz val="11"/>
        <color theme="1"/>
        <rFont val="宋体"/>
        <family val="3"/>
        <charset val="134"/>
      </rPr>
      <t>多面临街</t>
    </r>
    <phoneticPr fontId="3" type="noConversion"/>
  </si>
  <si>
    <r>
      <rPr>
        <sz val="11"/>
        <color theme="1"/>
        <rFont val="宋体"/>
        <family val="3"/>
        <charset val="134"/>
      </rPr>
      <t>双面临街</t>
    </r>
    <phoneticPr fontId="3" type="noConversion"/>
  </si>
  <si>
    <r>
      <rPr>
        <sz val="11"/>
        <color theme="1"/>
        <rFont val="宋体"/>
        <family val="3"/>
        <charset val="134"/>
      </rPr>
      <t>单面临街</t>
    </r>
    <phoneticPr fontId="3" type="noConversion"/>
  </si>
  <si>
    <r>
      <rPr>
        <sz val="11"/>
        <color theme="1"/>
        <rFont val="宋体"/>
        <family val="3"/>
        <charset val="134"/>
      </rPr>
      <t>不临街</t>
    </r>
    <phoneticPr fontId="3" type="noConversion"/>
  </si>
  <si>
    <t>高速</t>
    <phoneticPr fontId="3" type="noConversion"/>
  </si>
  <si>
    <t>快速</t>
    <phoneticPr fontId="3" type="noConversion"/>
  </si>
  <si>
    <t>主</t>
    <phoneticPr fontId="3" type="noConversion"/>
  </si>
  <si>
    <t>次</t>
    <phoneticPr fontId="3" type="noConversion"/>
  </si>
  <si>
    <t>支</t>
    <phoneticPr fontId="3" type="noConversion"/>
  </si>
  <si>
    <t>较规则</t>
    <phoneticPr fontId="3" type="noConversion"/>
  </si>
  <si>
    <t>较不规则</t>
    <phoneticPr fontId="3" type="noConversion"/>
  </si>
  <si>
    <t>不规则</t>
    <phoneticPr fontId="3" type="noConversion"/>
  </si>
  <si>
    <t>适宜</t>
    <phoneticPr fontId="3" type="noConversion"/>
  </si>
  <si>
    <t>较适宜</t>
    <phoneticPr fontId="3" type="noConversion"/>
  </si>
  <si>
    <t>一般适宜</t>
    <phoneticPr fontId="3" type="noConversion"/>
  </si>
  <si>
    <t>较不适宜</t>
    <phoneticPr fontId="3" type="noConversion"/>
  </si>
  <si>
    <t>不适宜</t>
    <phoneticPr fontId="3" type="noConversion"/>
  </si>
  <si>
    <t>好</t>
    <phoneticPr fontId="3" type="noConversion"/>
  </si>
  <si>
    <t>较好</t>
    <phoneticPr fontId="3" type="noConversion"/>
  </si>
  <si>
    <t>一般</t>
    <phoneticPr fontId="3" type="noConversion"/>
  </si>
  <si>
    <t>较差</t>
    <phoneticPr fontId="3" type="noConversion"/>
  </si>
  <si>
    <t>差</t>
    <phoneticPr fontId="3" type="noConversion"/>
  </si>
  <si>
    <t>按房产原值计税</t>
  </si>
  <si>
    <t>钢混</t>
  </si>
  <si>
    <t>非生产用房</t>
  </si>
  <si>
    <t>湘潭市岳塘区芙蓉路以南、晓塘路以北万达酒店</t>
    <phoneticPr fontId="6" type="noConversion"/>
  </si>
  <si>
    <t>商业项目</t>
  </si>
  <si>
    <t>在建</t>
  </si>
</sst>
</file>

<file path=xl/styles.xml><?xml version="1.0" encoding="utf-8"?>
<styleSheet xmlns="http://schemas.openxmlformats.org/spreadsheetml/2006/main" xmlns:mc="http://schemas.openxmlformats.org/markup-compatibility/2006" xmlns:x14ac="http://schemas.microsoft.com/office/spreadsheetml/2009/9/ac" mc:Ignorable="x14ac">
  <numFmts count="21">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General"/>
    <numFmt numFmtId="194" formatCode="[DBNum1][$-804]yyyy&quot;年&quot;m&quot;月&quot;d&quot;日&quot;;@"/>
    <numFmt numFmtId="195" formatCode="0_ ;[Red]\-0\ "/>
    <numFmt numFmtId="196" formatCode="yyyy/m/d;@"/>
  </numFmts>
  <fonts count="261">
    <font>
      <sz val="11"/>
      <color theme="1"/>
      <name val="宋体"/>
      <charset val="134"/>
      <scheme val="minor"/>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b/>
      <sz val="10"/>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b/>
      <sz val="10"/>
      <color indexed="10"/>
      <name val="楷体_GB2312"/>
      <family val="3"/>
      <charset val="134"/>
    </font>
    <font>
      <sz val="9"/>
      <name val="宋体"/>
      <family val="3"/>
      <charset val="134"/>
    </font>
    <font>
      <sz val="10"/>
      <name val="宋体"/>
      <family val="3"/>
      <charset val="134"/>
    </font>
    <font>
      <sz val="9"/>
      <name val="宋体"/>
      <family val="3"/>
      <charset val="134"/>
    </font>
    <font>
      <b/>
      <sz val="12"/>
      <name val="楷体_GB2312"/>
      <family val="3"/>
      <charset val="134"/>
    </font>
    <font>
      <sz val="11"/>
      <color indexed="8"/>
      <name val="楷体_GB2312"/>
      <family val="3"/>
      <charset val="134"/>
    </font>
    <font>
      <sz val="12"/>
      <color indexed="8"/>
      <name val="楷体_GB2312"/>
      <family val="3"/>
      <charset val="134"/>
    </font>
    <font>
      <i/>
      <sz val="10"/>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b/>
      <sz val="16"/>
      <color indexed="10"/>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1"/>
      <color indexed="81"/>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9"/>
      <name val="宋体"/>
      <family val="3"/>
      <charset val="134"/>
    </font>
    <font>
      <sz val="9"/>
      <name val="宋体"/>
      <family val="3"/>
      <charset val="134"/>
    </font>
    <font>
      <b/>
      <sz val="11"/>
      <color indexed="81"/>
      <name val="宋体"/>
      <family val="3"/>
      <charset val="134"/>
    </font>
    <font>
      <sz val="9"/>
      <name val="宋体"/>
      <family val="3"/>
      <charset val="134"/>
    </font>
    <font>
      <sz val="9"/>
      <name val="宋体"/>
      <family val="3"/>
      <charset val="134"/>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6"/>
      <name val="Arial"/>
      <family val="2"/>
    </font>
    <font>
      <b/>
      <sz val="16"/>
      <name val="宋体"/>
      <family val="3"/>
      <charset val="134"/>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sz val="10"/>
      <color indexed="81"/>
      <name val="宋体"/>
      <family val="3"/>
      <charset val="134"/>
    </font>
    <font>
      <b/>
      <vertAlign val="subscript"/>
      <sz val="10"/>
      <name val="楷体_GB2312"/>
      <family val="3"/>
      <charset val="134"/>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0"/>
      <color indexed="8"/>
      <name val="宋体"/>
      <family val="3"/>
      <charset val="134"/>
    </font>
    <font>
      <b/>
      <sz val="10"/>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仿宋_GB2312"/>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theme="1"/>
      <name val="楷体_GB2312"/>
      <family val="3"/>
      <charset val="134"/>
    </font>
    <font>
      <sz val="12"/>
      <color theme="1"/>
      <name val="楷体_GB2312"/>
      <family val="3"/>
      <charset val="134"/>
    </font>
    <font>
      <sz val="11"/>
      <color theme="1"/>
      <name val="Arial"/>
      <family val="2"/>
    </font>
    <font>
      <sz val="10"/>
      <color theme="1"/>
      <name val="Arial"/>
      <family val="2"/>
    </font>
    <font>
      <sz val="11"/>
      <color rgb="FFFF0000"/>
      <name val="Arial"/>
      <family val="2"/>
    </font>
    <font>
      <b/>
      <sz val="16"/>
      <color rgb="FFFF0000"/>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theme="1"/>
      <name val="宋体"/>
      <family val="3"/>
      <charset val="134"/>
    </font>
    <font>
      <b/>
      <sz val="10.5"/>
      <color theme="1"/>
      <name val="黑体"/>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b/>
      <sz val="11"/>
      <color theme="1"/>
      <name val="仿宋_GB2312"/>
      <family val="3"/>
      <charset val="134"/>
    </font>
    <font>
      <sz val="10"/>
      <color theme="1"/>
      <name val="宋体"/>
      <family val="3"/>
      <charset val="134"/>
    </font>
    <font>
      <sz val="11"/>
      <color rgb="FFFF0000"/>
      <name val="宋体"/>
      <family val="3"/>
      <charset val="134"/>
    </font>
    <font>
      <b/>
      <sz val="12"/>
      <color theme="1"/>
      <name val="Arial"/>
      <family val="2"/>
    </font>
    <font>
      <sz val="12"/>
      <color theme="1"/>
      <name val="Arial"/>
      <family val="2"/>
    </font>
    <font>
      <b/>
      <sz val="10"/>
      <color rgb="FFE36C0A"/>
      <name val="Arial"/>
      <family val="2"/>
    </font>
    <font>
      <b/>
      <sz val="16"/>
      <color indexed="8"/>
      <name val="宋体"/>
      <family val="3"/>
      <charset val="134"/>
    </font>
    <font>
      <sz val="11"/>
      <color indexed="8"/>
      <name val="宋体"/>
      <family val="3"/>
      <charset val="134"/>
    </font>
    <font>
      <sz val="10"/>
      <color rgb="FFFF0000"/>
      <name val="宋体"/>
      <family val="3"/>
      <charset val="134"/>
    </font>
    <font>
      <sz val="14"/>
      <color theme="1"/>
      <name val="Arial"/>
      <family val="2"/>
    </font>
    <font>
      <b/>
      <sz val="12"/>
      <color rgb="FFFF0000"/>
      <name val="Arial"/>
      <family val="2"/>
    </font>
    <font>
      <i/>
      <sz val="10"/>
      <color indexed="8"/>
      <name val="宋体"/>
      <family val="3"/>
      <charset val="134"/>
    </font>
    <font>
      <b/>
      <sz val="12"/>
      <color theme="1"/>
      <name val="宋体"/>
      <family val="3"/>
      <charset val="134"/>
    </font>
    <font>
      <sz val="9"/>
      <name val="宋体"/>
      <family val="3"/>
      <charset val="134"/>
      <scheme val="minor"/>
    </font>
    <font>
      <b/>
      <sz val="12"/>
      <name val="宋体"/>
      <family val="3"/>
      <charset val="134"/>
    </font>
    <font>
      <b/>
      <sz val="10"/>
      <color theme="1"/>
      <name val="宋体"/>
      <family val="3"/>
      <charset val="134"/>
    </font>
    <font>
      <sz val="9"/>
      <name val="宋体"/>
      <family val="3"/>
      <charset val="134"/>
      <scheme val="minor"/>
    </font>
    <font>
      <b/>
      <sz val="10"/>
      <color rgb="FFFF0000"/>
      <name val="宋体"/>
      <family val="3"/>
      <charset val="134"/>
    </font>
    <font>
      <b/>
      <sz val="10"/>
      <color rgb="FFFF0000"/>
      <name val="Arial"/>
      <family val="2"/>
    </font>
    <font>
      <b/>
      <i/>
      <sz val="10"/>
      <color rgb="FFFF0000"/>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b/>
      <vertAlign val="superscript"/>
      <sz val="8"/>
      <color rgb="FF666666"/>
      <name val="微软雅黑"/>
      <family val="2"/>
      <charset val="134"/>
    </font>
    <font>
      <b/>
      <sz val="11"/>
      <color rgb="FF666666"/>
      <name val="微软雅黑"/>
      <family val="2"/>
      <charset val="134"/>
    </font>
    <font>
      <sz val="10"/>
      <color rgb="FF000000"/>
      <name val="宋体"/>
      <family val="3"/>
      <charset val="134"/>
    </font>
    <font>
      <sz val="10"/>
      <color rgb="FF000000"/>
      <name val="Arial"/>
      <family val="2"/>
    </font>
    <font>
      <sz val="12"/>
      <color indexed="81"/>
      <name val="宋体"/>
      <family val="3"/>
      <charset val="134"/>
      <scheme val="minor"/>
    </font>
    <font>
      <b/>
      <sz val="10"/>
      <color theme="9" tint="-0.249977111117893"/>
      <name val="宋体"/>
      <family val="3"/>
      <charset val="134"/>
    </font>
    <font>
      <sz val="11"/>
      <color theme="9" tint="-0.249977111117893"/>
      <name val="Arial"/>
      <family val="2"/>
    </font>
    <font>
      <b/>
      <sz val="11"/>
      <color theme="9" tint="-0.249977111117893"/>
      <name val="Arial"/>
      <family val="2"/>
    </font>
    <font>
      <sz val="10"/>
      <color theme="9" tint="-0.249977111117893"/>
      <name val="Arial"/>
      <family val="2"/>
    </font>
    <font>
      <sz val="19.5"/>
      <color theme="1"/>
      <name val="微软雅黑"/>
      <family val="2"/>
      <charset val="134"/>
    </font>
    <font>
      <sz val="14.5"/>
      <color theme="1"/>
      <name val="微软雅黑"/>
      <family val="2"/>
      <charset val="134"/>
    </font>
    <font>
      <sz val="11"/>
      <color theme="1"/>
      <name val="微软雅黑"/>
      <family val="2"/>
      <charset val="134"/>
    </font>
    <font>
      <sz val="7.5"/>
      <color rgb="FF000000"/>
      <name val="微软雅黑"/>
      <family val="2"/>
      <charset val="134"/>
    </font>
    <font>
      <b/>
      <sz val="11"/>
      <color theme="0" tint="-0.499984740745262"/>
      <name val="Arial"/>
      <family val="2"/>
    </font>
    <font>
      <sz val="12"/>
      <color rgb="FFFF0000"/>
      <name val="Arial"/>
      <family val="2"/>
    </font>
    <font>
      <i/>
      <sz val="10"/>
      <color indexed="8"/>
      <name val="Arial"/>
      <family val="2"/>
    </font>
    <font>
      <b/>
      <sz val="16"/>
      <color indexed="10"/>
      <name val="宋体"/>
      <family val="3"/>
      <charset val="134"/>
    </font>
    <font>
      <b/>
      <sz val="12"/>
      <color indexed="8"/>
      <name val="宋体"/>
      <family val="3"/>
      <charset val="134"/>
    </font>
    <font>
      <sz val="12"/>
      <color indexed="8"/>
      <name val="宋体"/>
      <family val="3"/>
      <charset val="134"/>
    </font>
    <font>
      <vertAlign val="subscript"/>
      <sz val="10"/>
      <color indexed="8"/>
      <name val="宋体"/>
      <family val="3"/>
      <charset val="134"/>
    </font>
    <font>
      <b/>
      <sz val="10"/>
      <color indexed="10"/>
      <name val="宋体"/>
      <family val="3"/>
      <charset val="134"/>
    </font>
    <font>
      <b/>
      <sz val="16"/>
      <color rgb="FFFF0000"/>
      <name val="宋体"/>
      <family val="3"/>
      <charset val="134"/>
    </font>
    <font>
      <sz val="12"/>
      <color theme="1"/>
      <name val="宋体"/>
      <family val="3"/>
      <charset val="134"/>
    </font>
    <font>
      <sz val="14"/>
      <color theme="1"/>
      <name val="宋体"/>
      <family val="3"/>
      <charset val="134"/>
    </font>
    <font>
      <sz val="12"/>
      <color rgb="FF000000"/>
      <name val="宋体"/>
      <family val="3"/>
      <charset val="134"/>
    </font>
    <font>
      <vertAlign val="superscript"/>
      <sz val="10"/>
      <color theme="1"/>
      <name val="宋体"/>
      <family val="3"/>
      <charset val="134"/>
    </font>
    <font>
      <vertAlign val="subscript"/>
      <sz val="10"/>
      <color theme="1"/>
      <name val="Arial"/>
      <family val="2"/>
    </font>
    <font>
      <vertAlign val="superscript"/>
      <sz val="10"/>
      <color theme="1"/>
      <name val="Arial"/>
      <family val="2"/>
    </font>
    <font>
      <sz val="10"/>
      <color indexed="10"/>
      <name val="宋体"/>
      <family val="3"/>
      <charset val="134"/>
    </font>
    <font>
      <b/>
      <sz val="11"/>
      <name val="宋体"/>
      <family val="3"/>
      <charset val="134"/>
    </font>
    <font>
      <sz val="10.5"/>
      <color theme="1"/>
      <name val="黑体"/>
      <family val="3"/>
      <charset val="134"/>
    </font>
    <font>
      <b/>
      <sz val="18"/>
      <color theme="1"/>
      <name val="宋体"/>
      <family val="3"/>
      <charset val="134"/>
    </font>
    <font>
      <b/>
      <sz val="14"/>
      <color theme="1"/>
      <name val="宋体"/>
      <family val="3"/>
      <charset val="134"/>
    </font>
    <font>
      <b/>
      <sz val="14"/>
      <color rgb="FF000000"/>
      <name val="宋体"/>
      <family val="3"/>
      <charset val="134"/>
    </font>
    <font>
      <b/>
      <i/>
      <sz val="14"/>
      <color theme="3" tint="0.39997558519241921"/>
      <name val="宋体"/>
      <family val="3"/>
      <charset val="134"/>
    </font>
    <font>
      <i/>
      <sz val="14"/>
      <color theme="3" tint="0.39997558519241921"/>
      <name val="宋体"/>
      <family val="3"/>
      <charset val="134"/>
    </font>
    <font>
      <sz val="14"/>
      <color theme="9" tint="-0.249977111117893"/>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4"/>
      <color rgb="FF000000"/>
      <name val="Arial"/>
      <family val="2"/>
    </font>
    <font>
      <b/>
      <i/>
      <sz val="14"/>
      <color theme="3" tint="0.39997558519241921"/>
      <name val="Arial"/>
      <family val="2"/>
    </font>
    <font>
      <i/>
      <sz val="14"/>
      <color theme="3" tint="0.39997558519241921"/>
      <name val="Arial"/>
      <family val="2"/>
    </font>
    <font>
      <sz val="14"/>
      <color theme="9" tint="-0.249977111117893"/>
      <name val="Arial"/>
      <family val="2"/>
    </font>
    <font>
      <b/>
      <sz val="12"/>
      <color rgb="FF000000"/>
      <name val="宋体"/>
      <family val="3"/>
      <charset val="134"/>
    </font>
    <font>
      <b/>
      <sz val="12"/>
      <color indexed="8"/>
      <name val="宋体"/>
      <family val="3"/>
      <charset val="134"/>
      <scheme val="minor"/>
    </font>
    <font>
      <b/>
      <sz val="12"/>
      <color rgb="FF000000"/>
      <name val="Arial"/>
      <family val="2"/>
    </font>
    <font>
      <b/>
      <sz val="11"/>
      <color theme="1"/>
      <name val="Arial"/>
      <family val="2"/>
    </font>
    <font>
      <b/>
      <sz val="14"/>
      <color indexed="8"/>
      <name val="Arial"/>
      <family val="2"/>
    </font>
    <font>
      <sz val="14"/>
      <color rgb="FF000000"/>
      <name val="宋体"/>
      <family val="3"/>
      <charset val="134"/>
    </font>
    <font>
      <sz val="12"/>
      <color theme="9" tint="-0.249977111117893"/>
      <name val="宋体"/>
      <family val="3"/>
      <charset val="134"/>
    </font>
    <font>
      <sz val="11"/>
      <color theme="9" tint="-0.249977111117893"/>
      <name val="宋体"/>
      <family val="3"/>
      <charset val="134"/>
    </font>
    <font>
      <sz val="11"/>
      <color indexed="53"/>
      <name val="宋体"/>
      <family val="3"/>
      <charset val="134"/>
    </font>
    <font>
      <i/>
      <sz val="11"/>
      <color theme="3" tint="0.39997558519241921"/>
      <name val="宋体"/>
      <family val="3"/>
      <charset val="134"/>
    </font>
    <font>
      <sz val="14"/>
      <color rgb="FF000000"/>
      <name val="Arial"/>
      <family val="2"/>
    </font>
    <font>
      <sz val="14"/>
      <color rgb="FFE36C0A"/>
      <name val="Arial"/>
      <family val="2"/>
    </font>
    <font>
      <sz val="12"/>
      <color theme="9" tint="-0.249977111117893"/>
      <name val="Arial"/>
      <family val="2"/>
    </font>
    <font>
      <b/>
      <sz val="14"/>
      <color rgb="FFFF0000"/>
      <name val="宋体"/>
      <family val="3"/>
      <charset val="134"/>
    </font>
    <font>
      <b/>
      <sz val="14"/>
      <color rgb="FFFF0000"/>
      <name val="宋体"/>
      <family val="3"/>
      <charset val="134"/>
      <scheme val="minor"/>
    </font>
    <font>
      <b/>
      <sz val="14"/>
      <color indexed="10"/>
      <name val="宋体"/>
      <family val="3"/>
      <charset val="134"/>
      <scheme val="minor"/>
    </font>
    <font>
      <sz val="11"/>
      <color indexed="8"/>
      <name val="宋体"/>
      <family val="3"/>
      <charset val="134"/>
      <scheme val="minor"/>
    </font>
    <font>
      <b/>
      <sz val="12"/>
      <color indexed="13"/>
      <name val="宋体"/>
      <family val="3"/>
      <charset val="134"/>
      <scheme val="minor"/>
    </font>
    <font>
      <b/>
      <sz val="12"/>
      <color indexed="10"/>
      <name val="宋体"/>
      <family val="3"/>
      <charset val="134"/>
      <scheme val="minor"/>
    </font>
    <font>
      <b/>
      <sz val="12"/>
      <color rgb="FFFF0000"/>
      <name val="宋体"/>
      <family val="3"/>
      <charset val="134"/>
      <scheme val="minor"/>
    </font>
    <font>
      <sz val="9"/>
      <color indexed="8"/>
      <name val="宋体"/>
      <family val="3"/>
      <charset val="134"/>
    </font>
    <font>
      <sz val="10"/>
      <color theme="9" tint="-0.249977111117893"/>
      <name val="宋体"/>
      <family val="3"/>
      <charset val="134"/>
    </font>
    <font>
      <sz val="9"/>
      <color rgb="FFFF0000"/>
      <name val="Arial"/>
      <family val="2"/>
    </font>
    <font>
      <sz val="11"/>
      <color indexed="10"/>
      <name val="宋体"/>
      <family val="3"/>
      <charset val="134"/>
    </font>
    <font>
      <sz val="14"/>
      <color indexed="8"/>
      <name val="Arial"/>
      <family val="2"/>
    </font>
    <font>
      <b/>
      <i/>
      <sz val="11"/>
      <color theme="3" tint="0.39997558519241921"/>
      <name val="宋体"/>
      <family val="3"/>
      <charset val="134"/>
    </font>
    <font>
      <i/>
      <sz val="10"/>
      <name val="宋体"/>
      <family val="3"/>
      <charset val="134"/>
    </font>
    <font>
      <b/>
      <vertAlign val="subscript"/>
      <sz val="10"/>
      <name val="Arial"/>
      <family val="2"/>
    </font>
    <font>
      <b/>
      <sz val="11"/>
      <color theme="1"/>
      <name val="宋体"/>
      <family val="3"/>
      <charset val="134"/>
    </font>
    <font>
      <b/>
      <sz val="12"/>
      <color indexed="10"/>
      <name val="Arial"/>
      <family val="2"/>
    </font>
    <font>
      <b/>
      <sz val="11"/>
      <color theme="9" tint="-0.249977111117893"/>
      <name val="宋体"/>
      <family val="3"/>
      <charset val="134"/>
    </font>
    <font>
      <b/>
      <sz val="11"/>
      <color indexed="10"/>
      <name val="宋体"/>
      <family val="3"/>
      <charset val="134"/>
    </font>
    <font>
      <sz val="10"/>
      <color indexed="53"/>
      <name val="宋体"/>
      <family val="3"/>
      <charset val="134"/>
    </font>
    <font>
      <b/>
      <sz val="11"/>
      <color rgb="FFFF0000"/>
      <name val="宋体"/>
      <family val="3"/>
      <charset val="134"/>
    </font>
    <font>
      <b/>
      <sz val="8"/>
      <color indexed="81"/>
      <name val="宋体"/>
      <family val="3"/>
      <charset val="134"/>
    </font>
    <font>
      <vertAlign val="superscript"/>
      <sz val="10"/>
      <color indexed="8"/>
      <name val="Arial"/>
      <family val="2"/>
    </font>
    <font>
      <sz val="16"/>
      <color rgb="FFFF0000"/>
      <name val="宋体"/>
      <family val="3"/>
      <charset val="134"/>
      <scheme val="minor"/>
    </font>
    <font>
      <sz val="16"/>
      <color theme="1"/>
      <name val="Arial"/>
      <family val="2"/>
    </font>
    <font>
      <sz val="11"/>
      <color indexed="10"/>
      <name val="楷体_GB2312"/>
      <family val="3"/>
      <charset val="134"/>
    </font>
    <font>
      <sz val="11"/>
      <color rgb="FFFF0000"/>
      <name val="楷体_GB2312"/>
      <family val="3"/>
      <charset val="134"/>
    </font>
    <font>
      <sz val="10"/>
      <name val="宋体"/>
      <family val="3"/>
      <charset val="134"/>
      <scheme val="minor"/>
    </font>
    <font>
      <sz val="12"/>
      <color indexed="8"/>
      <name val="仿宋_GB2312"/>
      <family val="3"/>
      <charset val="134"/>
    </font>
    <font>
      <sz val="12"/>
      <name val="仿宋_GB2312"/>
      <family val="3"/>
      <charset val="134"/>
    </font>
    <font>
      <sz val="11"/>
      <color theme="1"/>
      <name val="Arial Unicode MS"/>
      <family val="2"/>
      <charset val="134"/>
    </font>
    <font>
      <sz val="10"/>
      <color indexed="8"/>
      <name val="仿宋_GB2312"/>
      <family val="3"/>
      <charset val="134"/>
    </font>
    <font>
      <b/>
      <sz val="16"/>
      <color theme="1"/>
      <name val="Arial"/>
      <family val="2"/>
    </font>
    <font>
      <b/>
      <sz val="16"/>
      <color theme="1"/>
      <name val="宋体"/>
      <family val="3"/>
      <charset val="134"/>
    </font>
  </fonts>
  <fills count="20">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
      <patternFill patternType="solid">
        <fgColor rgb="FFFF000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rgb="FF57EF57"/>
        <bgColor indexed="64"/>
      </patternFill>
    </fill>
    <fill>
      <patternFill patternType="solid">
        <fgColor theme="7" tint="0.39997558519241921"/>
        <bgColor indexed="64"/>
      </patternFill>
    </fill>
    <fill>
      <patternFill patternType="solid">
        <fgColor theme="9" tint="-0.249977111117893"/>
        <bgColor indexed="64"/>
      </patternFill>
    </fill>
  </fills>
  <borders count="15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diagonal/>
    </border>
    <border>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top style="thin">
        <color indexed="64"/>
      </top>
      <bottom/>
      <diagonal/>
    </border>
    <border>
      <left/>
      <right/>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thin">
        <color indexed="64"/>
      </left>
      <right/>
      <top/>
      <bottom/>
      <diagonal/>
    </border>
    <border>
      <left/>
      <right style="medium">
        <color indexed="64"/>
      </right>
      <top style="thin">
        <color indexed="64"/>
      </top>
      <bottom/>
      <diagonal/>
    </border>
    <border>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right/>
      <top/>
      <bottom style="double">
        <color indexed="64"/>
      </bottom>
      <diagonal/>
    </border>
    <border>
      <left/>
      <right/>
      <top style="thin">
        <color indexed="64"/>
      </top>
      <bottom style="double">
        <color indexed="64"/>
      </bottom>
      <diagonal/>
    </border>
    <border>
      <left style="medium">
        <color indexed="64"/>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style="thin">
        <color indexed="64"/>
      </right>
      <top/>
      <bottom style="thin">
        <color indexed="64"/>
      </bottom>
      <diagonal/>
    </border>
    <border>
      <left style="mediumDashed">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Dashed">
        <color indexed="64"/>
      </bottom>
      <diagonal/>
    </border>
    <border>
      <left style="thin">
        <color indexed="64"/>
      </left>
      <right style="thin">
        <color indexed="64"/>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bottom style="double">
        <color indexed="64"/>
      </bottom>
      <diagonal/>
    </border>
    <border>
      <left style="dotted">
        <color indexed="64"/>
      </left>
      <right/>
      <top/>
      <bottom/>
      <diagonal/>
    </border>
    <border>
      <left style="dotted">
        <color indexed="64"/>
      </left>
      <right/>
      <top style="dotted">
        <color indexed="64"/>
      </top>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style="mediumDashed">
        <color indexed="64"/>
      </top>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style="thin">
        <color indexed="64"/>
      </bottom>
      <diagonal/>
    </border>
    <border>
      <left/>
      <right style="medium">
        <color indexed="64"/>
      </right>
      <top style="mediumDashed">
        <color indexed="64"/>
      </top>
      <bottom/>
      <diagonal/>
    </border>
    <border>
      <left style="thin">
        <color indexed="64"/>
      </left>
      <right/>
      <top style="thin">
        <color indexed="64"/>
      </top>
      <bottom style="mediumDashed">
        <color indexed="64"/>
      </bottom>
      <diagonal/>
    </border>
    <border>
      <left/>
      <right style="medium">
        <color indexed="64"/>
      </right>
      <top style="thin">
        <color indexed="64"/>
      </top>
      <bottom style="mediumDashed">
        <color indexed="64"/>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thin">
        <color indexed="64"/>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indexed="64"/>
      </left>
      <right/>
      <top style="double">
        <color indexed="64"/>
      </top>
      <bottom style="thin">
        <color indexed="64"/>
      </bottom>
      <diagonal/>
    </border>
    <border>
      <left/>
      <right/>
      <top/>
      <bottom style="mediumDashed">
        <color auto="1"/>
      </bottom>
      <diagonal/>
    </border>
    <border>
      <left style="thin">
        <color indexed="64"/>
      </left>
      <right/>
      <top/>
      <bottom style="mediumDashed">
        <color auto="1"/>
      </bottom>
      <diagonal/>
    </border>
    <border>
      <left style="slantDashDot">
        <color auto="1"/>
      </left>
      <right style="thin">
        <color rgb="FFDFE8ED"/>
      </right>
      <top/>
      <bottom style="medium">
        <color rgb="FFDFE8ED"/>
      </bottom>
      <diagonal/>
    </border>
    <border>
      <left/>
      <right/>
      <top style="double">
        <color theme="1"/>
      </top>
      <bottom style="double">
        <color rgb="FFFF0000"/>
      </bottom>
      <diagonal/>
    </border>
    <border>
      <left style="double">
        <color indexed="64"/>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top/>
      <bottom/>
      <diagonal/>
    </border>
  </borders>
  <cellStyleXfs count="18">
    <xf numFmtId="0" fontId="0" fillId="0" borderId="0">
      <alignment vertical="center"/>
    </xf>
    <xf numFmtId="0" fontId="98" fillId="0" borderId="0">
      <alignment vertical="center"/>
    </xf>
    <xf numFmtId="0" fontId="98" fillId="0" borderId="0"/>
    <xf numFmtId="0" fontId="98" fillId="0" borderId="0">
      <alignment vertical="center"/>
    </xf>
    <xf numFmtId="0" fontId="37" fillId="0" borderId="0"/>
    <xf numFmtId="0" fontId="98" fillId="0" borderId="0">
      <alignment vertical="center"/>
    </xf>
    <xf numFmtId="0" fontId="98" fillId="0" borderId="0"/>
    <xf numFmtId="0" fontId="98" fillId="0" borderId="0">
      <alignment vertical="center"/>
    </xf>
    <xf numFmtId="0" fontId="98" fillId="0" borderId="0">
      <alignment vertical="center"/>
    </xf>
    <xf numFmtId="0" fontId="2" fillId="0" borderId="0">
      <alignment vertical="center"/>
    </xf>
    <xf numFmtId="0" fontId="98" fillId="0" borderId="0">
      <alignment vertical="center"/>
    </xf>
    <xf numFmtId="0" fontId="1" fillId="0" borderId="0">
      <alignment vertical="center"/>
    </xf>
    <xf numFmtId="0" fontId="167" fillId="0" borderId="0"/>
    <xf numFmtId="0" fontId="1" fillId="0" borderId="0">
      <alignment vertical="center"/>
    </xf>
    <xf numFmtId="9" fontId="37" fillId="0" borderId="0" applyFont="0" applyFill="0" applyBorder="0" applyAlignment="0" applyProtection="0">
      <alignment vertical="center"/>
    </xf>
    <xf numFmtId="0" fontId="98" fillId="0" borderId="0">
      <alignment vertical="center"/>
    </xf>
    <xf numFmtId="0" fontId="1" fillId="0" borderId="0">
      <alignment vertical="center"/>
    </xf>
    <xf numFmtId="0" fontId="98" fillId="0" borderId="0">
      <alignment vertical="center"/>
    </xf>
  </cellStyleXfs>
  <cellXfs count="3509">
    <xf numFmtId="0" fontId="0" fillId="0" borderId="0" xfId="0">
      <alignment vertical="center"/>
    </xf>
    <xf numFmtId="0" fontId="12" fillId="5" borderId="24" xfId="1" applyFont="1" applyFill="1" applyBorder="1" applyAlignment="1" applyProtection="1">
      <alignment horizontal="left" vertical="center"/>
      <protection locked="0"/>
    </xf>
    <xf numFmtId="0" fontId="21" fillId="6" borderId="0" xfId="1" applyFont="1" applyFill="1" applyBorder="1" applyAlignment="1" applyProtection="1">
      <alignment vertical="center"/>
    </xf>
    <xf numFmtId="0" fontId="0" fillId="0" borderId="0" xfId="0" applyAlignment="1">
      <alignment vertical="center" wrapText="1"/>
    </xf>
    <xf numFmtId="0" fontId="101" fillId="0" borderId="1" xfId="0" applyFont="1" applyBorder="1" applyAlignment="1">
      <alignment vertical="center" wrapText="1"/>
    </xf>
    <xf numFmtId="0" fontId="101" fillId="0" borderId="1" xfId="0" applyFont="1" applyBorder="1" applyAlignment="1">
      <alignment horizontal="center" vertical="center" wrapText="1"/>
    </xf>
    <xf numFmtId="0" fontId="102" fillId="6" borderId="0" xfId="0" applyFont="1" applyFill="1" applyAlignment="1" applyProtection="1">
      <alignment horizontal="center" vertical="center"/>
    </xf>
    <xf numFmtId="0" fontId="102" fillId="6" borderId="0" xfId="0" applyFont="1" applyFill="1" applyProtection="1">
      <alignment vertical="center"/>
    </xf>
    <xf numFmtId="0" fontId="48" fillId="6" borderId="5" xfId="0" applyFont="1" applyFill="1" applyBorder="1" applyAlignment="1" applyProtection="1">
      <alignment vertical="center"/>
    </xf>
    <xf numFmtId="0" fontId="46" fillId="0" borderId="1" xfId="0" applyFont="1" applyBorder="1" applyAlignment="1" applyProtection="1">
      <alignment horizontal="center" vertical="center" wrapText="1"/>
      <protection locked="0"/>
    </xf>
    <xf numFmtId="0" fontId="46" fillId="0" borderId="1" xfId="0" applyFont="1" applyBorder="1" applyAlignment="1" applyProtection="1">
      <alignment vertical="center" wrapText="1"/>
      <protection locked="0"/>
    </xf>
    <xf numFmtId="0" fontId="49" fillId="6" borderId="1" xfId="0" applyFont="1" applyFill="1" applyBorder="1" applyAlignment="1" applyProtection="1">
      <alignment horizontal="center" vertical="center" wrapText="1"/>
    </xf>
    <xf numFmtId="0" fontId="49" fillId="0" borderId="0" xfId="0" applyFont="1" applyAlignment="1" applyProtection="1">
      <alignment horizontal="center" vertical="center" wrapText="1"/>
      <protection locked="0"/>
    </xf>
    <xf numFmtId="179" fontId="49" fillId="0" borderId="1" xfId="0" applyNumberFormat="1" applyFont="1" applyBorder="1" applyAlignment="1" applyProtection="1">
      <alignment horizontal="center" vertical="center" wrapText="1"/>
      <protection locked="0"/>
    </xf>
    <xf numFmtId="179" fontId="103" fillId="6" borderId="1" xfId="0" applyNumberFormat="1" applyFont="1" applyFill="1" applyBorder="1" applyAlignment="1" applyProtection="1">
      <alignment horizontal="center" vertical="center" wrapText="1"/>
    </xf>
    <xf numFmtId="0" fontId="49" fillId="6" borderId="5" xfId="0" applyFont="1" applyFill="1" applyBorder="1" applyAlignment="1" applyProtection="1">
      <alignment horizontal="left" vertical="center"/>
    </xf>
    <xf numFmtId="176" fontId="49" fillId="6" borderId="1" xfId="0" applyNumberFormat="1" applyFont="1" applyFill="1" applyBorder="1" applyAlignment="1" applyProtection="1">
      <alignment horizontal="center" vertical="center" wrapText="1"/>
    </xf>
    <xf numFmtId="0" fontId="49" fillId="6" borderId="6" xfId="0" applyFont="1" applyFill="1" applyBorder="1" applyAlignment="1" applyProtection="1">
      <alignment horizontal="center" vertical="center" wrapText="1"/>
    </xf>
    <xf numFmtId="176" fontId="49" fillId="6" borderId="9" xfId="0" applyNumberFormat="1" applyFont="1" applyFill="1" applyBorder="1" applyAlignment="1" applyProtection="1">
      <alignment horizontal="center" vertical="center" wrapText="1"/>
    </xf>
    <xf numFmtId="176" fontId="49" fillId="6" borderId="10" xfId="0" applyNumberFormat="1" applyFont="1" applyFill="1" applyBorder="1" applyAlignment="1" applyProtection="1">
      <alignment horizontal="center" vertical="center" wrapText="1"/>
    </xf>
    <xf numFmtId="176" fontId="49" fillId="6" borderId="13" xfId="0" applyNumberFormat="1" applyFont="1" applyFill="1" applyBorder="1" applyAlignment="1" applyProtection="1">
      <alignment horizontal="center" vertical="center" wrapText="1"/>
    </xf>
    <xf numFmtId="176" fontId="49" fillId="6" borderId="23" xfId="0" applyNumberFormat="1" applyFont="1" applyFill="1" applyBorder="1" applyAlignment="1" applyProtection="1">
      <alignment horizontal="center" vertical="center" wrapText="1"/>
    </xf>
    <xf numFmtId="176" fontId="49" fillId="6" borderId="24" xfId="0" applyNumberFormat="1" applyFont="1" applyFill="1" applyBorder="1" applyAlignment="1" applyProtection="1">
      <alignment horizontal="center" vertical="center" wrapText="1"/>
    </xf>
    <xf numFmtId="0" fontId="49" fillId="6" borderId="13" xfId="0" applyFont="1" applyFill="1" applyBorder="1" applyAlignment="1" applyProtection="1">
      <alignment horizontal="center" vertical="center" wrapText="1"/>
    </xf>
    <xf numFmtId="0" fontId="49" fillId="6" borderId="1" xfId="0" applyFont="1" applyFill="1" applyBorder="1" applyAlignment="1" applyProtection="1">
      <alignment horizontal="center" vertical="center"/>
    </xf>
    <xf numFmtId="0" fontId="49" fillId="6" borderId="13" xfId="0" applyFont="1" applyFill="1" applyBorder="1" applyAlignment="1" applyProtection="1">
      <alignment horizontal="center" vertical="center"/>
    </xf>
    <xf numFmtId="0" fontId="49" fillId="6" borderId="48" xfId="0" applyFont="1" applyFill="1" applyBorder="1" applyAlignment="1" applyProtection="1">
      <alignment horizontal="center" vertical="center"/>
    </xf>
    <xf numFmtId="0" fontId="49" fillId="0" borderId="0" xfId="0" applyFont="1" applyAlignment="1" applyProtection="1">
      <alignment horizontal="center" vertical="center"/>
      <protection locked="0"/>
    </xf>
    <xf numFmtId="0" fontId="49" fillId="6" borderId="35" xfId="0" applyFont="1" applyFill="1" applyBorder="1" applyAlignment="1" applyProtection="1">
      <alignment horizontal="center" vertical="center"/>
    </xf>
    <xf numFmtId="0" fontId="49" fillId="6" borderId="2" xfId="0" applyFont="1" applyFill="1" applyBorder="1" applyAlignment="1" applyProtection="1">
      <alignment horizontal="center" vertical="center"/>
    </xf>
    <xf numFmtId="0" fontId="49" fillId="6" borderId="2" xfId="0" applyFont="1" applyFill="1" applyBorder="1" applyAlignment="1" applyProtection="1">
      <alignment horizontal="center" vertical="center" wrapText="1"/>
    </xf>
    <xf numFmtId="0" fontId="49" fillId="6" borderId="15" xfId="0" applyFont="1" applyFill="1" applyBorder="1" applyAlignment="1" applyProtection="1">
      <alignment horizontal="center" vertical="center" wrapText="1"/>
    </xf>
    <xf numFmtId="176" fontId="49" fillId="0" borderId="2" xfId="0" applyNumberFormat="1" applyFont="1" applyFill="1" applyBorder="1" applyAlignment="1" applyProtection="1">
      <alignment horizontal="center" vertical="center" wrapText="1"/>
      <protection locked="0"/>
    </xf>
    <xf numFmtId="176" fontId="49" fillId="6" borderId="2" xfId="0" applyNumberFormat="1" applyFont="1" applyFill="1" applyBorder="1" applyAlignment="1" applyProtection="1">
      <alignment horizontal="center" vertical="center" wrapText="1"/>
    </xf>
    <xf numFmtId="0" fontId="46" fillId="0" borderId="2" xfId="0" applyFont="1" applyBorder="1" applyAlignment="1" applyProtection="1">
      <alignment horizontal="center" vertical="center" wrapText="1"/>
      <protection locked="0"/>
    </xf>
    <xf numFmtId="176" fontId="46" fillId="6" borderId="1" xfId="0" applyNumberFormat="1" applyFont="1" applyFill="1" applyBorder="1" applyAlignment="1" applyProtection="1">
      <alignment horizontal="center" vertical="center" wrapText="1"/>
    </xf>
    <xf numFmtId="176" fontId="46" fillId="0" borderId="2" xfId="0" applyNumberFormat="1" applyFont="1" applyFill="1" applyBorder="1" applyAlignment="1" applyProtection="1">
      <alignment horizontal="center" vertical="center" wrapText="1"/>
      <protection locked="0"/>
    </xf>
    <xf numFmtId="176" fontId="46" fillId="6" borderId="2" xfId="0" applyNumberFormat="1" applyFont="1" applyFill="1" applyBorder="1" applyAlignment="1" applyProtection="1">
      <alignment horizontal="center" vertical="center" wrapText="1"/>
    </xf>
    <xf numFmtId="176" fontId="46" fillId="6" borderId="13" xfId="0" applyNumberFormat="1" applyFont="1" applyFill="1" applyBorder="1" applyAlignment="1" applyProtection="1">
      <alignment horizontal="center" vertical="center" wrapText="1"/>
    </xf>
    <xf numFmtId="176" fontId="46" fillId="0" borderId="1" xfId="0" applyNumberFormat="1" applyFont="1" applyBorder="1" applyAlignment="1" applyProtection="1">
      <alignment vertical="center" wrapText="1"/>
      <protection locked="0"/>
    </xf>
    <xf numFmtId="176" fontId="46" fillId="0" borderId="1" xfId="0" applyNumberFormat="1" applyFont="1" applyBorder="1" applyAlignment="1" applyProtection="1">
      <alignment horizontal="center" vertical="center" wrapText="1"/>
      <protection locked="0"/>
    </xf>
    <xf numFmtId="176" fontId="46" fillId="0" borderId="2" xfId="0" applyNumberFormat="1" applyFont="1" applyBorder="1" applyAlignment="1" applyProtection="1">
      <alignment horizontal="center" vertical="center" wrapText="1"/>
      <protection locked="0"/>
    </xf>
    <xf numFmtId="0" fontId="46" fillId="6" borderId="3" xfId="0" applyFont="1" applyFill="1" applyBorder="1" applyAlignment="1" applyProtection="1">
      <alignment horizontal="center" vertical="center" wrapText="1"/>
    </xf>
    <xf numFmtId="176" fontId="46" fillId="6" borderId="24" xfId="0" applyNumberFormat="1" applyFont="1" applyFill="1" applyBorder="1" applyAlignment="1" applyProtection="1">
      <alignment horizontal="center" vertical="center" wrapText="1"/>
    </xf>
    <xf numFmtId="176" fontId="46" fillId="0" borderId="1" xfId="0" applyNumberFormat="1" applyFont="1" applyFill="1" applyBorder="1" applyAlignment="1" applyProtection="1">
      <alignment horizontal="center" vertical="center" wrapText="1"/>
      <protection locked="0"/>
    </xf>
    <xf numFmtId="0" fontId="46" fillId="0" borderId="0" xfId="0" applyFont="1" applyFill="1" applyBorder="1" applyAlignment="1" applyProtection="1">
      <alignment horizontal="center" vertical="center" wrapText="1"/>
      <protection locked="0"/>
    </xf>
    <xf numFmtId="0" fontId="48" fillId="6" borderId="13" xfId="0" applyFont="1" applyFill="1" applyBorder="1" applyAlignment="1" applyProtection="1">
      <alignment vertical="center"/>
    </xf>
    <xf numFmtId="0" fontId="46" fillId="6" borderId="11" xfId="0" applyFont="1" applyFill="1" applyBorder="1" applyAlignment="1" applyProtection="1">
      <alignment vertical="center"/>
    </xf>
    <xf numFmtId="0" fontId="46" fillId="6" borderId="1" xfId="0" applyFont="1" applyFill="1" applyBorder="1" applyAlignment="1" applyProtection="1">
      <alignment vertical="center"/>
    </xf>
    <xf numFmtId="176" fontId="46" fillId="6" borderId="24" xfId="0" applyNumberFormat="1" applyFont="1" applyFill="1" applyBorder="1" applyAlignment="1" applyProtection="1">
      <alignment vertical="center"/>
    </xf>
    <xf numFmtId="0" fontId="46" fillId="6" borderId="13" xfId="0" applyFont="1" applyFill="1" applyBorder="1" applyAlignment="1" applyProtection="1">
      <alignment vertical="center"/>
    </xf>
    <xf numFmtId="0" fontId="46" fillId="6" borderId="24" xfId="0" applyFont="1" applyFill="1" applyBorder="1" applyAlignment="1" applyProtection="1">
      <alignment vertical="center"/>
    </xf>
    <xf numFmtId="0" fontId="46" fillId="0" borderId="24" xfId="0" applyFont="1" applyFill="1" applyBorder="1" applyAlignment="1" applyProtection="1">
      <alignment vertical="center"/>
      <protection locked="0"/>
    </xf>
    <xf numFmtId="0" fontId="46" fillId="6" borderId="61" xfId="0" applyFont="1" applyFill="1" applyBorder="1" applyAlignment="1" applyProtection="1">
      <alignment vertical="center"/>
    </xf>
    <xf numFmtId="179" fontId="46" fillId="6" borderId="1" xfId="0" applyNumberFormat="1" applyFont="1" applyFill="1" applyBorder="1" applyAlignment="1" applyProtection="1">
      <alignment horizontal="center" vertical="center"/>
    </xf>
    <xf numFmtId="0" fontId="46" fillId="6" borderId="1" xfId="0" applyFont="1" applyFill="1" applyBorder="1" applyAlignment="1" applyProtection="1">
      <alignment horizontal="center" vertical="center"/>
    </xf>
    <xf numFmtId="176" fontId="46" fillId="6" borderId="1" xfId="0" applyNumberFormat="1" applyFont="1" applyFill="1" applyBorder="1" applyAlignment="1" applyProtection="1">
      <alignment vertical="center"/>
    </xf>
    <xf numFmtId="0" fontId="49" fillId="0" borderId="1" xfId="0" applyFont="1" applyBorder="1" applyAlignment="1" applyProtection="1">
      <alignment horizontal="center" vertical="center"/>
      <protection locked="0"/>
    </xf>
    <xf numFmtId="177" fontId="46" fillId="0" borderId="1" xfId="1" applyNumberFormat="1" applyFont="1" applyFill="1" applyBorder="1" applyAlignment="1" applyProtection="1">
      <alignment vertical="center"/>
      <protection locked="0"/>
    </xf>
    <xf numFmtId="177" fontId="46" fillId="0" borderId="3" xfId="1" applyNumberFormat="1" applyFont="1" applyFill="1" applyBorder="1" applyAlignment="1" applyProtection="1">
      <alignment vertical="center"/>
      <protection locked="0"/>
    </xf>
    <xf numFmtId="0" fontId="46" fillId="6" borderId="3" xfId="0" applyFont="1" applyFill="1" applyBorder="1" applyProtection="1">
      <alignment vertical="center"/>
    </xf>
    <xf numFmtId="0" fontId="46" fillId="6" borderId="48" xfId="0" applyFont="1" applyFill="1" applyBorder="1" applyProtection="1">
      <alignment vertical="center"/>
    </xf>
    <xf numFmtId="0" fontId="46" fillId="6" borderId="22" xfId="0" applyFont="1" applyFill="1" applyBorder="1" applyProtection="1">
      <alignment vertical="center"/>
    </xf>
    <xf numFmtId="0" fontId="46" fillId="6" borderId="61" xfId="0" applyFont="1" applyFill="1" applyBorder="1" applyProtection="1">
      <alignment vertical="center"/>
    </xf>
    <xf numFmtId="0" fontId="48" fillId="6" borderId="27" xfId="0" applyFont="1" applyFill="1" applyBorder="1" applyAlignment="1" applyProtection="1">
      <alignment vertical="center" wrapText="1"/>
    </xf>
    <xf numFmtId="0" fontId="46" fillId="6" borderId="29" xfId="0" applyFont="1" applyFill="1" applyBorder="1" applyAlignment="1" applyProtection="1">
      <alignment horizontal="center" vertical="center" wrapText="1"/>
    </xf>
    <xf numFmtId="0" fontId="46" fillId="6" borderId="10" xfId="0" applyFont="1" applyFill="1" applyBorder="1" applyAlignment="1" applyProtection="1">
      <alignment horizontal="center" vertical="center" wrapText="1"/>
    </xf>
    <xf numFmtId="0" fontId="46" fillId="6" borderId="28" xfId="0" applyFont="1" applyFill="1" applyBorder="1" applyAlignment="1" applyProtection="1">
      <alignment horizontal="center" vertical="center" wrapText="1"/>
    </xf>
    <xf numFmtId="179" fontId="53" fillId="6" borderId="1" xfId="1" applyNumberFormat="1" applyFont="1" applyFill="1" applyBorder="1" applyAlignment="1" applyProtection="1">
      <alignment horizontal="center" vertical="center"/>
    </xf>
    <xf numFmtId="180" fontId="53" fillId="6" borderId="1" xfId="1" applyNumberFormat="1" applyFont="1" applyFill="1" applyBorder="1" applyAlignment="1" applyProtection="1">
      <alignment horizontal="center" vertical="center"/>
    </xf>
    <xf numFmtId="181" fontId="46" fillId="0" borderId="1" xfId="0" applyNumberFormat="1" applyFont="1" applyFill="1" applyBorder="1" applyAlignment="1" applyProtection="1">
      <alignment horizontal="center" vertical="center"/>
      <protection locked="0"/>
    </xf>
    <xf numFmtId="0" fontId="46" fillId="6" borderId="1" xfId="1" applyNumberFormat="1" applyFont="1" applyFill="1" applyBorder="1" applyAlignment="1" applyProtection="1">
      <alignment horizontal="center" vertical="center"/>
    </xf>
    <xf numFmtId="0" fontId="46" fillId="6" borderId="5" xfId="0" applyNumberFormat="1" applyFont="1" applyFill="1" applyBorder="1" applyAlignment="1" applyProtection="1">
      <alignment horizontal="center" vertical="center"/>
    </xf>
    <xf numFmtId="179" fontId="46" fillId="6" borderId="23" xfId="1" applyNumberFormat="1" applyFont="1" applyFill="1" applyBorder="1" applyAlignment="1" applyProtection="1">
      <alignment horizontal="center" vertical="center"/>
    </xf>
    <xf numFmtId="0" fontId="46" fillId="0" borderId="23" xfId="0" applyFont="1" applyBorder="1" applyAlignment="1" applyProtection="1">
      <alignment vertical="center"/>
      <protection locked="0"/>
    </xf>
    <xf numFmtId="181" fontId="46" fillId="0" borderId="1" xfId="0" applyNumberFormat="1" applyFont="1" applyBorder="1" applyAlignment="1" applyProtection="1">
      <alignment vertical="center"/>
      <protection locked="0"/>
    </xf>
    <xf numFmtId="181" fontId="46" fillId="0" borderId="24" xfId="0" applyNumberFormat="1" applyFont="1" applyBorder="1" applyAlignment="1" applyProtection="1">
      <alignment vertical="center"/>
      <protection locked="0"/>
    </xf>
    <xf numFmtId="0" fontId="46" fillId="0" borderId="3" xfId="0" applyFont="1" applyBorder="1" applyAlignment="1" applyProtection="1">
      <alignment vertical="center"/>
      <protection locked="0"/>
    </xf>
    <xf numFmtId="181" fontId="46" fillId="0" borderId="5" xfId="0" applyNumberFormat="1" applyFont="1" applyBorder="1" applyAlignment="1" applyProtection="1">
      <alignment vertical="center"/>
      <protection locked="0"/>
    </xf>
    <xf numFmtId="0" fontId="46" fillId="0" borderId="23" xfId="0" applyFont="1" applyBorder="1" applyAlignment="1" applyProtection="1">
      <alignment horizontal="center" vertical="center"/>
      <protection locked="0"/>
    </xf>
    <xf numFmtId="0" fontId="46" fillId="0" borderId="24" xfId="0" applyFont="1" applyBorder="1" applyAlignment="1" applyProtection="1">
      <alignment horizontal="center" vertical="center"/>
      <protection locked="0"/>
    </xf>
    <xf numFmtId="0" fontId="46" fillId="5" borderId="3" xfId="0" applyFont="1" applyFill="1" applyBorder="1" applyAlignment="1" applyProtection="1">
      <alignment horizontal="center" vertical="center"/>
      <protection locked="0"/>
    </xf>
    <xf numFmtId="0" fontId="46" fillId="0" borderId="1" xfId="0" applyNumberFormat="1" applyFont="1" applyBorder="1" applyAlignment="1" applyProtection="1">
      <alignment horizontal="center" vertical="center"/>
      <protection locked="0"/>
    </xf>
    <xf numFmtId="10" fontId="46" fillId="0" borderId="1" xfId="0" applyNumberFormat="1" applyFont="1" applyBorder="1" applyAlignment="1" applyProtection="1">
      <alignment horizontal="center" vertical="center"/>
      <protection locked="0"/>
    </xf>
    <xf numFmtId="183" fontId="46" fillId="0" borderId="1" xfId="0" applyNumberFormat="1" applyFont="1" applyBorder="1" applyAlignment="1" applyProtection="1">
      <alignment horizontal="center" vertical="center"/>
      <protection locked="0"/>
    </xf>
    <xf numFmtId="181" fontId="46" fillId="0" borderId="24" xfId="0" applyNumberFormat="1" applyFont="1" applyBorder="1" applyAlignment="1" applyProtection="1">
      <alignment horizontal="center" vertical="center"/>
      <protection locked="0"/>
    </xf>
    <xf numFmtId="9" fontId="46" fillId="0" borderId="5" xfId="0" applyNumberFormat="1" applyFont="1" applyFill="1" applyBorder="1" applyAlignment="1" applyProtection="1">
      <alignment horizontal="center" vertical="center"/>
      <protection locked="0"/>
    </xf>
    <xf numFmtId="177" fontId="46" fillId="0" borderId="1" xfId="1" applyNumberFormat="1" applyFont="1" applyFill="1" applyBorder="1" applyAlignment="1" applyProtection="1">
      <alignment horizontal="center" vertical="center"/>
      <protection locked="0"/>
    </xf>
    <xf numFmtId="10" fontId="46" fillId="0" borderId="1" xfId="1" applyNumberFormat="1" applyFont="1" applyFill="1" applyBorder="1" applyAlignment="1" applyProtection="1">
      <alignment horizontal="center" vertical="center"/>
      <protection locked="0"/>
    </xf>
    <xf numFmtId="0" fontId="46" fillId="0" borderId="3" xfId="0" applyFont="1" applyBorder="1" applyAlignment="1" applyProtection="1">
      <alignment horizontal="center" vertical="center"/>
      <protection locked="0"/>
    </xf>
    <xf numFmtId="10" fontId="46" fillId="0" borderId="1" xfId="0" applyNumberFormat="1" applyFont="1" applyFill="1" applyBorder="1" applyAlignment="1" applyProtection="1">
      <alignment horizontal="center" vertical="center"/>
      <protection locked="0"/>
    </xf>
    <xf numFmtId="183" fontId="46" fillId="0" borderId="1" xfId="0" applyNumberFormat="1" applyFont="1" applyFill="1" applyBorder="1" applyAlignment="1" applyProtection="1">
      <alignment horizontal="center" vertical="center"/>
      <protection locked="0"/>
    </xf>
    <xf numFmtId="181" fontId="46" fillId="0" borderId="24" xfId="0" applyNumberFormat="1" applyFont="1" applyFill="1" applyBorder="1" applyAlignment="1" applyProtection="1">
      <alignment horizontal="center" vertical="center"/>
      <protection locked="0"/>
    </xf>
    <xf numFmtId="0" fontId="48" fillId="6" borderId="32" xfId="1" applyFont="1" applyFill="1" applyBorder="1" applyAlignment="1" applyProtection="1">
      <alignment vertical="center"/>
    </xf>
    <xf numFmtId="0" fontId="48" fillId="6" borderId="32" xfId="1" applyFont="1" applyFill="1" applyBorder="1" applyAlignment="1" applyProtection="1">
      <alignment horizontal="center" vertical="center"/>
    </xf>
    <xf numFmtId="181" fontId="48" fillId="6" borderId="32" xfId="1" applyNumberFormat="1" applyFont="1" applyFill="1" applyBorder="1" applyAlignment="1" applyProtection="1">
      <alignment vertical="center"/>
    </xf>
    <xf numFmtId="0" fontId="48" fillId="6" borderId="49" xfId="1" applyFont="1" applyFill="1" applyBorder="1" applyAlignment="1" applyProtection="1">
      <alignment vertical="center"/>
    </xf>
    <xf numFmtId="176" fontId="46" fillId="6" borderId="25" xfId="0" applyNumberFormat="1" applyFont="1" applyFill="1" applyBorder="1" applyAlignment="1" applyProtection="1">
      <alignment horizontal="center" vertical="center"/>
    </xf>
    <xf numFmtId="0" fontId="46" fillId="6" borderId="32" xfId="1" applyNumberFormat="1" applyFont="1" applyFill="1" applyBorder="1" applyAlignment="1" applyProtection="1">
      <alignment horizontal="center" vertical="center"/>
    </xf>
    <xf numFmtId="10" fontId="46" fillId="6" borderId="32" xfId="1" applyNumberFormat="1" applyFont="1" applyFill="1" applyBorder="1" applyAlignment="1" applyProtection="1">
      <alignment horizontal="center" vertical="center"/>
    </xf>
    <xf numFmtId="9" fontId="46" fillId="6" borderId="33" xfId="0" applyNumberFormat="1" applyFont="1" applyFill="1" applyBorder="1" applyAlignment="1" applyProtection="1">
      <alignment horizontal="center" vertical="center"/>
    </xf>
    <xf numFmtId="179" fontId="46" fillId="6" borderId="66" xfId="1" applyNumberFormat="1" applyFont="1" applyFill="1" applyBorder="1" applyAlignment="1" applyProtection="1">
      <alignment horizontal="center" vertical="center"/>
    </xf>
    <xf numFmtId="0" fontId="46" fillId="6" borderId="68" xfId="1" applyNumberFormat="1" applyFont="1" applyFill="1" applyBorder="1" applyAlignment="1" applyProtection="1">
      <alignment horizontal="center" vertical="center"/>
    </xf>
    <xf numFmtId="0" fontId="46" fillId="6" borderId="25" xfId="0" applyFont="1" applyFill="1" applyBorder="1" applyAlignment="1" applyProtection="1">
      <alignment vertical="center"/>
    </xf>
    <xf numFmtId="0" fontId="46" fillId="6" borderId="32" xfId="0" applyFont="1" applyFill="1" applyBorder="1" applyAlignment="1" applyProtection="1">
      <alignment vertical="center"/>
    </xf>
    <xf numFmtId="0" fontId="46" fillId="6" borderId="49" xfId="0" applyFont="1" applyFill="1" applyBorder="1" applyAlignment="1" applyProtection="1">
      <alignment vertical="center"/>
    </xf>
    <xf numFmtId="0" fontId="46" fillId="6" borderId="66" xfId="0" applyFont="1" applyFill="1" applyBorder="1" applyAlignment="1" applyProtection="1">
      <alignment vertical="center"/>
    </xf>
    <xf numFmtId="0" fontId="46" fillId="6" borderId="33" xfId="0" applyFont="1" applyFill="1" applyBorder="1" applyAlignment="1" applyProtection="1">
      <alignment vertical="center"/>
    </xf>
    <xf numFmtId="176" fontId="53" fillId="0" borderId="10" xfId="1" applyNumberFormat="1" applyFont="1" applyFill="1" applyBorder="1" applyAlignment="1" applyProtection="1">
      <alignment horizontal="center" vertical="center"/>
      <protection locked="0"/>
    </xf>
    <xf numFmtId="176" fontId="46" fillId="0" borderId="24" xfId="1" applyNumberFormat="1" applyFont="1" applyFill="1" applyBorder="1" applyAlignment="1" applyProtection="1">
      <alignment horizontal="center" vertical="center"/>
      <protection locked="0"/>
    </xf>
    <xf numFmtId="176" fontId="53" fillId="6" borderId="24" xfId="1" applyNumberFormat="1" applyFont="1" applyFill="1" applyBorder="1" applyAlignment="1" applyProtection="1">
      <alignment horizontal="center" vertical="center"/>
    </xf>
    <xf numFmtId="176" fontId="53" fillId="6" borderId="49" xfId="1" applyNumberFormat="1" applyFont="1" applyFill="1" applyBorder="1" applyAlignment="1" applyProtection="1">
      <alignment horizontal="center" vertical="center"/>
    </xf>
    <xf numFmtId="0" fontId="55" fillId="0" borderId="10" xfId="1" applyNumberFormat="1" applyFont="1" applyFill="1" applyBorder="1" applyAlignment="1" applyProtection="1">
      <alignment horizontal="center" vertical="center"/>
      <protection locked="0"/>
    </xf>
    <xf numFmtId="0" fontId="46" fillId="0" borderId="0" xfId="0" applyFont="1" applyFill="1" applyAlignment="1" applyProtection="1">
      <alignment horizontal="center" vertical="center"/>
      <protection locked="0"/>
    </xf>
    <xf numFmtId="0" fontId="49" fillId="0" borderId="0" xfId="0" applyFont="1" applyFill="1" applyAlignment="1" applyProtection="1">
      <alignment horizontal="center" vertical="center"/>
      <protection locked="0"/>
    </xf>
    <xf numFmtId="0" fontId="55" fillId="0" borderId="24" xfId="1" applyNumberFormat="1" applyFont="1" applyFill="1" applyBorder="1" applyAlignment="1" applyProtection="1">
      <alignment horizontal="center" vertical="center"/>
      <protection locked="0"/>
    </xf>
    <xf numFmtId="0" fontId="53" fillId="6" borderId="24" xfId="1" applyNumberFormat="1" applyFont="1" applyFill="1" applyBorder="1" applyAlignment="1" applyProtection="1">
      <alignment horizontal="center" vertical="center"/>
    </xf>
    <xf numFmtId="0" fontId="55" fillId="0" borderId="49" xfId="1" applyNumberFormat="1" applyFont="1" applyFill="1" applyBorder="1" applyAlignment="1" applyProtection="1">
      <alignment horizontal="center" vertical="center"/>
      <protection locked="0"/>
    </xf>
    <xf numFmtId="181" fontId="49" fillId="0" borderId="24" xfId="0" applyNumberFormat="1" applyFont="1" applyFill="1" applyBorder="1" applyAlignment="1" applyProtection="1">
      <alignment horizontal="center" vertical="center"/>
      <protection locked="0"/>
    </xf>
    <xf numFmtId="181" fontId="49" fillId="0" borderId="49" xfId="0" applyNumberFormat="1" applyFont="1" applyFill="1" applyBorder="1" applyAlignment="1" applyProtection="1">
      <alignment horizontal="center" vertical="center"/>
      <protection locked="0"/>
    </xf>
    <xf numFmtId="181" fontId="49" fillId="0" borderId="8" xfId="0" applyNumberFormat="1" applyFont="1" applyFill="1" applyBorder="1" applyAlignment="1" applyProtection="1">
      <alignment horizontal="center" vertical="center"/>
      <protection locked="0"/>
    </xf>
    <xf numFmtId="10" fontId="46" fillId="6" borderId="10" xfId="0" applyNumberFormat="1" applyFont="1" applyFill="1" applyBorder="1" applyAlignment="1" applyProtection="1">
      <alignment horizontal="center" vertical="center"/>
    </xf>
    <xf numFmtId="10" fontId="46" fillId="0" borderId="61" xfId="0" applyNumberFormat="1" applyFont="1" applyFill="1" applyBorder="1" applyAlignment="1" applyProtection="1">
      <alignment horizontal="center" vertical="center"/>
      <protection locked="0"/>
    </xf>
    <xf numFmtId="183" fontId="46" fillId="6" borderId="61" xfId="0" applyNumberFormat="1" applyFont="1" applyFill="1" applyBorder="1" applyAlignment="1" applyProtection="1">
      <alignment horizontal="center" vertical="center"/>
    </xf>
    <xf numFmtId="10" fontId="46" fillId="2" borderId="61" xfId="0" applyNumberFormat="1" applyFont="1" applyFill="1" applyBorder="1" applyAlignment="1" applyProtection="1">
      <alignment horizontal="center" vertical="center"/>
      <protection locked="0"/>
    </xf>
    <xf numFmtId="10" fontId="46" fillId="0" borderId="49" xfId="0" applyNumberFormat="1" applyFont="1" applyFill="1" applyBorder="1" applyAlignment="1" applyProtection="1">
      <alignment horizontal="center" vertical="center"/>
      <protection locked="0"/>
    </xf>
    <xf numFmtId="10" fontId="46" fillId="0" borderId="53" xfId="0" applyNumberFormat="1" applyFont="1" applyFill="1" applyBorder="1" applyAlignment="1" applyProtection="1">
      <alignment horizontal="center" vertical="center"/>
      <protection locked="0"/>
    </xf>
    <xf numFmtId="10" fontId="46" fillId="6" borderId="62" xfId="0" applyNumberFormat="1" applyFont="1" applyFill="1" applyBorder="1" applyAlignment="1" applyProtection="1">
      <alignment horizontal="center" vertical="center"/>
    </xf>
    <xf numFmtId="10" fontId="46" fillId="6" borderId="49" xfId="0" applyNumberFormat="1" applyFont="1" applyFill="1" applyBorder="1" applyAlignment="1" applyProtection="1">
      <alignment horizontal="center" vertical="center"/>
    </xf>
    <xf numFmtId="178" fontId="46" fillId="6" borderId="62" xfId="0" applyNumberFormat="1" applyFont="1" applyFill="1" applyBorder="1" applyAlignment="1" applyProtection="1">
      <alignment horizontal="center" vertical="center"/>
    </xf>
    <xf numFmtId="0" fontId="46" fillId="0" borderId="49" xfId="0" applyFont="1" applyBorder="1" applyAlignment="1" applyProtection="1">
      <alignment vertical="center"/>
      <protection locked="0"/>
    </xf>
    <xf numFmtId="0" fontId="46" fillId="6" borderId="10" xfId="0" applyNumberFormat="1" applyFont="1" applyFill="1" applyBorder="1" applyAlignment="1" applyProtection="1">
      <alignment horizontal="center" vertical="center" wrapText="1"/>
    </xf>
    <xf numFmtId="0" fontId="46" fillId="6" borderId="24" xfId="0" applyNumberFormat="1" applyFont="1" applyFill="1" applyBorder="1" applyAlignment="1" applyProtection="1">
      <alignment horizontal="center" vertical="center" wrapText="1"/>
    </xf>
    <xf numFmtId="0" fontId="46" fillId="6" borderId="49" xfId="0" applyNumberFormat="1" applyFont="1" applyFill="1" applyBorder="1" applyAlignment="1" applyProtection="1">
      <alignment horizontal="center" vertical="center" wrapText="1"/>
    </xf>
    <xf numFmtId="0" fontId="49" fillId="6" borderId="0" xfId="0" applyFont="1" applyFill="1" applyProtection="1">
      <alignment vertical="center"/>
      <protection locked="0"/>
    </xf>
    <xf numFmtId="0" fontId="49" fillId="0" borderId="0" xfId="0" applyFont="1" applyProtection="1">
      <alignment vertical="center"/>
      <protection locked="0"/>
    </xf>
    <xf numFmtId="0" fontId="49" fillId="6" borderId="5" xfId="0" applyFont="1" applyFill="1" applyBorder="1" applyAlignment="1" applyProtection="1">
      <alignment vertical="center"/>
    </xf>
    <xf numFmtId="0" fontId="46" fillId="6" borderId="2" xfId="0" applyFont="1" applyFill="1" applyBorder="1" applyAlignment="1" applyProtection="1">
      <alignment horizontal="center" vertical="center"/>
    </xf>
    <xf numFmtId="179" fontId="46" fillId="6" borderId="13" xfId="0" applyNumberFormat="1" applyFont="1" applyFill="1" applyBorder="1" applyAlignment="1" applyProtection="1">
      <alignment horizontal="center" vertical="center"/>
    </xf>
    <xf numFmtId="0" fontId="102" fillId="6" borderId="9" xfId="0" applyFont="1" applyFill="1" applyBorder="1" applyAlignment="1" applyProtection="1">
      <alignment horizontal="center" vertical="center"/>
    </xf>
    <xf numFmtId="0" fontId="102" fillId="6" borderId="10" xfId="0" applyFont="1" applyFill="1" applyBorder="1" applyAlignment="1" applyProtection="1">
      <alignment horizontal="center" vertical="center"/>
    </xf>
    <xf numFmtId="0" fontId="46" fillId="6" borderId="28" xfId="0" applyFont="1" applyFill="1" applyBorder="1" applyAlignment="1" applyProtection="1">
      <alignment horizontal="right" vertical="center"/>
    </xf>
    <xf numFmtId="0" fontId="102" fillId="6" borderId="1" xfId="0" applyFont="1" applyFill="1" applyBorder="1" applyAlignment="1" applyProtection="1">
      <alignment horizontal="center" vertical="center"/>
    </xf>
    <xf numFmtId="0" fontId="102" fillId="6" borderId="24" xfId="0" applyFont="1" applyFill="1" applyBorder="1" applyAlignment="1" applyProtection="1">
      <alignment horizontal="center" vertical="center"/>
    </xf>
    <xf numFmtId="0" fontId="46" fillId="6" borderId="5" xfId="0" applyFont="1" applyFill="1" applyBorder="1" applyAlignment="1" applyProtection="1">
      <alignment horizontal="right" vertical="center"/>
    </xf>
    <xf numFmtId="0" fontId="46" fillId="6" borderId="33" xfId="0" applyFont="1" applyFill="1" applyBorder="1" applyAlignment="1" applyProtection="1">
      <alignment horizontal="right" vertical="center"/>
    </xf>
    <xf numFmtId="0" fontId="46" fillId="6" borderId="4" xfId="0" applyFont="1" applyFill="1" applyBorder="1" applyAlignment="1" applyProtection="1">
      <alignment horizontal="right" vertical="center"/>
    </xf>
    <xf numFmtId="0" fontId="104" fillId="0" borderId="1" xfId="0" applyFont="1" applyFill="1" applyBorder="1" applyAlignment="1" applyProtection="1">
      <alignment horizontal="center" vertical="center"/>
      <protection locked="0"/>
    </xf>
    <xf numFmtId="0" fontId="104" fillId="0" borderId="24" xfId="0" applyFont="1" applyFill="1" applyBorder="1" applyAlignment="1" applyProtection="1">
      <alignment horizontal="center" vertical="center"/>
      <protection locked="0"/>
    </xf>
    <xf numFmtId="0" fontId="46" fillId="6" borderId="29" xfId="0" applyFont="1" applyFill="1" applyBorder="1" applyAlignment="1" applyProtection="1">
      <alignment horizontal="center" vertical="center"/>
    </xf>
    <xf numFmtId="0" fontId="48" fillId="0" borderId="10" xfId="0" applyFont="1" applyFill="1" applyBorder="1" applyAlignment="1" applyProtection="1">
      <alignment horizontal="center" vertical="center"/>
      <protection locked="0"/>
    </xf>
    <xf numFmtId="0" fontId="49" fillId="6" borderId="1" xfId="0" applyFont="1" applyFill="1" applyBorder="1" applyProtection="1">
      <alignment vertical="center"/>
    </xf>
    <xf numFmtId="0" fontId="48" fillId="0" borderId="24" xfId="0" applyFont="1" applyFill="1" applyBorder="1" applyAlignment="1" applyProtection="1">
      <alignment horizontal="center" vertical="center"/>
      <protection locked="0"/>
    </xf>
    <xf numFmtId="0" fontId="48" fillId="6" borderId="4" xfId="0" applyFont="1" applyFill="1" applyBorder="1" applyAlignment="1" applyProtection="1">
      <alignment horizontal="center" vertical="center"/>
    </xf>
    <xf numFmtId="0" fontId="49" fillId="0" borderId="23" xfId="0" applyFont="1" applyBorder="1" applyProtection="1">
      <alignment vertical="center"/>
      <protection locked="0"/>
    </xf>
    <xf numFmtId="0" fontId="49" fillId="0" borderId="1" xfId="0" applyFont="1" applyBorder="1" applyProtection="1">
      <alignment vertical="center"/>
      <protection locked="0"/>
    </xf>
    <xf numFmtId="0" fontId="49" fillId="0" borderId="24" xfId="0" applyFont="1" applyFill="1" applyBorder="1" applyAlignment="1" applyProtection="1">
      <alignment horizontal="center" vertical="center"/>
      <protection locked="0"/>
    </xf>
    <xf numFmtId="0" fontId="49" fillId="0" borderId="25" xfId="0" applyFont="1" applyBorder="1" applyProtection="1">
      <alignment vertical="center"/>
      <protection locked="0"/>
    </xf>
    <xf numFmtId="0" fontId="49" fillId="0" borderId="32" xfId="0" applyFont="1" applyBorder="1" applyProtection="1">
      <alignment vertical="center"/>
      <protection locked="0"/>
    </xf>
    <xf numFmtId="0" fontId="49" fillId="0" borderId="49" xfId="0" applyFont="1" applyBorder="1" applyProtection="1">
      <alignment vertical="center"/>
      <protection locked="0"/>
    </xf>
    <xf numFmtId="0" fontId="49" fillId="6" borderId="13" xfId="0" applyFont="1" applyFill="1" applyBorder="1" applyAlignment="1" applyProtection="1">
      <alignment vertical="center"/>
    </xf>
    <xf numFmtId="0" fontId="49" fillId="6" borderId="36" xfId="0" applyFont="1" applyFill="1" applyBorder="1" applyAlignment="1" applyProtection="1">
      <alignment horizontal="right" vertical="center"/>
    </xf>
    <xf numFmtId="9" fontId="49" fillId="5" borderId="36" xfId="0" applyNumberFormat="1" applyFont="1" applyFill="1" applyBorder="1" applyAlignment="1" applyProtection="1">
      <alignment horizontal="center" vertical="center"/>
      <protection locked="0"/>
    </xf>
    <xf numFmtId="0" fontId="49" fillId="6" borderId="22" xfId="0" applyFont="1" applyFill="1" applyBorder="1" applyProtection="1">
      <alignment vertical="center"/>
    </xf>
    <xf numFmtId="0" fontId="49" fillId="6" borderId="0" xfId="0" applyFont="1" applyFill="1" applyAlignment="1" applyProtection="1">
      <alignment horizontal="center" vertical="center"/>
      <protection locked="0"/>
    </xf>
    <xf numFmtId="0" fontId="54" fillId="6" borderId="18" xfId="0" applyFont="1" applyFill="1" applyBorder="1" applyAlignment="1" applyProtection="1">
      <alignment horizontal="left" vertical="center" wrapText="1"/>
    </xf>
    <xf numFmtId="0" fontId="54" fillId="6" borderId="60" xfId="0" applyFont="1" applyFill="1" applyBorder="1" applyAlignment="1" applyProtection="1">
      <alignment horizontal="left" vertical="center" wrapText="1"/>
    </xf>
    <xf numFmtId="0" fontId="54" fillId="6" borderId="7" xfId="0" applyFont="1" applyFill="1" applyBorder="1" applyAlignment="1" applyProtection="1">
      <alignment horizontal="left" vertical="center" wrapText="1"/>
    </xf>
    <xf numFmtId="0" fontId="54" fillId="6" borderId="1" xfId="0" applyFont="1" applyFill="1" applyBorder="1" applyAlignment="1" applyProtection="1">
      <alignment horizontal="left" vertical="center" wrapText="1"/>
    </xf>
    <xf numFmtId="0" fontId="49" fillId="6" borderId="46" xfId="0" applyFont="1" applyFill="1" applyBorder="1" applyAlignment="1" applyProtection="1">
      <alignment vertical="center"/>
    </xf>
    <xf numFmtId="10" fontId="49" fillId="6" borderId="5" xfId="0" applyNumberFormat="1" applyFont="1" applyFill="1" applyBorder="1" applyAlignment="1" applyProtection="1">
      <alignment horizontal="center" vertical="center"/>
    </xf>
    <xf numFmtId="0" fontId="49" fillId="6" borderId="10" xfId="0" applyFont="1" applyFill="1" applyBorder="1" applyAlignment="1" applyProtection="1">
      <alignment horizontal="left" vertical="center" wrapText="1"/>
    </xf>
    <xf numFmtId="0" fontId="56" fillId="6" borderId="2" xfId="0" applyFont="1" applyFill="1" applyBorder="1" applyAlignment="1" applyProtection="1">
      <alignment horizontal="left" vertical="center" wrapText="1"/>
    </xf>
    <xf numFmtId="0" fontId="49" fillId="6" borderId="8" xfId="0" applyFont="1" applyFill="1" applyBorder="1" applyAlignment="1" applyProtection="1">
      <alignment horizontal="left" vertical="center" wrapText="1"/>
    </xf>
    <xf numFmtId="49" fontId="49" fillId="6" borderId="23" xfId="0" applyNumberFormat="1" applyFont="1" applyFill="1" applyBorder="1" applyAlignment="1" applyProtection="1">
      <alignment horizontal="left" vertical="center" wrapText="1"/>
    </xf>
    <xf numFmtId="0" fontId="55" fillId="6" borderId="1" xfId="0" applyFont="1" applyFill="1" applyBorder="1" applyAlignment="1" applyProtection="1">
      <alignment horizontal="left" vertical="center" wrapText="1"/>
    </xf>
    <xf numFmtId="0" fontId="55" fillId="6" borderId="1" xfId="0" applyFont="1" applyFill="1" applyBorder="1" applyAlignment="1" applyProtection="1">
      <alignment horizontal="center" vertical="center" wrapText="1"/>
    </xf>
    <xf numFmtId="0" fontId="49" fillId="6" borderId="24" xfId="0" applyFont="1" applyFill="1" applyBorder="1" applyAlignment="1" applyProtection="1">
      <alignment horizontal="left" vertical="center" wrapText="1"/>
    </xf>
    <xf numFmtId="49" fontId="54" fillId="6" borderId="23" xfId="0" applyNumberFormat="1" applyFont="1" applyFill="1" applyBorder="1" applyAlignment="1" applyProtection="1">
      <alignment horizontal="left" vertical="center" wrapText="1"/>
    </xf>
    <xf numFmtId="0" fontId="56" fillId="6" borderId="1" xfId="0" applyFont="1" applyFill="1" applyBorder="1" applyAlignment="1" applyProtection="1">
      <alignment horizontal="left" vertical="center" wrapText="1"/>
    </xf>
    <xf numFmtId="0" fontId="56" fillId="6" borderId="1" xfId="0" applyFont="1" applyFill="1" applyBorder="1" applyAlignment="1" applyProtection="1">
      <alignment horizontal="center" vertical="center" wrapText="1"/>
    </xf>
    <xf numFmtId="49" fontId="54" fillId="6" borderId="25" xfId="0" applyNumberFormat="1" applyFont="1" applyFill="1" applyBorder="1" applyAlignment="1" applyProtection="1">
      <alignment horizontal="left" vertical="center" wrapText="1"/>
    </xf>
    <xf numFmtId="0" fontId="56" fillId="6" borderId="32" xfId="0" applyFont="1" applyFill="1" applyBorder="1" applyAlignment="1" applyProtection="1">
      <alignment horizontal="left" vertical="center" wrapText="1"/>
    </xf>
    <xf numFmtId="10" fontId="55" fillId="6" borderId="32" xfId="0" applyNumberFormat="1" applyFont="1" applyFill="1" applyBorder="1" applyAlignment="1" applyProtection="1">
      <alignment horizontal="center" vertical="center" wrapText="1"/>
    </xf>
    <xf numFmtId="0" fontId="49" fillId="6" borderId="49" xfId="0" applyFont="1" applyFill="1" applyBorder="1" applyAlignment="1" applyProtection="1">
      <alignment horizontal="left" vertical="center"/>
    </xf>
    <xf numFmtId="0" fontId="49" fillId="6" borderId="28" xfId="0" applyFont="1" applyFill="1" applyBorder="1" applyAlignment="1" applyProtection="1">
      <alignment horizontal="left" vertical="center" wrapText="1"/>
    </xf>
    <xf numFmtId="0" fontId="49" fillId="6" borderId="20" xfId="0" applyFont="1" applyFill="1" applyBorder="1" applyAlignment="1" applyProtection="1">
      <alignment horizontal="left" vertical="center" wrapText="1"/>
    </xf>
    <xf numFmtId="0" fontId="46" fillId="6" borderId="21" xfId="2" applyFont="1" applyFill="1" applyBorder="1" applyAlignment="1" applyProtection="1">
      <alignment horizontal="left" vertical="center" wrapText="1"/>
    </xf>
    <xf numFmtId="0" fontId="46" fillId="6" borderId="48" xfId="2" applyFont="1" applyFill="1" applyBorder="1" applyAlignment="1" applyProtection="1">
      <alignment horizontal="left" vertical="center" wrapText="1"/>
    </xf>
    <xf numFmtId="0" fontId="55" fillId="0" borderId="1" xfId="0" applyFont="1" applyFill="1" applyBorder="1" applyAlignment="1" applyProtection="1">
      <alignment horizontal="center" vertical="center" wrapText="1"/>
      <protection locked="0"/>
    </xf>
    <xf numFmtId="0" fontId="46" fillId="6" borderId="1" xfId="2" applyFont="1" applyFill="1" applyBorder="1" applyAlignment="1" applyProtection="1">
      <alignment horizontal="left" vertical="center" wrapText="1"/>
    </xf>
    <xf numFmtId="0" fontId="55" fillId="6" borderId="2" xfId="0" applyFont="1" applyFill="1" applyBorder="1" applyAlignment="1" applyProtection="1">
      <alignment horizontal="left" vertical="center" wrapText="1"/>
    </xf>
    <xf numFmtId="0" fontId="46" fillId="6" borderId="54" xfId="0" applyFont="1" applyFill="1" applyBorder="1" applyAlignment="1" applyProtection="1">
      <alignment horizontal="left" vertical="center"/>
    </xf>
    <xf numFmtId="0" fontId="55" fillId="6" borderId="32" xfId="0" applyFont="1" applyFill="1" applyBorder="1" applyAlignment="1" applyProtection="1">
      <alignment horizontal="center" vertical="center" wrapText="1"/>
    </xf>
    <xf numFmtId="0" fontId="49" fillId="6" borderId="33" xfId="0" applyFont="1" applyFill="1" applyBorder="1" applyAlignment="1" applyProtection="1">
      <alignment horizontal="left" vertical="center"/>
    </xf>
    <xf numFmtId="0" fontId="49" fillId="6" borderId="52" xfId="0" applyFont="1" applyFill="1" applyBorder="1" applyAlignment="1" applyProtection="1">
      <alignment horizontal="left" vertical="center" wrapText="1"/>
    </xf>
    <xf numFmtId="0" fontId="46" fillId="6" borderId="68" xfId="2" applyFont="1" applyFill="1" applyBorder="1" applyAlignment="1" applyProtection="1">
      <alignment horizontal="left" vertical="center" wrapText="1"/>
    </xf>
    <xf numFmtId="0" fontId="49" fillId="6" borderId="21" xfId="2" applyFont="1" applyFill="1" applyBorder="1" applyAlignment="1" applyProtection="1">
      <alignment horizontal="left" vertical="center" wrapText="1"/>
    </xf>
    <xf numFmtId="0" fontId="49" fillId="6" borderId="48" xfId="2" applyFont="1" applyFill="1" applyBorder="1" applyAlignment="1" applyProtection="1">
      <alignment horizontal="left" vertical="center" wrapText="1"/>
    </xf>
    <xf numFmtId="10" fontId="49" fillId="6" borderId="5" xfId="0" applyNumberFormat="1" applyFont="1" applyFill="1" applyBorder="1" applyAlignment="1" applyProtection="1">
      <alignment horizontal="left" vertical="center"/>
    </xf>
    <xf numFmtId="0" fontId="57" fillId="6" borderId="0" xfId="0" applyFont="1" applyFill="1" applyBorder="1" applyAlignment="1" applyProtection="1">
      <alignment horizontal="left" vertical="center"/>
    </xf>
    <xf numFmtId="0" fontId="49" fillId="6" borderId="68" xfId="2" applyFont="1" applyFill="1" applyBorder="1" applyAlignment="1" applyProtection="1">
      <alignment horizontal="left" vertical="center" wrapText="1"/>
    </xf>
    <xf numFmtId="0" fontId="105" fillId="6" borderId="51" xfId="1" applyFont="1" applyFill="1" applyBorder="1" applyAlignment="1" applyProtection="1">
      <alignment vertical="center"/>
    </xf>
    <xf numFmtId="0" fontId="59" fillId="6" borderId="20" xfId="1" applyFont="1" applyFill="1" applyBorder="1" applyAlignment="1" applyProtection="1">
      <alignment vertical="center"/>
    </xf>
    <xf numFmtId="0" fontId="59" fillId="6" borderId="19" xfId="1" applyFont="1" applyFill="1" applyBorder="1" applyAlignment="1" applyProtection="1">
      <alignment vertical="center"/>
    </xf>
    <xf numFmtId="0" fontId="59" fillId="6" borderId="0" xfId="1" applyFont="1" applyFill="1" applyBorder="1" applyAlignment="1" applyProtection="1">
      <alignment vertical="center"/>
    </xf>
    <xf numFmtId="0" fontId="60" fillId="3" borderId="0" xfId="0" applyFont="1" applyFill="1" applyAlignment="1" applyProtection="1">
      <alignment vertical="center"/>
      <protection locked="0"/>
    </xf>
    <xf numFmtId="0" fontId="59" fillId="6" borderId="1" xfId="1" applyFont="1" applyFill="1" applyBorder="1" applyAlignment="1" applyProtection="1">
      <alignment vertical="center"/>
    </xf>
    <xf numFmtId="177" fontId="59" fillId="6" borderId="1" xfId="1" applyNumberFormat="1" applyFont="1" applyFill="1" applyBorder="1" applyAlignment="1" applyProtection="1">
      <alignment horizontal="right" vertical="center"/>
    </xf>
    <xf numFmtId="0" fontId="59" fillId="6" borderId="13" xfId="1" applyFont="1" applyFill="1" applyBorder="1" applyAlignment="1" applyProtection="1">
      <alignment vertical="center"/>
    </xf>
    <xf numFmtId="0" fontId="59" fillId="6" borderId="13" xfId="1" applyFont="1" applyFill="1" applyBorder="1" applyAlignment="1" applyProtection="1">
      <alignment horizontal="right" vertical="center"/>
    </xf>
    <xf numFmtId="49" fontId="59" fillId="6" borderId="51" xfId="1" applyNumberFormat="1" applyFont="1" applyFill="1" applyBorder="1" applyAlignment="1" applyProtection="1"/>
    <xf numFmtId="49" fontId="59" fillId="6" borderId="20" xfId="1" applyNumberFormat="1" applyFont="1" applyFill="1" applyBorder="1" applyAlignment="1" applyProtection="1"/>
    <xf numFmtId="49" fontId="59" fillId="6" borderId="21" xfId="1" applyNumberFormat="1" applyFont="1" applyFill="1" applyBorder="1" applyAlignment="1" applyProtection="1"/>
    <xf numFmtId="0" fontId="59" fillId="3" borderId="0" xfId="0" applyFont="1" applyFill="1" applyAlignment="1" applyProtection="1">
      <alignment vertical="center"/>
      <protection locked="0"/>
    </xf>
    <xf numFmtId="0" fontId="56" fillId="6" borderId="23" xfId="1" applyFont="1" applyFill="1" applyBorder="1" applyAlignment="1" applyProtection="1">
      <alignment horizontal="left"/>
    </xf>
    <xf numFmtId="0" fontId="56" fillId="6" borderId="5" xfId="1" applyFont="1" applyFill="1" applyBorder="1" applyAlignment="1" applyProtection="1"/>
    <xf numFmtId="177" fontId="56" fillId="6" borderId="1" xfId="1" applyNumberFormat="1" applyFont="1" applyFill="1" applyBorder="1" applyAlignment="1" applyProtection="1">
      <alignment horizontal="center"/>
    </xf>
    <xf numFmtId="0" fontId="56" fillId="6" borderId="1" xfId="1" applyFont="1" applyFill="1" applyBorder="1" applyAlignment="1" applyProtection="1">
      <alignment horizontal="center"/>
    </xf>
    <xf numFmtId="0" fontId="56" fillId="6" borderId="24" xfId="1" applyFont="1" applyFill="1" applyBorder="1" applyAlignment="1" applyProtection="1">
      <alignment horizontal="left"/>
    </xf>
    <xf numFmtId="0" fontId="56" fillId="3" borderId="0" xfId="0" applyFont="1" applyFill="1" applyAlignment="1" applyProtection="1">
      <alignment vertical="center"/>
      <protection locked="0"/>
    </xf>
    <xf numFmtId="0" fontId="55" fillId="6" borderId="5" xfId="1" applyFont="1" applyFill="1" applyBorder="1" applyAlignment="1" applyProtection="1"/>
    <xf numFmtId="177" fontId="55" fillId="0" borderId="1" xfId="1" applyNumberFormat="1" applyFont="1" applyFill="1" applyBorder="1" applyAlignment="1" applyProtection="1">
      <alignment horizontal="center"/>
      <protection locked="0"/>
    </xf>
    <xf numFmtId="179" fontId="55" fillId="6" borderId="1" xfId="1" applyNumberFormat="1" applyFont="1" applyFill="1" applyBorder="1" applyAlignment="1" applyProtection="1">
      <alignment horizontal="center"/>
    </xf>
    <xf numFmtId="0" fontId="55" fillId="6" borderId="1" xfId="1" applyFont="1" applyFill="1" applyBorder="1" applyAlignment="1" applyProtection="1">
      <alignment horizontal="center"/>
    </xf>
    <xf numFmtId="0" fontId="55" fillId="6" borderId="24" xfId="1" applyFont="1" applyFill="1" applyBorder="1" applyAlignment="1" applyProtection="1">
      <alignment horizontal="left"/>
    </xf>
    <xf numFmtId="177" fontId="55" fillId="6" borderId="1" xfId="1" applyNumberFormat="1" applyFont="1" applyFill="1" applyBorder="1" applyAlignment="1" applyProtection="1">
      <alignment horizontal="center"/>
    </xf>
    <xf numFmtId="10" fontId="55" fillId="6" borderId="1" xfId="1" applyNumberFormat="1" applyFont="1" applyFill="1" applyBorder="1" applyAlignment="1" applyProtection="1">
      <alignment horizontal="center"/>
    </xf>
    <xf numFmtId="177" fontId="55" fillId="6" borderId="1" xfId="1" applyNumberFormat="1" applyFont="1" applyFill="1" applyBorder="1" applyAlignment="1" applyProtection="1"/>
    <xf numFmtId="0" fontId="56" fillId="0" borderId="0" xfId="0" applyFont="1" applyFill="1" applyAlignment="1" applyProtection="1">
      <alignment vertical="center"/>
      <protection locked="0"/>
    </xf>
    <xf numFmtId="0" fontId="61" fillId="6" borderId="5" xfId="1" applyFont="1" applyFill="1" applyBorder="1" applyAlignment="1" applyProtection="1"/>
    <xf numFmtId="177" fontId="61" fillId="6" borderId="1" xfId="1" applyNumberFormat="1" applyFont="1" applyFill="1" applyBorder="1" applyAlignment="1" applyProtection="1">
      <alignment horizontal="center"/>
    </xf>
    <xf numFmtId="0" fontId="55" fillId="6" borderId="24" xfId="1" applyFont="1" applyFill="1" applyBorder="1" applyAlignment="1" applyProtection="1">
      <alignment vertical="center" wrapText="1"/>
    </xf>
    <xf numFmtId="0" fontId="55" fillId="6" borderId="23" xfId="1" applyFont="1" applyFill="1" applyBorder="1" applyAlignment="1" applyProtection="1">
      <alignment horizontal="left"/>
    </xf>
    <xf numFmtId="0" fontId="55" fillId="6" borderId="0" xfId="1" applyFont="1" applyFill="1" applyBorder="1" applyAlignment="1" applyProtection="1">
      <alignment horizontal="center"/>
    </xf>
    <xf numFmtId="0" fontId="55" fillId="6" borderId="1" xfId="0" applyFont="1" applyFill="1" applyBorder="1" applyProtection="1">
      <alignment vertical="center"/>
    </xf>
    <xf numFmtId="179" fontId="56" fillId="6" borderId="1" xfId="1" applyNumberFormat="1" applyFont="1" applyFill="1" applyBorder="1" applyAlignment="1" applyProtection="1">
      <alignment horizontal="center"/>
    </xf>
    <xf numFmtId="9" fontId="56" fillId="6" borderId="5" xfId="1" applyNumberFormat="1" applyFont="1" applyFill="1" applyBorder="1" applyAlignment="1" applyProtection="1">
      <alignment horizontal="center"/>
    </xf>
    <xf numFmtId="0" fontId="56" fillId="6" borderId="1" xfId="0" applyFont="1" applyFill="1" applyBorder="1" applyAlignment="1" applyProtection="1">
      <alignment horizontal="center" vertical="center"/>
    </xf>
    <xf numFmtId="10" fontId="56" fillId="6" borderId="5" xfId="1" applyNumberFormat="1" applyFont="1" applyFill="1" applyBorder="1" applyAlignment="1" applyProtection="1">
      <alignment horizontal="center"/>
    </xf>
    <xf numFmtId="0" fontId="56" fillId="6" borderId="24" xfId="0" applyFont="1" applyFill="1" applyBorder="1" applyAlignment="1" applyProtection="1">
      <alignment vertical="center"/>
    </xf>
    <xf numFmtId="0" fontId="56" fillId="6" borderId="1" xfId="0" applyFont="1" applyFill="1" applyBorder="1" applyAlignment="1" applyProtection="1">
      <alignment horizontal="right" vertical="center"/>
    </xf>
    <xf numFmtId="0" fontId="56" fillId="6" borderId="1" xfId="0" applyFont="1" applyFill="1" applyBorder="1" applyAlignment="1" applyProtection="1">
      <alignment horizontal="left" vertical="center"/>
    </xf>
    <xf numFmtId="10" fontId="56" fillId="6" borderId="5" xfId="1" applyNumberFormat="1" applyFont="1" applyFill="1" applyBorder="1" applyAlignment="1" applyProtection="1">
      <alignment horizontal="center" vertical="center"/>
    </xf>
    <xf numFmtId="0" fontId="55" fillId="6" borderId="1" xfId="0" applyFont="1" applyFill="1" applyBorder="1" applyAlignment="1" applyProtection="1">
      <alignment horizontal="center" vertical="center"/>
    </xf>
    <xf numFmtId="179" fontId="55" fillId="6" borderId="5" xfId="1" applyNumberFormat="1" applyFont="1" applyFill="1" applyBorder="1" applyAlignment="1" applyProtection="1">
      <alignment horizontal="center" vertical="center"/>
    </xf>
    <xf numFmtId="0" fontId="55" fillId="6" borderId="24" xfId="0" applyFont="1" applyFill="1" applyBorder="1" applyAlignment="1" applyProtection="1">
      <alignment vertical="center"/>
    </xf>
    <xf numFmtId="0" fontId="56" fillId="6" borderId="1" xfId="0" applyFont="1" applyFill="1" applyBorder="1" applyAlignment="1" applyProtection="1">
      <alignment vertical="center"/>
    </xf>
    <xf numFmtId="0" fontId="55" fillId="6" borderId="61" xfId="0" applyFont="1" applyFill="1" applyBorder="1" applyAlignment="1" applyProtection="1">
      <alignment vertical="center" wrapText="1"/>
    </xf>
    <xf numFmtId="0" fontId="55" fillId="6" borderId="8" xfId="0" applyFont="1" applyFill="1" applyBorder="1" applyAlignment="1" applyProtection="1">
      <alignment vertical="center"/>
    </xf>
    <xf numFmtId="0" fontId="56" fillId="6" borderId="5" xfId="1" applyFont="1" applyFill="1" applyBorder="1" applyAlignment="1" applyProtection="1">
      <alignment vertical="center"/>
    </xf>
    <xf numFmtId="177" fontId="56" fillId="6" borderId="1" xfId="1" applyNumberFormat="1" applyFont="1" applyFill="1" applyBorder="1" applyAlignment="1" applyProtection="1">
      <alignment horizontal="center" vertical="center"/>
    </xf>
    <xf numFmtId="9" fontId="56" fillId="6" borderId="5" xfId="1" applyNumberFormat="1" applyFont="1" applyFill="1" applyBorder="1" applyAlignment="1" applyProtection="1">
      <alignment horizontal="center" vertical="center"/>
    </xf>
    <xf numFmtId="0" fontId="56" fillId="6" borderId="24" xfId="0" applyFont="1" applyFill="1" applyBorder="1" applyAlignment="1" applyProtection="1">
      <alignment vertical="center" wrapText="1"/>
    </xf>
    <xf numFmtId="0" fontId="55" fillId="6" borderId="5" xfId="1" applyFont="1" applyFill="1" applyBorder="1" applyAlignment="1" applyProtection="1">
      <alignment horizontal="left"/>
    </xf>
    <xf numFmtId="177" fontId="55" fillId="6" borderId="1" xfId="1" applyNumberFormat="1" applyFont="1" applyFill="1" applyBorder="1" applyAlignment="1" applyProtection="1">
      <alignment horizontal="center" vertical="center"/>
    </xf>
    <xf numFmtId="9" fontId="56" fillId="6" borderId="1" xfId="1" applyNumberFormat="1" applyFont="1" applyFill="1" applyBorder="1" applyAlignment="1" applyProtection="1">
      <alignment horizontal="center"/>
    </xf>
    <xf numFmtId="0" fontId="55" fillId="3" borderId="0" xfId="0" applyFont="1" applyFill="1" applyAlignment="1" applyProtection="1">
      <alignment vertical="center"/>
      <protection locked="0"/>
    </xf>
    <xf numFmtId="49" fontId="59" fillId="6" borderId="37" xfId="1" applyNumberFormat="1" applyFont="1" applyFill="1" applyBorder="1" applyAlignment="1" applyProtection="1"/>
    <xf numFmtId="49" fontId="59" fillId="6" borderId="54" xfId="1" applyNumberFormat="1" applyFont="1" applyFill="1" applyBorder="1" applyAlignment="1" applyProtection="1"/>
    <xf numFmtId="49" fontId="59" fillId="6" borderId="48" xfId="1" applyNumberFormat="1" applyFont="1" applyFill="1" applyBorder="1" applyAlignment="1" applyProtection="1"/>
    <xf numFmtId="49" fontId="56" fillId="6" borderId="23" xfId="1" applyNumberFormat="1" applyFont="1" applyFill="1" applyBorder="1" applyAlignment="1" applyProtection="1">
      <alignment horizontal="left"/>
    </xf>
    <xf numFmtId="177" fontId="56" fillId="6" borderId="1" xfId="0" applyNumberFormat="1" applyFont="1" applyFill="1" applyBorder="1" applyAlignment="1" applyProtection="1">
      <alignment horizontal="center" vertical="center"/>
    </xf>
    <xf numFmtId="181" fontId="56" fillId="6" borderId="5" xfId="1" applyNumberFormat="1" applyFont="1" applyFill="1" applyBorder="1" applyAlignment="1" applyProtection="1">
      <alignment horizontal="center"/>
    </xf>
    <xf numFmtId="0" fontId="55" fillId="0" borderId="0" xfId="0" applyFont="1" applyFill="1" applyAlignment="1" applyProtection="1">
      <alignment vertical="center"/>
      <protection locked="0"/>
    </xf>
    <xf numFmtId="10" fontId="55" fillId="6" borderId="5" xfId="1" applyNumberFormat="1" applyFont="1" applyFill="1" applyBorder="1" applyAlignment="1" applyProtection="1">
      <alignment horizontal="center"/>
    </xf>
    <xf numFmtId="0" fontId="55" fillId="6" borderId="24" xfId="0" applyFont="1" applyFill="1" applyBorder="1" applyAlignment="1" applyProtection="1">
      <alignment vertical="center" wrapText="1"/>
    </xf>
    <xf numFmtId="0" fontId="55" fillId="6" borderId="24" xfId="1" applyFont="1" applyFill="1" applyBorder="1" applyAlignment="1" applyProtection="1">
      <alignment horizontal="left" vertical="center"/>
    </xf>
    <xf numFmtId="10" fontId="56" fillId="6" borderId="1" xfId="0" applyNumberFormat="1" applyFont="1" applyFill="1" applyBorder="1" applyAlignment="1" applyProtection="1">
      <alignment horizontal="right" vertical="center"/>
    </xf>
    <xf numFmtId="185" fontId="56" fillId="6" borderId="1" xfId="0" applyNumberFormat="1" applyFont="1" applyFill="1" applyBorder="1" applyAlignment="1" applyProtection="1">
      <alignment horizontal="right" vertical="center"/>
    </xf>
    <xf numFmtId="10" fontId="56" fillId="6" borderId="1" xfId="1" applyNumberFormat="1" applyFont="1" applyFill="1" applyBorder="1" applyAlignment="1" applyProtection="1">
      <alignment horizontal="center" vertical="center"/>
    </xf>
    <xf numFmtId="49" fontId="59" fillId="6" borderId="38" xfId="1" applyNumberFormat="1" applyFont="1" applyFill="1" applyBorder="1" applyAlignment="1" applyProtection="1"/>
    <xf numFmtId="49" fontId="59" fillId="6" borderId="52" xfId="1" applyNumberFormat="1" applyFont="1" applyFill="1" applyBorder="1" applyAlignment="1" applyProtection="1"/>
    <xf numFmtId="177" fontId="56" fillId="6" borderId="32" xfId="0" applyNumberFormat="1" applyFont="1" applyFill="1" applyBorder="1" applyAlignment="1" applyProtection="1">
      <alignment horizontal="center" vertical="center"/>
    </xf>
    <xf numFmtId="49" fontId="59" fillId="6" borderId="68" xfId="1" applyNumberFormat="1" applyFont="1" applyFill="1" applyBorder="1" applyAlignment="1" applyProtection="1"/>
    <xf numFmtId="0" fontId="55" fillId="3" borderId="0" xfId="0" applyFont="1" applyFill="1" applyAlignment="1" applyProtection="1">
      <alignment horizontal="left" vertical="center"/>
      <protection locked="0"/>
    </xf>
    <xf numFmtId="0" fontId="62" fillId="6" borderId="1" xfId="0" applyFont="1" applyFill="1" applyBorder="1" applyAlignment="1" applyProtection="1">
      <alignment horizontal="left"/>
    </xf>
    <xf numFmtId="0" fontId="60" fillId="6" borderId="1" xfId="0" applyFont="1" applyFill="1" applyBorder="1" applyAlignment="1" applyProtection="1">
      <alignment horizontal="center" vertical="center"/>
    </xf>
    <xf numFmtId="0" fontId="55" fillId="3" borderId="0" xfId="0" applyFont="1" applyFill="1" applyAlignment="1" applyProtection="1">
      <alignment horizontal="center" vertical="center"/>
      <protection locked="0"/>
    </xf>
    <xf numFmtId="0" fontId="49" fillId="6" borderId="1" xfId="0" applyFont="1" applyFill="1" applyBorder="1" applyAlignment="1" applyProtection="1"/>
    <xf numFmtId="181" fontId="55" fillId="6" borderId="1" xfId="0" applyNumberFormat="1" applyFont="1" applyFill="1" applyBorder="1" applyAlignment="1" applyProtection="1">
      <alignment horizontal="center"/>
    </xf>
    <xf numFmtId="181" fontId="49" fillId="6" borderId="1" xfId="0" applyNumberFormat="1" applyFont="1" applyFill="1" applyBorder="1" applyAlignment="1" applyProtection="1">
      <alignment horizontal="center"/>
    </xf>
    <xf numFmtId="0" fontId="47" fillId="6" borderId="0" xfId="1" applyFont="1" applyFill="1" applyBorder="1" applyAlignment="1" applyProtection="1">
      <alignment vertical="center"/>
    </xf>
    <xf numFmtId="176" fontId="103" fillId="6" borderId="1" xfId="0" applyNumberFormat="1" applyFont="1" applyFill="1" applyBorder="1" applyAlignment="1" applyProtection="1">
      <alignment horizontal="center" vertical="center"/>
    </xf>
    <xf numFmtId="176" fontId="103" fillId="6" borderId="24" xfId="0" applyNumberFormat="1" applyFont="1" applyFill="1" applyBorder="1" applyAlignment="1" applyProtection="1">
      <alignment horizontal="center" vertical="center"/>
    </xf>
    <xf numFmtId="177" fontId="49" fillId="6" borderId="1" xfId="0" applyNumberFormat="1" applyFont="1" applyFill="1" applyBorder="1" applyAlignment="1" applyProtection="1">
      <alignment horizontal="center" vertical="center"/>
    </xf>
    <xf numFmtId="0" fontId="48" fillId="6" borderId="1" xfId="0" applyFont="1" applyFill="1" applyBorder="1" applyAlignment="1" applyProtection="1">
      <alignment horizontal="right" vertical="center"/>
    </xf>
    <xf numFmtId="177" fontId="48" fillId="6" borderId="1" xfId="1" applyNumberFormat="1" applyFont="1" applyFill="1" applyBorder="1" applyAlignment="1" applyProtection="1">
      <alignment vertical="center"/>
    </xf>
    <xf numFmtId="177" fontId="48" fillId="6" borderId="54" xfId="1" applyNumberFormat="1" applyFont="1" applyFill="1" applyBorder="1" applyAlignment="1" applyProtection="1">
      <alignment vertical="center"/>
    </xf>
    <xf numFmtId="10" fontId="48" fillId="6" borderId="13" xfId="0" applyNumberFormat="1" applyFont="1" applyFill="1" applyBorder="1" applyAlignment="1" applyProtection="1">
      <alignment horizontal="center" vertical="center"/>
    </xf>
    <xf numFmtId="187" fontId="49" fillId="6" borderId="1" xfId="0" applyNumberFormat="1" applyFont="1" applyFill="1" applyBorder="1" applyAlignment="1" applyProtection="1">
      <alignment horizontal="center" vertical="center"/>
    </xf>
    <xf numFmtId="177" fontId="49" fillId="6" borderId="54" xfId="1" applyNumberFormat="1" applyFont="1" applyFill="1" applyBorder="1" applyAlignment="1" applyProtection="1">
      <alignment vertical="center"/>
    </xf>
    <xf numFmtId="10" fontId="49" fillId="6" borderId="13" xfId="0" applyNumberFormat="1" applyFont="1" applyFill="1" applyBorder="1" applyAlignment="1" applyProtection="1">
      <alignment horizontal="center" vertical="center"/>
    </xf>
    <xf numFmtId="177" fontId="48" fillId="6" borderId="3" xfId="0" applyNumberFormat="1" applyFont="1" applyFill="1" applyBorder="1" applyAlignment="1" applyProtection="1">
      <alignment horizontal="center" vertical="center" wrapText="1"/>
    </xf>
    <xf numFmtId="10" fontId="48" fillId="6" borderId="1" xfId="0" applyNumberFormat="1" applyFont="1" applyFill="1" applyBorder="1" applyAlignment="1" applyProtection="1">
      <alignment horizontal="center" vertical="center" wrapText="1"/>
    </xf>
    <xf numFmtId="0" fontId="51" fillId="3" borderId="0" xfId="0" applyFont="1" applyFill="1" applyAlignment="1" applyProtection="1">
      <alignment vertical="center" wrapText="1"/>
      <protection locked="0"/>
    </xf>
    <xf numFmtId="10" fontId="49" fillId="6" borderId="1" xfId="0" applyNumberFormat="1" applyFont="1" applyFill="1" applyBorder="1" applyAlignment="1" applyProtection="1">
      <alignment horizontal="center" vertical="center" wrapText="1"/>
    </xf>
    <xf numFmtId="0" fontId="50" fillId="3" borderId="0" xfId="0" applyFont="1" applyFill="1" applyAlignment="1" applyProtection="1">
      <alignment vertical="center" wrapText="1"/>
      <protection locked="0"/>
    </xf>
    <xf numFmtId="177" fontId="49" fillId="6" borderId="1" xfId="0" applyNumberFormat="1" applyFont="1" applyFill="1" applyBorder="1" applyAlignment="1" applyProtection="1">
      <alignment horizontal="center" vertical="center" wrapText="1"/>
    </xf>
    <xf numFmtId="0" fontId="65" fillId="0" borderId="0" xfId="0" applyFont="1" applyFill="1" applyAlignment="1" applyProtection="1">
      <alignment vertical="center"/>
      <protection locked="0"/>
    </xf>
    <xf numFmtId="0" fontId="47" fillId="6" borderId="1" xfId="0" applyFont="1" applyFill="1" applyBorder="1" applyAlignment="1" applyProtection="1">
      <alignment horizontal="center" vertical="center"/>
    </xf>
    <xf numFmtId="49" fontId="49" fillId="6" borderId="6" xfId="0" applyNumberFormat="1" applyFont="1" applyFill="1" applyBorder="1" applyAlignment="1" applyProtection="1">
      <alignment horizontal="center" vertical="center"/>
    </xf>
    <xf numFmtId="0" fontId="49" fillId="6" borderId="9" xfId="0" applyFont="1" applyFill="1" applyBorder="1" applyAlignment="1" applyProtection="1">
      <alignment horizontal="center" vertical="center"/>
    </xf>
    <xf numFmtId="0" fontId="49" fillId="6" borderId="28" xfId="0" applyFont="1" applyFill="1" applyBorder="1" applyAlignment="1" applyProtection="1">
      <alignment horizontal="right" vertical="center"/>
    </xf>
    <xf numFmtId="0" fontId="49" fillId="6" borderId="21" xfId="0" applyFont="1" applyFill="1" applyBorder="1" applyAlignment="1" applyProtection="1">
      <alignment horizontal="center" vertical="center"/>
    </xf>
    <xf numFmtId="49" fontId="54" fillId="6" borderId="11" xfId="0" applyNumberFormat="1" applyFont="1" applyFill="1" applyBorder="1" applyAlignment="1" applyProtection="1">
      <alignment vertical="center"/>
    </xf>
    <xf numFmtId="0" fontId="54" fillId="6" borderId="13" xfId="0" applyFont="1" applyFill="1" applyBorder="1" applyAlignment="1" applyProtection="1">
      <alignment vertical="center" wrapText="1"/>
    </xf>
    <xf numFmtId="0" fontId="54" fillId="6" borderId="13" xfId="0" applyFont="1" applyFill="1" applyBorder="1" applyAlignment="1" applyProtection="1">
      <alignment horizontal="center" vertical="center"/>
    </xf>
    <xf numFmtId="0" fontId="49" fillId="6" borderId="1" xfId="0" applyFont="1" applyFill="1" applyBorder="1" applyAlignment="1" applyProtection="1">
      <alignment horizontal="left" vertical="center"/>
    </xf>
    <xf numFmtId="0" fontId="54" fillId="6" borderId="24" xfId="0" applyFont="1" applyFill="1" applyBorder="1" applyAlignment="1" applyProtection="1">
      <alignment horizontal="center" vertical="center"/>
    </xf>
    <xf numFmtId="49" fontId="54" fillId="6" borderId="14" xfId="0" applyNumberFormat="1" applyFont="1" applyFill="1" applyBorder="1" applyAlignment="1" applyProtection="1">
      <alignment vertical="center"/>
    </xf>
    <xf numFmtId="0" fontId="54" fillId="6" borderId="15" xfId="0" applyFont="1" applyFill="1" applyBorder="1" applyAlignment="1" applyProtection="1">
      <alignment vertical="center" wrapText="1"/>
    </xf>
    <xf numFmtId="0" fontId="54" fillId="6" borderId="15" xfId="0" applyFont="1" applyFill="1" applyBorder="1" applyAlignment="1" applyProtection="1">
      <alignment horizontal="center" vertical="center"/>
    </xf>
    <xf numFmtId="0" fontId="49" fillId="6" borderId="15" xfId="0" applyFont="1" applyFill="1" applyBorder="1" applyAlignment="1" applyProtection="1">
      <alignment vertical="center"/>
    </xf>
    <xf numFmtId="49" fontId="54" fillId="6" borderId="41" xfId="0" applyNumberFormat="1" applyFont="1" applyFill="1" applyBorder="1" applyAlignment="1" applyProtection="1">
      <alignment vertical="center"/>
    </xf>
    <xf numFmtId="0" fontId="54" fillId="6" borderId="2" xfId="0" applyFont="1" applyFill="1" applyBorder="1" applyAlignment="1" applyProtection="1">
      <alignment vertical="center" wrapText="1"/>
    </xf>
    <xf numFmtId="0" fontId="54" fillId="6" borderId="2" xfId="0" applyFont="1" applyFill="1" applyBorder="1" applyAlignment="1" applyProtection="1">
      <alignment horizontal="center" vertical="center"/>
    </xf>
    <xf numFmtId="0" fontId="49" fillId="6" borderId="2" xfId="0" applyFont="1" applyFill="1" applyBorder="1" applyAlignment="1" applyProtection="1">
      <alignment vertical="center"/>
    </xf>
    <xf numFmtId="181" fontId="54" fillId="6" borderId="24" xfId="0" applyNumberFormat="1" applyFont="1" applyFill="1" applyBorder="1" applyAlignment="1" applyProtection="1">
      <alignment horizontal="center" vertical="center"/>
    </xf>
    <xf numFmtId="0" fontId="49" fillId="6" borderId="13" xfId="0" applyFont="1" applyFill="1" applyBorder="1" applyAlignment="1" applyProtection="1">
      <alignment horizontal="left" vertical="center"/>
    </xf>
    <xf numFmtId="181" fontId="54" fillId="6" borderId="61" xfId="0" applyNumberFormat="1" applyFont="1" applyFill="1" applyBorder="1" applyAlignment="1" applyProtection="1">
      <alignment horizontal="center" vertical="center"/>
    </xf>
    <xf numFmtId="49" fontId="54" fillId="6" borderId="23" xfId="0" applyNumberFormat="1" applyFont="1" applyFill="1" applyBorder="1" applyAlignment="1" applyProtection="1">
      <alignment horizontal="left" vertical="center"/>
    </xf>
    <xf numFmtId="0" fontId="54" fillId="6" borderId="1" xfId="0" applyFont="1" applyFill="1" applyBorder="1" applyAlignment="1" applyProtection="1">
      <alignment horizontal="center" vertical="center"/>
    </xf>
    <xf numFmtId="181" fontId="49" fillId="6" borderId="61" xfId="0" applyNumberFormat="1" applyFont="1" applyFill="1" applyBorder="1" applyAlignment="1" applyProtection="1">
      <alignment horizontal="center" vertical="center"/>
    </xf>
    <xf numFmtId="0" fontId="103" fillId="6" borderId="5" xfId="0" applyFont="1" applyFill="1" applyBorder="1" applyAlignment="1" applyProtection="1">
      <alignment horizontal="center" vertical="center"/>
    </xf>
    <xf numFmtId="179" fontId="54" fillId="6" borderId="48" xfId="0" applyNumberFormat="1" applyFont="1" applyFill="1" applyBorder="1" applyAlignment="1" applyProtection="1">
      <alignment horizontal="center" vertical="center"/>
    </xf>
    <xf numFmtId="0" fontId="49" fillId="6" borderId="2" xfId="0" applyFont="1" applyFill="1" applyBorder="1" applyAlignment="1" applyProtection="1">
      <alignment horizontal="left" vertical="center"/>
    </xf>
    <xf numFmtId="181" fontId="49" fillId="6" borderId="8" xfId="0" applyNumberFormat="1" applyFont="1" applyFill="1" applyBorder="1" applyAlignment="1" applyProtection="1">
      <alignment horizontal="center" vertical="center"/>
    </xf>
    <xf numFmtId="181" fontId="49" fillId="6" borderId="24" xfId="0" applyNumberFormat="1" applyFont="1" applyFill="1" applyBorder="1" applyAlignment="1" applyProtection="1">
      <alignment horizontal="center" vertical="center"/>
    </xf>
    <xf numFmtId="0" fontId="49" fillId="6" borderId="1" xfId="0" applyFont="1" applyFill="1" applyBorder="1" applyAlignment="1" applyProtection="1">
      <alignment vertical="center" wrapText="1"/>
    </xf>
    <xf numFmtId="0" fontId="49" fillId="6" borderId="13" xfId="0" applyFont="1" applyFill="1" applyBorder="1" applyAlignment="1" applyProtection="1">
      <alignment horizontal="left" vertical="center" wrapText="1"/>
    </xf>
    <xf numFmtId="0" fontId="49" fillId="6" borderId="24" xfId="0" applyFont="1" applyFill="1" applyBorder="1" applyAlignment="1" applyProtection="1">
      <alignment horizontal="center" vertical="center"/>
    </xf>
    <xf numFmtId="49" fontId="49" fillId="6" borderId="41" xfId="0" applyNumberFormat="1" applyFont="1" applyFill="1" applyBorder="1" applyAlignment="1" applyProtection="1">
      <alignment vertical="center"/>
    </xf>
    <xf numFmtId="0" fontId="49" fillId="6" borderId="2" xfId="0" applyFont="1" applyFill="1" applyBorder="1" applyAlignment="1" applyProtection="1">
      <alignment horizontal="left" vertical="center" wrapText="1"/>
    </xf>
    <xf numFmtId="10" fontId="54" fillId="6" borderId="24" xfId="0" applyNumberFormat="1" applyFont="1" applyFill="1" applyBorder="1" applyAlignment="1" applyProtection="1">
      <alignment horizontal="center" vertical="center"/>
    </xf>
    <xf numFmtId="0" fontId="49" fillId="6" borderId="1" xfId="0" applyFont="1" applyFill="1" applyBorder="1" applyAlignment="1" applyProtection="1">
      <alignment vertical="center"/>
    </xf>
    <xf numFmtId="183" fontId="54" fillId="6" borderId="24" xfId="0" applyNumberFormat="1" applyFont="1" applyFill="1" applyBorder="1" applyAlignment="1" applyProtection="1">
      <alignment horizontal="center" vertical="center"/>
    </xf>
    <xf numFmtId="10" fontId="49" fillId="6" borderId="24" xfId="0" applyNumberFormat="1" applyFont="1" applyFill="1" applyBorder="1" applyAlignment="1" applyProtection="1">
      <alignment horizontal="center" vertical="center"/>
    </xf>
    <xf numFmtId="0" fontId="49" fillId="6" borderId="15" xfId="0" applyFont="1" applyFill="1" applyBorder="1" applyAlignment="1" applyProtection="1">
      <alignment horizontal="left" vertical="center" wrapText="1"/>
    </xf>
    <xf numFmtId="179" fontId="54" fillId="6" borderId="24" xfId="0" applyNumberFormat="1" applyFont="1" applyFill="1" applyBorder="1" applyAlignment="1" applyProtection="1">
      <alignment horizontal="center" vertical="center"/>
    </xf>
    <xf numFmtId="49" fontId="54" fillId="6" borderId="25" xfId="0" applyNumberFormat="1" applyFont="1" applyFill="1" applyBorder="1" applyAlignment="1" applyProtection="1">
      <alignment horizontal="left" vertical="center"/>
    </xf>
    <xf numFmtId="0" fontId="54" fillId="6" borderId="32" xfId="0" applyFont="1" applyFill="1" applyBorder="1" applyAlignment="1" applyProtection="1">
      <alignment horizontal="left" vertical="center"/>
    </xf>
    <xf numFmtId="0" fontId="54" fillId="6" borderId="32" xfId="0" applyFont="1" applyFill="1" applyBorder="1" applyAlignment="1" applyProtection="1">
      <alignment horizontal="center" vertical="center"/>
    </xf>
    <xf numFmtId="0" fontId="49" fillId="6" borderId="32" xfId="0" applyFont="1" applyFill="1" applyBorder="1" applyAlignment="1" applyProtection="1">
      <alignment vertical="center"/>
    </xf>
    <xf numFmtId="0" fontId="49" fillId="6" borderId="32" xfId="0" applyFont="1" applyFill="1" applyBorder="1" applyAlignment="1" applyProtection="1">
      <alignment horizontal="left" vertical="center"/>
    </xf>
    <xf numFmtId="179" fontId="54" fillId="6" borderId="49" xfId="0" applyNumberFormat="1" applyFont="1" applyFill="1" applyBorder="1" applyAlignment="1" applyProtection="1">
      <alignment horizontal="center" vertical="center"/>
    </xf>
    <xf numFmtId="0" fontId="55" fillId="6" borderId="1" xfId="0" applyFont="1" applyFill="1" applyBorder="1" applyAlignment="1" applyProtection="1">
      <alignment horizontal="left"/>
    </xf>
    <xf numFmtId="186" fontId="55" fillId="6" borderId="1" xfId="0" applyNumberFormat="1" applyFont="1" applyFill="1" applyBorder="1" applyAlignment="1" applyProtection="1">
      <alignment horizontal="center"/>
    </xf>
    <xf numFmtId="0" fontId="55" fillId="6" borderId="1" xfId="0" applyFont="1" applyFill="1" applyBorder="1" applyAlignment="1" applyProtection="1">
      <alignment vertical="center" wrapText="1"/>
    </xf>
    <xf numFmtId="181" fontId="54" fillId="6" borderId="1" xfId="0" applyNumberFormat="1" applyFont="1" applyFill="1" applyBorder="1" applyAlignment="1" applyProtection="1">
      <alignment horizontal="center" vertical="center"/>
    </xf>
    <xf numFmtId="0" fontId="106" fillId="6" borderId="1" xfId="0" applyFont="1" applyFill="1" applyBorder="1" applyAlignment="1" applyProtection="1">
      <alignment horizontal="left"/>
    </xf>
    <xf numFmtId="0" fontId="106" fillId="6" borderId="1" xfId="0" applyFont="1" applyFill="1" applyBorder="1" applyAlignment="1" applyProtection="1">
      <alignment horizontal="center"/>
    </xf>
    <xf numFmtId="0" fontId="62" fillId="6" borderId="1" xfId="0" applyFont="1" applyFill="1" applyBorder="1" applyAlignment="1" applyProtection="1">
      <alignment horizontal="center"/>
    </xf>
    <xf numFmtId="0" fontId="60" fillId="0" borderId="0" xfId="0" applyFont="1" applyFill="1" applyAlignment="1" applyProtection="1">
      <alignment horizontal="center" vertical="center"/>
      <protection locked="0"/>
    </xf>
    <xf numFmtId="0" fontId="105" fillId="6" borderId="46" xfId="0" applyFont="1" applyFill="1" applyBorder="1" applyAlignment="1" applyProtection="1">
      <alignment vertical="center"/>
    </xf>
    <xf numFmtId="0" fontId="64" fillId="6" borderId="36" xfId="0" applyFont="1" applyFill="1" applyBorder="1" applyAlignment="1" applyProtection="1">
      <alignment horizontal="right" vertical="center"/>
    </xf>
    <xf numFmtId="0" fontId="64" fillId="6" borderId="0" xfId="0" applyFont="1" applyFill="1" applyAlignment="1" applyProtection="1">
      <alignment horizontal="center" vertical="center"/>
    </xf>
    <xf numFmtId="0" fontId="65" fillId="0" borderId="0" xfId="0" applyFont="1" applyFill="1" applyAlignment="1" applyProtection="1">
      <alignment horizontal="center" vertical="center"/>
      <protection locked="0"/>
    </xf>
    <xf numFmtId="0" fontId="59" fillId="6" borderId="13" xfId="0" applyFont="1" applyFill="1" applyBorder="1" applyAlignment="1" applyProtection="1">
      <alignment horizontal="right" vertical="center"/>
    </xf>
    <xf numFmtId="0" fontId="59" fillId="6" borderId="13" xfId="0" applyFont="1" applyFill="1" applyBorder="1" applyAlignment="1" applyProtection="1">
      <alignment horizontal="center" vertical="center"/>
    </xf>
    <xf numFmtId="0" fontId="52" fillId="6" borderId="16" xfId="0" applyFont="1" applyFill="1" applyBorder="1" applyAlignment="1" applyProtection="1">
      <alignment vertical="center" wrapText="1"/>
    </xf>
    <xf numFmtId="0" fontId="52" fillId="6" borderId="19" xfId="0" applyFont="1" applyFill="1" applyBorder="1" applyAlignment="1" applyProtection="1">
      <alignment vertical="center" wrapText="1"/>
    </xf>
    <xf numFmtId="0" fontId="53" fillId="0" borderId="0" xfId="0" applyFont="1" applyFill="1" applyAlignment="1" applyProtection="1">
      <alignment horizontal="center" vertical="center"/>
      <protection locked="0"/>
    </xf>
    <xf numFmtId="0" fontId="52" fillId="6" borderId="18" xfId="0" applyFont="1" applyFill="1" applyBorder="1" applyAlignment="1" applyProtection="1">
      <alignment vertical="center" wrapText="1"/>
    </xf>
    <xf numFmtId="0" fontId="52" fillId="6" borderId="0" xfId="0" applyFont="1" applyFill="1" applyBorder="1" applyAlignment="1" applyProtection="1">
      <alignment vertical="center" wrapText="1"/>
    </xf>
    <xf numFmtId="0" fontId="52" fillId="6" borderId="42" xfId="0" applyFont="1" applyFill="1" applyBorder="1" applyAlignment="1" applyProtection="1">
      <alignment vertical="center" wrapText="1"/>
    </xf>
    <xf numFmtId="0" fontId="52" fillId="6" borderId="47" xfId="0" applyFont="1" applyFill="1" applyBorder="1" applyAlignment="1" applyProtection="1">
      <alignment vertical="center" wrapText="1"/>
    </xf>
    <xf numFmtId="0" fontId="48" fillId="6" borderId="63" xfId="0" applyFont="1" applyFill="1" applyBorder="1" applyAlignment="1" applyProtection="1">
      <alignment vertical="center" wrapText="1"/>
    </xf>
    <xf numFmtId="0" fontId="48" fillId="6" borderId="64" xfId="0" applyFont="1" applyFill="1" applyBorder="1" applyAlignment="1" applyProtection="1">
      <alignment vertical="center" wrapText="1"/>
    </xf>
    <xf numFmtId="184" fontId="46" fillId="6" borderId="26" xfId="0" applyNumberFormat="1" applyFont="1" applyFill="1" applyBorder="1" applyAlignment="1" applyProtection="1">
      <alignment horizontal="center" vertical="center" wrapText="1"/>
    </xf>
    <xf numFmtId="0" fontId="46" fillId="6" borderId="67" xfId="0" applyNumberFormat="1" applyFont="1" applyFill="1" applyBorder="1" applyAlignment="1" applyProtection="1">
      <alignment horizontal="center" vertical="center" wrapText="1"/>
    </xf>
    <xf numFmtId="184" fontId="46" fillId="0" borderId="70" xfId="0" applyNumberFormat="1" applyFont="1" applyFill="1" applyBorder="1" applyAlignment="1" applyProtection="1">
      <alignment horizontal="center" vertical="center" wrapText="1"/>
      <protection locked="0"/>
    </xf>
    <xf numFmtId="0" fontId="46" fillId="6" borderId="34"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48" fillId="6" borderId="40" xfId="0" applyFont="1" applyFill="1" applyBorder="1" applyAlignment="1" applyProtection="1">
      <alignment vertical="center" wrapText="1"/>
    </xf>
    <xf numFmtId="0" fontId="46" fillId="0" borderId="51" xfId="0" applyNumberFormat="1" applyFont="1" applyFill="1" applyBorder="1" applyAlignment="1" applyProtection="1">
      <alignment horizontal="center" vertical="center" wrapText="1"/>
      <protection locked="0"/>
    </xf>
    <xf numFmtId="49" fontId="46" fillId="2" borderId="30" xfId="0" applyNumberFormat="1" applyFont="1" applyFill="1" applyBorder="1" applyAlignment="1" applyProtection="1">
      <alignment horizontal="center" vertical="center" wrapText="1"/>
      <protection locked="0"/>
    </xf>
    <xf numFmtId="0" fontId="46" fillId="6" borderId="28" xfId="0" applyNumberFormat="1" applyFont="1" applyFill="1" applyBorder="1" applyAlignment="1" applyProtection="1">
      <alignment horizontal="center" vertical="center" wrapText="1"/>
    </xf>
    <xf numFmtId="49" fontId="46" fillId="2" borderId="6" xfId="0" applyNumberFormat="1" applyFont="1" applyFill="1" applyBorder="1" applyAlignment="1" applyProtection="1">
      <alignment horizontal="center" vertical="center" wrapText="1"/>
      <protection locked="0"/>
    </xf>
    <xf numFmtId="0" fontId="68" fillId="6" borderId="14" xfId="0" applyFont="1" applyFill="1" applyBorder="1" applyAlignment="1" applyProtection="1">
      <alignment vertical="center" wrapText="1"/>
    </xf>
    <xf numFmtId="0" fontId="46" fillId="6" borderId="5" xfId="0"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49" fontId="46" fillId="2" borderId="3" xfId="0" applyNumberFormat="1" applyFont="1" applyFill="1" applyBorder="1" applyAlignment="1" applyProtection="1">
      <alignment horizontal="center" vertical="center" wrapText="1"/>
      <protection locked="0"/>
    </xf>
    <xf numFmtId="0" fontId="46" fillId="6" borderId="5" xfId="0" applyNumberFormat="1" applyFont="1" applyFill="1" applyBorder="1" applyAlignment="1" applyProtection="1">
      <alignment horizontal="center" vertical="center" wrapText="1"/>
    </xf>
    <xf numFmtId="0" fontId="60" fillId="0" borderId="48" xfId="0" applyNumberFormat="1" applyFont="1" applyFill="1" applyBorder="1" applyAlignment="1" applyProtection="1">
      <alignment horizontal="center" vertical="center" wrapText="1"/>
      <protection locked="0"/>
    </xf>
    <xf numFmtId="0" fontId="69" fillId="0" borderId="0" xfId="0" applyFont="1" applyFill="1" applyAlignment="1" applyProtection="1">
      <alignment horizontal="center" vertical="center"/>
      <protection locked="0"/>
    </xf>
    <xf numFmtId="0" fontId="52" fillId="6" borderId="14" xfId="0" applyFont="1" applyFill="1" applyBorder="1" applyAlignment="1" applyProtection="1">
      <alignment vertical="center" wrapText="1"/>
    </xf>
    <xf numFmtId="0" fontId="46" fillId="0" borderId="23"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8" fillId="6" borderId="14" xfId="0" applyFont="1" applyFill="1" applyBorder="1" applyAlignment="1" applyProtection="1">
      <alignment vertical="center" wrapText="1"/>
    </xf>
    <xf numFmtId="0" fontId="46" fillId="0" borderId="41" xfId="0" applyNumberFormat="1" applyFont="1" applyFill="1" applyBorder="1" applyAlignment="1" applyProtection="1">
      <alignment horizontal="center" vertical="center" wrapText="1"/>
      <protection locked="0"/>
    </xf>
    <xf numFmtId="0" fontId="46" fillId="6" borderId="71" xfId="0" applyNumberFormat="1" applyFont="1" applyFill="1" applyBorder="1" applyAlignment="1" applyProtection="1">
      <alignment horizontal="center" vertical="center" wrapText="1"/>
    </xf>
    <xf numFmtId="0" fontId="53" fillId="0" borderId="37" xfId="0" applyNumberFormat="1" applyFont="1" applyFill="1" applyBorder="1" applyAlignment="1" applyProtection="1">
      <alignment horizontal="center" vertical="center" wrapText="1"/>
      <protection locked="0"/>
    </xf>
    <xf numFmtId="0" fontId="53" fillId="6" borderId="24" xfId="0" applyNumberFormat="1" applyFont="1" applyFill="1" applyBorder="1" applyAlignment="1" applyProtection="1">
      <alignment horizontal="center" vertical="center" wrapText="1"/>
    </xf>
    <xf numFmtId="0" fontId="52" fillId="6" borderId="12" xfId="0" applyFont="1" applyFill="1" applyBorder="1" applyAlignment="1" applyProtection="1">
      <alignment vertical="center" wrapText="1"/>
    </xf>
    <xf numFmtId="0" fontId="53" fillId="0" borderId="38" xfId="0" applyNumberFormat="1" applyFont="1" applyFill="1" applyBorder="1" applyAlignment="1" applyProtection="1">
      <alignment horizontal="center" vertical="center" wrapText="1"/>
      <protection locked="0"/>
    </xf>
    <xf numFmtId="0" fontId="53" fillId="6" borderId="49" xfId="0" applyNumberFormat="1" applyFont="1" applyFill="1" applyBorder="1" applyAlignment="1" applyProtection="1">
      <alignment horizontal="center" vertical="center" wrapText="1"/>
    </xf>
    <xf numFmtId="0" fontId="53" fillId="6" borderId="33" xfId="0" applyNumberFormat="1" applyFont="1" applyFill="1" applyBorder="1" applyAlignment="1" applyProtection="1">
      <alignment horizontal="center" vertical="center" wrapText="1"/>
    </xf>
    <xf numFmtId="0" fontId="52" fillId="6" borderId="40" xfId="0" applyFont="1" applyFill="1" applyBorder="1" applyAlignment="1" applyProtection="1">
      <alignment vertical="center" wrapText="1"/>
    </xf>
    <xf numFmtId="0" fontId="53" fillId="6" borderId="62" xfId="0" applyNumberFormat="1" applyFont="1" applyFill="1" applyBorder="1" applyAlignment="1" applyProtection="1">
      <alignment horizontal="center" vertical="center" wrapText="1"/>
    </xf>
    <xf numFmtId="49" fontId="53" fillId="0" borderId="39" xfId="0" applyNumberFormat="1" applyFont="1" applyFill="1" applyBorder="1" applyAlignment="1" applyProtection="1">
      <alignment horizontal="center" vertical="center" wrapText="1"/>
      <protection locked="0"/>
    </xf>
    <xf numFmtId="0" fontId="53" fillId="6" borderId="29" xfId="0" applyNumberFormat="1" applyFont="1" applyFill="1" applyBorder="1" applyAlignment="1" applyProtection="1">
      <alignment horizontal="center" vertical="center" wrapText="1"/>
    </xf>
    <xf numFmtId="49" fontId="53" fillId="0" borderId="40" xfId="0" applyNumberFormat="1" applyFont="1" applyFill="1" applyBorder="1" applyAlignment="1" applyProtection="1">
      <alignment horizontal="center" vertical="center" wrapText="1"/>
      <protection locked="0"/>
    </xf>
    <xf numFmtId="0" fontId="60" fillId="0" borderId="72" xfId="0" applyNumberFormat="1" applyFont="1" applyFill="1" applyBorder="1" applyAlignment="1" applyProtection="1">
      <alignment horizontal="center" vertical="center" wrapText="1"/>
      <protection locked="0"/>
    </xf>
    <xf numFmtId="0" fontId="53" fillId="6" borderId="0" xfId="0" applyFont="1" applyFill="1" applyBorder="1" applyAlignment="1" applyProtection="1">
      <alignment horizontal="center" vertical="center"/>
    </xf>
    <xf numFmtId="0" fontId="53" fillId="2" borderId="41" xfId="0" applyNumberFormat="1" applyFont="1" applyFill="1" applyBorder="1" applyAlignment="1" applyProtection="1">
      <alignment horizontal="center" vertical="center" wrapText="1"/>
      <protection locked="0"/>
    </xf>
    <xf numFmtId="0" fontId="53" fillId="6" borderId="8" xfId="0" applyNumberFormat="1" applyFont="1" applyFill="1" applyBorder="1" applyAlignment="1" applyProtection="1">
      <alignment horizontal="center" vertical="center" wrapText="1"/>
    </xf>
    <xf numFmtId="0" fontId="53" fillId="6" borderId="4" xfId="0" applyNumberFormat="1" applyFont="1" applyFill="1" applyBorder="1" applyAlignment="1" applyProtection="1">
      <alignment horizontal="center" vertical="center" wrapText="1"/>
    </xf>
    <xf numFmtId="0" fontId="53" fillId="6" borderId="53" xfId="0" applyNumberFormat="1" applyFont="1" applyFill="1" applyBorder="1" applyAlignment="1" applyProtection="1">
      <alignment horizontal="center" vertical="center" wrapText="1"/>
    </xf>
    <xf numFmtId="0" fontId="46" fillId="6" borderId="46" xfId="0" applyFont="1" applyFill="1" applyBorder="1" applyAlignment="1" applyProtection="1">
      <alignment horizontal="center" vertical="center" wrapText="1"/>
    </xf>
    <xf numFmtId="49" fontId="53" fillId="0" borderId="35" xfId="0" applyNumberFormat="1" applyFont="1" applyFill="1" applyBorder="1" applyAlignment="1" applyProtection="1">
      <alignment horizontal="center" vertical="center" wrapText="1"/>
      <protection locked="0"/>
    </xf>
    <xf numFmtId="0" fontId="53" fillId="6" borderId="58" xfId="0" applyNumberFormat="1" applyFont="1" applyFill="1" applyBorder="1" applyAlignment="1" applyProtection="1">
      <alignment horizontal="center" vertical="center" wrapText="1"/>
    </xf>
    <xf numFmtId="49" fontId="53" fillId="0" borderId="14" xfId="0" applyNumberFormat="1" applyFont="1" applyFill="1" applyBorder="1" applyAlignment="1" applyProtection="1">
      <alignment horizontal="center" vertical="center" wrapText="1"/>
      <protection locked="0"/>
    </xf>
    <xf numFmtId="0" fontId="53" fillId="6" borderId="61" xfId="0" applyNumberFormat="1" applyFont="1" applyFill="1" applyBorder="1" applyAlignment="1" applyProtection="1">
      <alignment horizontal="center" vertical="center" wrapText="1"/>
    </xf>
    <xf numFmtId="0" fontId="46" fillId="6" borderId="4" xfId="0" applyFont="1" applyFill="1" applyBorder="1" applyAlignment="1" applyProtection="1">
      <alignment horizontal="center" vertical="center" wrapText="1"/>
    </xf>
    <xf numFmtId="49" fontId="53" fillId="0" borderId="22" xfId="0" applyNumberFormat="1" applyFont="1" applyFill="1" applyBorder="1" applyAlignment="1" applyProtection="1">
      <alignment horizontal="center" vertical="center" wrapText="1"/>
      <protection locked="0"/>
    </xf>
    <xf numFmtId="0" fontId="53" fillId="6" borderId="46" xfId="0" applyNumberFormat="1" applyFont="1" applyFill="1" applyBorder="1" applyAlignment="1" applyProtection="1">
      <alignment horizontal="center" vertical="center" wrapText="1"/>
    </xf>
    <xf numFmtId="49" fontId="53" fillId="0" borderId="11" xfId="0" applyNumberFormat="1" applyFont="1" applyFill="1" applyBorder="1" applyAlignment="1" applyProtection="1">
      <alignment horizontal="center" vertical="center" wrapText="1"/>
      <protection locked="0"/>
    </xf>
    <xf numFmtId="0" fontId="53" fillId="2" borderId="23" xfId="0" applyNumberFormat="1" applyFont="1" applyFill="1" applyBorder="1" applyAlignment="1" applyProtection="1">
      <alignment horizontal="center" vertical="center" wrapText="1"/>
      <protection locked="0"/>
    </xf>
    <xf numFmtId="0" fontId="53" fillId="6" borderId="5" xfId="0" applyNumberFormat="1" applyFont="1" applyFill="1" applyBorder="1" applyAlignment="1" applyProtection="1">
      <alignment horizontal="center" vertical="center" wrapText="1"/>
    </xf>
    <xf numFmtId="0" fontId="46" fillId="6" borderId="8" xfId="0" applyNumberFormat="1" applyFont="1" applyFill="1" applyBorder="1" applyAlignment="1" applyProtection="1">
      <alignment horizontal="center" vertical="center" wrapText="1"/>
    </xf>
    <xf numFmtId="49" fontId="46" fillId="0" borderId="7" xfId="0" applyNumberFormat="1" applyFont="1" applyFill="1" applyBorder="1" applyAlignment="1" applyProtection="1">
      <alignment horizontal="center" vertical="center" wrapText="1"/>
      <protection locked="0"/>
    </xf>
    <xf numFmtId="0" fontId="46" fillId="6" borderId="4" xfId="0" applyNumberFormat="1" applyFont="1" applyFill="1" applyBorder="1" applyAlignment="1" applyProtection="1">
      <alignment horizontal="center" vertical="center" wrapText="1"/>
    </xf>
    <xf numFmtId="49" fontId="46" fillId="0" borderId="41" xfId="0" applyNumberFormat="1" applyFont="1" applyFill="1" applyBorder="1" applyAlignment="1" applyProtection="1">
      <alignment horizontal="center" vertical="center" wrapText="1"/>
      <protection locked="0"/>
    </xf>
    <xf numFmtId="0" fontId="52" fillId="6" borderId="40" xfId="0" applyFont="1" applyFill="1" applyBorder="1" applyAlignment="1" applyProtection="1">
      <alignment vertical="center" textRotation="255" wrapText="1"/>
    </xf>
    <xf numFmtId="0" fontId="53" fillId="6" borderId="10" xfId="0" applyNumberFormat="1" applyFont="1" applyFill="1" applyBorder="1" applyAlignment="1" applyProtection="1">
      <alignment horizontal="center" vertical="center" wrapText="1"/>
    </xf>
    <xf numFmtId="0" fontId="71" fillId="6" borderId="14" xfId="0" applyFont="1" applyFill="1" applyBorder="1" applyAlignment="1" applyProtection="1">
      <alignment vertical="center" textRotation="255" wrapText="1"/>
    </xf>
    <xf numFmtId="0" fontId="46" fillId="0" borderId="37" xfId="0" applyNumberFormat="1" applyFont="1" applyFill="1" applyBorder="1" applyAlignment="1" applyProtection="1">
      <alignment horizontal="center" vertical="center" wrapText="1"/>
      <protection locked="0"/>
    </xf>
    <xf numFmtId="0" fontId="51" fillId="0" borderId="0" xfId="0" applyFont="1" applyFill="1" applyBorder="1" applyAlignment="1" applyProtection="1">
      <alignment horizontal="center" vertical="center"/>
      <protection locked="0"/>
    </xf>
    <xf numFmtId="0" fontId="51" fillId="0" borderId="0" xfId="0" applyFont="1" applyFill="1" applyAlignment="1" applyProtection="1">
      <alignment horizontal="center" vertical="center"/>
      <protection locked="0"/>
    </xf>
    <xf numFmtId="0" fontId="52" fillId="6" borderId="14" xfId="0" applyFont="1" applyFill="1" applyBorder="1" applyAlignment="1" applyProtection="1">
      <alignment vertical="center" textRotation="255" wrapText="1"/>
    </xf>
    <xf numFmtId="0" fontId="48" fillId="6" borderId="14" xfId="0" applyFont="1" applyFill="1" applyBorder="1" applyAlignment="1" applyProtection="1">
      <alignment vertical="center" textRotation="255" wrapText="1"/>
    </xf>
    <xf numFmtId="9" fontId="46" fillId="0" borderId="37" xfId="0" applyNumberFormat="1" applyFont="1" applyFill="1" applyBorder="1" applyAlignment="1" applyProtection="1">
      <alignment horizontal="center" vertical="center" wrapText="1"/>
      <protection locked="0"/>
    </xf>
    <xf numFmtId="9" fontId="46" fillId="0" borderId="3" xfId="0" applyNumberFormat="1" applyFont="1" applyFill="1" applyBorder="1" applyAlignment="1" applyProtection="1">
      <alignment horizontal="center" vertical="center" wrapText="1"/>
      <protection locked="0"/>
    </xf>
    <xf numFmtId="9" fontId="46" fillId="0" borderId="23" xfId="0" applyNumberFormat="1" applyFont="1" applyFill="1" applyBorder="1" applyAlignment="1" applyProtection="1">
      <alignment horizontal="center" vertical="center" wrapText="1"/>
      <protection locked="0"/>
    </xf>
    <xf numFmtId="0" fontId="53" fillId="0" borderId="3" xfId="0" applyNumberFormat="1" applyFont="1" applyFill="1" applyBorder="1" applyAlignment="1" applyProtection="1">
      <alignment horizontal="center" vertical="center" wrapText="1"/>
      <protection locked="0"/>
    </xf>
    <xf numFmtId="0" fontId="52" fillId="6" borderId="12" xfId="0" applyFont="1" applyFill="1" applyBorder="1" applyAlignment="1" applyProtection="1">
      <alignment vertical="center" textRotation="255" wrapText="1"/>
    </xf>
    <xf numFmtId="49" fontId="52" fillId="6" borderId="51" xfId="0" applyNumberFormat="1" applyFont="1" applyFill="1" applyBorder="1" applyAlignment="1" applyProtection="1">
      <alignment vertical="center"/>
    </xf>
    <xf numFmtId="49" fontId="52" fillId="6" borderId="20" xfId="0" applyNumberFormat="1" applyFont="1" applyFill="1" applyBorder="1" applyAlignment="1" applyProtection="1">
      <alignment vertical="center"/>
    </xf>
    <xf numFmtId="0" fontId="52" fillId="6" borderId="21" xfId="0" applyFont="1" applyFill="1" applyBorder="1" applyAlignment="1" applyProtection="1">
      <alignment vertical="center" wrapText="1"/>
    </xf>
    <xf numFmtId="0" fontId="72" fillId="3" borderId="20" xfId="0" applyFont="1" applyFill="1" applyBorder="1" applyAlignment="1" applyProtection="1">
      <alignment vertical="center" wrapText="1"/>
      <protection locked="0"/>
    </xf>
    <xf numFmtId="0" fontId="72" fillId="6" borderId="20" xfId="0" applyFont="1" applyFill="1" applyBorder="1" applyAlignment="1" applyProtection="1">
      <alignment vertical="center" wrapText="1"/>
    </xf>
    <xf numFmtId="0" fontId="72" fillId="3" borderId="51" xfId="0" applyFont="1" applyFill="1" applyBorder="1" applyAlignment="1" applyProtection="1">
      <alignment vertical="center" wrapText="1"/>
      <protection locked="0"/>
    </xf>
    <xf numFmtId="0" fontId="72" fillId="6" borderId="21" xfId="0" applyFont="1" applyFill="1" applyBorder="1" applyAlignment="1" applyProtection="1">
      <alignment vertical="center" wrapText="1"/>
    </xf>
    <xf numFmtId="49" fontId="52" fillId="6" borderId="38" xfId="0" applyNumberFormat="1" applyFont="1" applyFill="1" applyBorder="1" applyAlignment="1" applyProtection="1">
      <alignment vertical="center"/>
    </xf>
    <xf numFmtId="49" fontId="52" fillId="6" borderId="52" xfId="0" applyNumberFormat="1" applyFont="1" applyFill="1" applyBorder="1" applyAlignment="1" applyProtection="1">
      <alignment vertical="center"/>
    </xf>
    <xf numFmtId="186" fontId="52" fillId="6" borderId="38" xfId="0" applyNumberFormat="1" applyFont="1" applyFill="1" applyBorder="1" applyAlignment="1" applyProtection="1">
      <alignment vertical="center" wrapText="1"/>
    </xf>
    <xf numFmtId="186" fontId="52" fillId="6" borderId="52" xfId="0" applyNumberFormat="1" applyFont="1" applyFill="1" applyBorder="1" applyAlignment="1" applyProtection="1">
      <alignment vertical="center" wrapText="1"/>
    </xf>
    <xf numFmtId="49" fontId="52" fillId="0" borderId="42" xfId="0" applyNumberFormat="1" applyFont="1" applyFill="1" applyBorder="1" applyAlignment="1" applyProtection="1">
      <alignment vertical="center"/>
      <protection locked="0"/>
    </xf>
    <xf numFmtId="49" fontId="52" fillId="0" borderId="43" xfId="0" applyNumberFormat="1" applyFont="1" applyFill="1" applyBorder="1" applyAlignment="1" applyProtection="1">
      <alignment vertical="center"/>
      <protection locked="0"/>
    </xf>
    <xf numFmtId="186" fontId="52" fillId="6" borderId="47" xfId="0" applyNumberFormat="1" applyFont="1" applyFill="1" applyBorder="1" applyAlignment="1" applyProtection="1">
      <alignment vertical="center" wrapText="1"/>
    </xf>
    <xf numFmtId="189" fontId="53" fillId="0" borderId="0" xfId="0" applyNumberFormat="1" applyFont="1" applyFill="1" applyAlignment="1" applyProtection="1">
      <alignment horizontal="center" vertical="center"/>
      <protection locked="0"/>
    </xf>
    <xf numFmtId="181" fontId="53" fillId="0" borderId="0" xfId="0" applyNumberFormat="1" applyFont="1" applyFill="1" applyAlignment="1" applyProtection="1">
      <alignment horizontal="center" vertical="center"/>
      <protection locked="0"/>
    </xf>
    <xf numFmtId="0" fontId="52" fillId="6" borderId="1" xfId="0" applyFont="1" applyFill="1" applyBorder="1" applyAlignment="1" applyProtection="1">
      <alignment horizontal="left" vertical="center"/>
    </xf>
    <xf numFmtId="0" fontId="52" fillId="6" borderId="1" xfId="0" applyFont="1" applyFill="1" applyBorder="1" applyAlignment="1" applyProtection="1">
      <alignment horizontal="center" vertical="center" wrapText="1"/>
    </xf>
    <xf numFmtId="181" fontId="53" fillId="6" borderId="5" xfId="0" applyNumberFormat="1" applyFont="1" applyFill="1" applyBorder="1" applyAlignment="1" applyProtection="1">
      <alignment horizontal="center" vertical="center"/>
    </xf>
    <xf numFmtId="181" fontId="53" fillId="6" borderId="3" xfId="0" applyNumberFormat="1" applyFont="1" applyFill="1" applyBorder="1" applyAlignment="1" applyProtection="1">
      <alignment vertical="center"/>
    </xf>
    <xf numFmtId="0" fontId="52" fillId="6" borderId="3" xfId="0" applyFont="1" applyFill="1" applyBorder="1" applyAlignment="1" applyProtection="1">
      <alignment horizontal="center" vertical="center" wrapText="1"/>
    </xf>
    <xf numFmtId="0" fontId="70" fillId="0" borderId="0" xfId="0" applyFont="1" applyFill="1" applyAlignment="1" applyProtection="1">
      <alignment horizontal="center" vertical="center"/>
      <protection locked="0"/>
    </xf>
    <xf numFmtId="0" fontId="53" fillId="0" borderId="0" xfId="0" applyFont="1" applyBorder="1" applyAlignment="1" applyProtection="1">
      <protection locked="0"/>
    </xf>
    <xf numFmtId="9" fontId="46" fillId="0" borderId="0" xfId="0" applyNumberFormat="1" applyFont="1" applyFill="1" applyBorder="1" applyAlignment="1" applyProtection="1">
      <alignment horizontal="center" vertical="center" wrapText="1"/>
      <protection locked="0"/>
    </xf>
    <xf numFmtId="0" fontId="48" fillId="6" borderId="16" xfId="0" applyNumberFormat="1" applyFont="1" applyFill="1" applyBorder="1" applyAlignment="1" applyProtection="1">
      <alignment vertical="center" wrapText="1"/>
    </xf>
    <xf numFmtId="0" fontId="48" fillId="6" borderId="39" xfId="0" applyNumberFormat="1" applyFont="1" applyFill="1" applyBorder="1" applyAlignment="1" applyProtection="1">
      <alignment vertical="center" wrapText="1"/>
    </xf>
    <xf numFmtId="49" fontId="46" fillId="0" borderId="0" xfId="0" applyNumberFormat="1" applyFont="1" applyFill="1" applyBorder="1" applyAlignment="1" applyProtection="1">
      <alignment horizontal="center" vertical="center"/>
      <protection locked="0"/>
    </xf>
    <xf numFmtId="49" fontId="46" fillId="0" borderId="0" xfId="0" applyNumberFormat="1" applyFont="1" applyFill="1" applyAlignment="1" applyProtection="1">
      <alignment horizontal="center" vertical="center"/>
      <protection locked="0"/>
    </xf>
    <xf numFmtId="0" fontId="48" fillId="6" borderId="18" xfId="0" applyNumberFormat="1" applyFont="1" applyFill="1" applyBorder="1" applyAlignment="1" applyProtection="1">
      <alignment vertical="center" wrapText="1"/>
    </xf>
    <xf numFmtId="0" fontId="48" fillId="6" borderId="35" xfId="0" applyNumberFormat="1" applyFont="1" applyFill="1" applyBorder="1" applyAlignment="1" applyProtection="1">
      <alignment vertical="center" wrapText="1"/>
    </xf>
    <xf numFmtId="0" fontId="46" fillId="0" borderId="22" xfId="0" applyNumberFormat="1" applyFont="1" applyFill="1" applyBorder="1" applyAlignment="1" applyProtection="1">
      <alignment horizontal="center" vertical="center" wrapText="1"/>
      <protection locked="0"/>
    </xf>
    <xf numFmtId="0" fontId="46" fillId="0" borderId="13" xfId="0" applyNumberFormat="1" applyFont="1" applyFill="1" applyBorder="1" applyAlignment="1" applyProtection="1">
      <alignment horizontal="center" vertical="center" wrapText="1"/>
      <protection locked="0"/>
    </xf>
    <xf numFmtId="0" fontId="46" fillId="0" borderId="46"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8" fillId="6" borderId="42" xfId="0" applyNumberFormat="1" applyFont="1" applyFill="1" applyBorder="1" applyAlignment="1" applyProtection="1">
      <alignment vertical="center"/>
    </xf>
    <xf numFmtId="0" fontId="48" fillId="6" borderId="73" xfId="0" applyNumberFormat="1" applyFont="1" applyFill="1" applyBorder="1" applyAlignment="1" applyProtection="1">
      <alignment vertical="center" wrapText="1"/>
    </xf>
    <xf numFmtId="0" fontId="46" fillId="0" borderId="73" xfId="0" applyNumberFormat="1" applyFont="1" applyFill="1" applyBorder="1" applyAlignment="1" applyProtection="1">
      <alignment horizontal="center" vertical="center" wrapText="1"/>
      <protection locked="0"/>
    </xf>
    <xf numFmtId="0" fontId="46" fillId="0" borderId="74" xfId="0" applyNumberFormat="1" applyFont="1" applyFill="1" applyBorder="1" applyAlignment="1" applyProtection="1">
      <alignment horizontal="center" vertical="center" wrapText="1"/>
      <protection locked="0"/>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8" fillId="6" borderId="58" xfId="0" applyNumberFormat="1" applyFont="1" applyFill="1" applyBorder="1" applyAlignment="1" applyProtection="1">
      <alignment vertical="center" wrapText="1"/>
    </xf>
    <xf numFmtId="0" fontId="46" fillId="6" borderId="7" xfId="0" applyNumberFormat="1" applyFont="1" applyFill="1" applyBorder="1" applyAlignment="1" applyProtection="1">
      <alignment horizontal="center" vertical="center" wrapText="1"/>
    </xf>
    <xf numFmtId="0" fontId="46" fillId="0" borderId="2" xfId="0" applyNumberFormat="1" applyFont="1" applyFill="1" applyBorder="1" applyAlignment="1" applyProtection="1">
      <alignment horizontal="center" vertical="center" wrapText="1"/>
      <protection locked="0"/>
    </xf>
    <xf numFmtId="0" fontId="46" fillId="0" borderId="2" xfId="0" applyNumberFormat="1" applyFont="1" applyFill="1" applyBorder="1" applyAlignment="1" applyProtection="1">
      <alignment horizontal="left" vertical="center" wrapText="1"/>
      <protection locked="0"/>
    </xf>
    <xf numFmtId="0" fontId="46" fillId="0" borderId="8" xfId="0" applyNumberFormat="1" applyFont="1" applyFill="1" applyBorder="1" applyAlignment="1" applyProtection="1">
      <alignment horizontal="center" vertical="center" wrapText="1"/>
      <protection locked="0"/>
    </xf>
    <xf numFmtId="0" fontId="102" fillId="0" borderId="0" xfId="0" applyFont="1" applyFill="1" applyBorder="1" applyAlignment="1" applyProtection="1">
      <alignment vertical="center"/>
      <protection locked="0"/>
    </xf>
    <xf numFmtId="0" fontId="52" fillId="6" borderId="40" xfId="0" applyNumberFormat="1" applyFont="1" applyFill="1" applyBorder="1" applyAlignment="1" applyProtection="1">
      <alignment vertical="center" wrapText="1"/>
    </xf>
    <xf numFmtId="0" fontId="46" fillId="6" borderId="17" xfId="0" applyNumberFormat="1" applyFont="1" applyFill="1" applyBorder="1" applyAlignment="1" applyProtection="1">
      <alignment horizontal="center" vertical="center" wrapText="1"/>
    </xf>
    <xf numFmtId="0" fontId="53" fillId="6" borderId="9" xfId="0" applyNumberFormat="1" applyFont="1" applyFill="1" applyBorder="1" applyAlignment="1" applyProtection="1">
      <alignment horizontal="center" vertical="center" wrapText="1"/>
    </xf>
    <xf numFmtId="0" fontId="53" fillId="0" borderId="9" xfId="0" applyNumberFormat="1" applyFont="1" applyFill="1" applyBorder="1" applyAlignment="1" applyProtection="1">
      <alignment horizontal="center" vertical="center" wrapText="1"/>
      <protection locked="0"/>
    </xf>
    <xf numFmtId="0" fontId="70" fillId="0" borderId="9" xfId="0" applyNumberFormat="1" applyFont="1" applyFill="1" applyBorder="1" applyAlignment="1" applyProtection="1">
      <alignment horizontal="center" vertical="center" wrapText="1"/>
      <protection locked="0"/>
    </xf>
    <xf numFmtId="0" fontId="70" fillId="0" borderId="9" xfId="0" applyNumberFormat="1" applyFont="1" applyFill="1" applyBorder="1" applyAlignment="1" applyProtection="1">
      <alignment horizontal="left" vertical="center" wrapText="1"/>
      <protection locked="0"/>
    </xf>
    <xf numFmtId="0" fontId="70" fillId="0" borderId="10" xfId="0" applyNumberFormat="1" applyFont="1" applyFill="1" applyBorder="1" applyAlignment="1" applyProtection="1">
      <alignment horizontal="center" vertical="center" wrapText="1"/>
      <protection locked="0"/>
    </xf>
    <xf numFmtId="0" fontId="52" fillId="6" borderId="14" xfId="0" applyNumberFormat="1" applyFont="1" applyFill="1" applyBorder="1" applyAlignment="1" applyProtection="1">
      <alignment vertical="center" wrapText="1"/>
    </xf>
    <xf numFmtId="0" fontId="51" fillId="6" borderId="77" xfId="0" applyNumberFormat="1" applyFont="1" applyFill="1" applyBorder="1" applyAlignment="1" applyProtection="1">
      <alignment horizontal="center" vertical="center" wrapText="1"/>
    </xf>
    <xf numFmtId="0" fontId="53" fillId="0" borderId="78" xfId="0" applyNumberFormat="1" applyFont="1" applyFill="1" applyBorder="1" applyAlignment="1" applyProtection="1">
      <alignment horizontal="center" vertical="center" wrapText="1"/>
      <protection locked="0"/>
    </xf>
    <xf numFmtId="0" fontId="53" fillId="0" borderId="79" xfId="0" applyNumberFormat="1" applyFont="1" applyFill="1" applyBorder="1" applyAlignment="1" applyProtection="1">
      <alignment horizontal="center" vertical="center" wrapText="1"/>
      <protection locked="0"/>
    </xf>
    <xf numFmtId="0" fontId="46" fillId="6" borderId="57" xfId="0" applyNumberFormat="1" applyFont="1" applyFill="1" applyBorder="1" applyAlignment="1" applyProtection="1">
      <alignment horizontal="center" vertical="center" wrapText="1"/>
    </xf>
    <xf numFmtId="0" fontId="53" fillId="6" borderId="44" xfId="0" applyNumberFormat="1" applyFont="1" applyFill="1" applyBorder="1" applyAlignment="1" applyProtection="1">
      <alignment horizontal="center" vertical="center" wrapText="1"/>
    </xf>
    <xf numFmtId="0" fontId="70" fillId="6" borderId="44" xfId="0" applyNumberFormat="1" applyFont="1" applyFill="1" applyBorder="1" applyAlignment="1" applyProtection="1">
      <alignment horizontal="center" vertical="center" wrapText="1"/>
    </xf>
    <xf numFmtId="0" fontId="70" fillId="6" borderId="44" xfId="0" applyNumberFormat="1" applyFont="1" applyFill="1" applyBorder="1" applyAlignment="1" applyProtection="1">
      <alignment horizontal="left" vertical="center" wrapText="1"/>
    </xf>
    <xf numFmtId="0" fontId="70" fillId="6" borderId="45" xfId="0" applyNumberFormat="1" applyFont="1" applyFill="1" applyBorder="1" applyAlignment="1" applyProtection="1">
      <alignment horizontal="center" vertical="center" wrapText="1"/>
    </xf>
    <xf numFmtId="0" fontId="46" fillId="6" borderId="77" xfId="0" applyNumberFormat="1" applyFont="1" applyFill="1" applyBorder="1" applyAlignment="1" applyProtection="1">
      <alignment horizontal="center" vertical="center" wrapText="1"/>
    </xf>
    <xf numFmtId="0" fontId="53" fillId="6" borderId="78" xfId="0" applyNumberFormat="1" applyFont="1" applyFill="1" applyBorder="1" applyAlignment="1" applyProtection="1">
      <alignment horizontal="center" vertical="center" wrapText="1"/>
    </xf>
    <xf numFmtId="0" fontId="53" fillId="6" borderId="79" xfId="0" applyNumberFormat="1" applyFont="1" applyFill="1" applyBorder="1" applyAlignment="1" applyProtection="1">
      <alignment horizontal="center" vertical="center" wrapText="1"/>
    </xf>
    <xf numFmtId="0" fontId="46" fillId="6" borderId="15" xfId="0" applyNumberFormat="1" applyFont="1" applyFill="1" applyBorder="1" applyAlignment="1" applyProtection="1">
      <alignment horizontal="center" vertical="center" wrapText="1"/>
    </xf>
    <xf numFmtId="0" fontId="53" fillId="6" borderId="2" xfId="0" applyNumberFormat="1" applyFont="1" applyFill="1" applyBorder="1" applyAlignment="1" applyProtection="1">
      <alignment horizontal="center" vertical="center" wrapText="1"/>
    </xf>
    <xf numFmtId="0" fontId="51" fillId="6" borderId="15" xfId="0" applyNumberFormat="1" applyFont="1" applyFill="1" applyBorder="1" applyAlignment="1" applyProtection="1">
      <alignment horizontal="center" vertical="center" wrapText="1"/>
    </xf>
    <xf numFmtId="0" fontId="53" fillId="0" borderId="1" xfId="0" applyNumberFormat="1" applyFont="1" applyFill="1" applyBorder="1" applyAlignment="1" applyProtection="1">
      <alignment horizontal="center" vertical="center" wrapText="1"/>
      <protection locked="0"/>
    </xf>
    <xf numFmtId="0" fontId="70" fillId="0" borderId="1" xfId="0" applyNumberFormat="1" applyFont="1" applyFill="1" applyBorder="1" applyAlignment="1" applyProtection="1">
      <alignment horizontal="center" vertical="center" wrapText="1"/>
      <protection locked="0"/>
    </xf>
    <xf numFmtId="0" fontId="70" fillId="0" borderId="1" xfId="0" applyNumberFormat="1" applyFont="1" applyFill="1" applyBorder="1" applyAlignment="1" applyProtection="1">
      <alignment horizontal="left" vertical="center" wrapText="1"/>
      <protection locked="0"/>
    </xf>
    <xf numFmtId="0" fontId="70" fillId="0" borderId="24" xfId="0" applyNumberFormat="1" applyFont="1" applyFill="1" applyBorder="1" applyAlignment="1" applyProtection="1">
      <alignment horizontal="center" vertical="center" wrapText="1"/>
      <protection locked="0"/>
    </xf>
    <xf numFmtId="0" fontId="71" fillId="6" borderId="14" xfId="0" applyNumberFormat="1" applyFont="1" applyFill="1" applyBorder="1" applyAlignment="1" applyProtection="1">
      <alignment vertical="center" wrapText="1"/>
    </xf>
    <xf numFmtId="0" fontId="46" fillId="0" borderId="44" xfId="0" applyNumberFormat="1" applyFont="1" applyFill="1" applyBorder="1" applyAlignment="1" applyProtection="1">
      <alignment horizontal="center" vertical="center" wrapText="1"/>
      <protection locked="0"/>
    </xf>
    <xf numFmtId="0" fontId="51" fillId="0" borderId="44" xfId="0" applyNumberFormat="1" applyFont="1" applyFill="1" applyBorder="1" applyAlignment="1" applyProtection="1">
      <alignment horizontal="center" vertical="center" wrapText="1"/>
      <protection locked="0"/>
    </xf>
    <xf numFmtId="0" fontId="51" fillId="0" borderId="44" xfId="0" applyNumberFormat="1" applyFont="1" applyFill="1" applyBorder="1" applyAlignment="1" applyProtection="1">
      <alignment horizontal="left" vertical="center" wrapText="1"/>
      <protection locked="0"/>
    </xf>
    <xf numFmtId="0" fontId="51" fillId="0" borderId="45" xfId="0" applyNumberFormat="1" applyFont="1" applyFill="1" applyBorder="1" applyAlignment="1" applyProtection="1">
      <alignment horizontal="center" vertical="center" wrapText="1"/>
      <protection locked="0"/>
    </xf>
    <xf numFmtId="0" fontId="51" fillId="0" borderId="0" xfId="0" applyFont="1" applyFill="1" applyBorder="1" applyAlignment="1" applyProtection="1">
      <alignment horizontal="center" vertical="center" wrapText="1"/>
      <protection locked="0"/>
    </xf>
    <xf numFmtId="9" fontId="51" fillId="0" borderId="0" xfId="0" applyNumberFormat="1" applyFont="1" applyFill="1" applyBorder="1" applyAlignment="1" applyProtection="1">
      <alignment horizontal="center" vertical="center" wrapText="1"/>
      <protection locked="0"/>
    </xf>
    <xf numFmtId="0" fontId="46" fillId="0" borderId="78" xfId="0" applyNumberFormat="1" applyFont="1" applyFill="1" applyBorder="1" applyAlignment="1" applyProtection="1">
      <alignment horizontal="center" vertical="center" wrapText="1"/>
      <protection locked="0"/>
    </xf>
    <xf numFmtId="9" fontId="51" fillId="0" borderId="0" xfId="0" applyNumberFormat="1" applyFont="1" applyFill="1" applyBorder="1" applyAlignment="1" applyProtection="1">
      <alignment horizontal="center" vertical="center"/>
      <protection locked="0"/>
    </xf>
    <xf numFmtId="0" fontId="51" fillId="0" borderId="78" xfId="0" applyNumberFormat="1" applyFont="1" applyFill="1" applyBorder="1" applyAlignment="1" applyProtection="1">
      <alignment horizontal="center" vertical="center" wrapText="1"/>
      <protection locked="0"/>
    </xf>
    <xf numFmtId="0" fontId="51" fillId="0" borderId="79" xfId="0" applyNumberFormat="1" applyFont="1" applyFill="1" applyBorder="1" applyAlignment="1" applyProtection="1">
      <alignment horizontal="center" vertical="center" wrapText="1"/>
      <protection locked="0"/>
    </xf>
    <xf numFmtId="0" fontId="51" fillId="0" borderId="2" xfId="0" applyNumberFormat="1" applyFont="1" applyFill="1" applyBorder="1" applyAlignment="1" applyProtection="1">
      <alignment horizontal="center" vertical="center" wrapText="1"/>
      <protection locked="0"/>
    </xf>
    <xf numFmtId="0" fontId="51" fillId="0" borderId="2" xfId="0" applyNumberFormat="1" applyFont="1" applyFill="1" applyBorder="1" applyAlignment="1" applyProtection="1">
      <alignment horizontal="left" vertical="center" wrapText="1"/>
      <protection locked="0"/>
    </xf>
    <xf numFmtId="0" fontId="51" fillId="0" borderId="8" xfId="0" applyNumberFormat="1" applyFont="1" applyFill="1" applyBorder="1" applyAlignment="1" applyProtection="1">
      <alignment horizontal="center" vertical="center" wrapText="1"/>
      <protection locked="0"/>
    </xf>
    <xf numFmtId="0" fontId="51" fillId="0" borderId="0" xfId="0" applyFont="1" applyFill="1" applyBorder="1" applyAlignment="1" applyProtection="1">
      <alignment vertical="center" wrapText="1"/>
      <protection locked="0"/>
    </xf>
    <xf numFmtId="0" fontId="71" fillId="6" borderId="12" xfId="0" applyNumberFormat="1" applyFont="1" applyFill="1" applyBorder="1" applyAlignment="1" applyProtection="1">
      <alignment vertical="center" wrapText="1"/>
    </xf>
    <xf numFmtId="0" fontId="46" fillId="6" borderId="74"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51" fillId="0" borderId="32" xfId="0" applyNumberFormat="1" applyFont="1" applyFill="1" applyBorder="1" applyAlignment="1" applyProtection="1">
      <alignment horizontal="center" vertical="center" wrapText="1"/>
      <protection locked="0"/>
    </xf>
    <xf numFmtId="0" fontId="51" fillId="0" borderId="49" xfId="0" applyNumberFormat="1" applyFont="1" applyFill="1" applyBorder="1" applyAlignment="1" applyProtection="1">
      <alignment horizontal="center" vertical="center" wrapText="1"/>
      <protection locked="0"/>
    </xf>
    <xf numFmtId="0" fontId="46" fillId="6" borderId="9" xfId="0" applyNumberFormat="1" applyFont="1" applyFill="1" applyBorder="1" applyAlignment="1" applyProtection="1">
      <alignment horizontal="center" vertical="center" wrapText="1"/>
    </xf>
    <xf numFmtId="0" fontId="70" fillId="6" borderId="9" xfId="0" applyNumberFormat="1" applyFont="1" applyFill="1" applyBorder="1" applyAlignment="1" applyProtection="1">
      <alignment horizontal="center" vertical="center" wrapText="1"/>
    </xf>
    <xf numFmtId="0" fontId="70" fillId="6" borderId="9" xfId="0" applyNumberFormat="1" applyFont="1" applyFill="1" applyBorder="1" applyAlignment="1" applyProtection="1">
      <alignment horizontal="left" vertical="center" wrapText="1"/>
    </xf>
    <xf numFmtId="0" fontId="70" fillId="6" borderId="10" xfId="0" applyNumberFormat="1" applyFont="1" applyFill="1" applyBorder="1" applyAlignment="1" applyProtection="1">
      <alignment horizontal="center" vertical="center" wrapText="1"/>
    </xf>
    <xf numFmtId="0" fontId="46" fillId="0" borderId="0" xfId="0" applyFont="1" applyFill="1" applyBorder="1" applyAlignment="1" applyProtection="1">
      <alignment vertical="center" wrapText="1"/>
      <protection locked="0"/>
    </xf>
    <xf numFmtId="0" fontId="46" fillId="6" borderId="44" xfId="0" applyNumberFormat="1" applyFont="1" applyFill="1" applyBorder="1" applyAlignment="1" applyProtection="1">
      <alignment horizontal="center" vertical="center" wrapText="1"/>
    </xf>
    <xf numFmtId="0" fontId="48" fillId="6" borderId="14" xfId="0" applyNumberFormat="1" applyFont="1" applyFill="1" applyBorder="1" applyAlignment="1" applyProtection="1">
      <alignment vertical="center" wrapText="1"/>
    </xf>
    <xf numFmtId="0" fontId="46" fillId="0" borderId="44" xfId="0" applyNumberFormat="1" applyFont="1" applyFill="1" applyBorder="1" applyAlignment="1" applyProtection="1">
      <alignment horizontal="left" vertical="center" wrapText="1"/>
      <protection locked="0"/>
    </xf>
    <xf numFmtId="0" fontId="46" fillId="0" borderId="45" xfId="0" applyNumberFormat="1" applyFont="1" applyFill="1" applyBorder="1" applyAlignment="1" applyProtection="1">
      <alignment horizontal="center" vertical="center" wrapText="1"/>
      <protection locked="0"/>
    </xf>
    <xf numFmtId="0" fontId="46" fillId="6" borderId="78" xfId="0" applyNumberFormat="1" applyFont="1" applyFill="1" applyBorder="1" applyAlignment="1" applyProtection="1">
      <alignment horizontal="center" vertical="center" wrapText="1"/>
    </xf>
    <xf numFmtId="0" fontId="53" fillId="0" borderId="44" xfId="0" applyNumberFormat="1" applyFont="1" applyFill="1" applyBorder="1" applyAlignment="1" applyProtection="1">
      <alignment horizontal="center" vertical="center" wrapText="1"/>
      <protection locked="0"/>
    </xf>
    <xf numFmtId="0" fontId="70" fillId="0" borderId="44" xfId="0" applyNumberFormat="1" applyFont="1" applyFill="1" applyBorder="1" applyAlignment="1" applyProtection="1">
      <alignment horizontal="center" vertical="center" wrapText="1"/>
      <protection locked="0"/>
    </xf>
    <xf numFmtId="0" fontId="70" fillId="0" borderId="44" xfId="0" applyNumberFormat="1" applyFont="1" applyFill="1" applyBorder="1" applyAlignment="1" applyProtection="1">
      <alignment horizontal="left" vertical="center" wrapText="1"/>
      <protection locked="0"/>
    </xf>
    <xf numFmtId="0" fontId="70" fillId="0" borderId="45" xfId="0" applyNumberFormat="1" applyFont="1" applyFill="1" applyBorder="1" applyAlignment="1" applyProtection="1">
      <alignment horizontal="center" vertical="center" wrapText="1"/>
      <protection locked="0"/>
    </xf>
    <xf numFmtId="0" fontId="53" fillId="0" borderId="2" xfId="0" applyNumberFormat="1" applyFont="1" applyFill="1" applyBorder="1" applyAlignment="1" applyProtection="1">
      <alignment horizontal="center" vertical="center" wrapText="1"/>
      <protection locked="0"/>
    </xf>
    <xf numFmtId="0" fontId="70" fillId="0" borderId="2" xfId="0" applyNumberFormat="1" applyFont="1" applyFill="1" applyBorder="1" applyAlignment="1" applyProtection="1">
      <alignment horizontal="center" vertical="center" wrapText="1"/>
      <protection locked="0"/>
    </xf>
    <xf numFmtId="0" fontId="70" fillId="0" borderId="2" xfId="0" applyNumberFormat="1" applyFont="1" applyFill="1" applyBorder="1" applyAlignment="1" applyProtection="1">
      <alignment horizontal="left" vertical="center" wrapText="1"/>
      <protection locked="0"/>
    </xf>
    <xf numFmtId="0" fontId="70" fillId="0" borderId="8" xfId="0" applyNumberFormat="1" applyFont="1" applyFill="1" applyBorder="1" applyAlignment="1" applyProtection="1">
      <alignment horizontal="center" vertical="center" wrapText="1"/>
      <protection locked="0"/>
    </xf>
    <xf numFmtId="0" fontId="53" fillId="0" borderId="32" xfId="0" applyNumberFormat="1" applyFont="1" applyFill="1" applyBorder="1" applyAlignment="1" applyProtection="1">
      <alignment horizontal="center" vertical="center" wrapText="1"/>
      <protection locked="0"/>
    </xf>
    <xf numFmtId="0" fontId="53" fillId="0" borderId="49" xfId="0" applyNumberFormat="1" applyFont="1" applyFill="1" applyBorder="1" applyAlignment="1" applyProtection="1">
      <alignment horizontal="center" vertical="center" wrapText="1"/>
      <protection locked="0"/>
    </xf>
    <xf numFmtId="0" fontId="71" fillId="6" borderId="14" xfId="0" applyNumberFormat="1" applyFont="1" applyFill="1" applyBorder="1" applyAlignment="1" applyProtection="1">
      <alignment vertical="center" textRotation="255" wrapText="1"/>
    </xf>
    <xf numFmtId="0" fontId="46" fillId="6" borderId="58" xfId="0" applyNumberFormat="1" applyFont="1" applyFill="1" applyBorder="1" applyAlignment="1" applyProtection="1">
      <alignment horizontal="center" vertical="center"/>
    </xf>
    <xf numFmtId="0" fontId="46" fillId="0" borderId="1" xfId="0" applyNumberFormat="1" applyFont="1" applyFill="1" applyBorder="1" applyAlignment="1" applyProtection="1">
      <alignment horizontal="center" vertical="center" wrapText="1"/>
      <protection locked="0"/>
    </xf>
    <xf numFmtId="0" fontId="51" fillId="0" borderId="1" xfId="0" applyNumberFormat="1" applyFont="1" applyFill="1" applyBorder="1" applyAlignment="1" applyProtection="1">
      <alignment horizontal="center" vertical="center" wrapText="1"/>
      <protection locked="0"/>
    </xf>
    <xf numFmtId="0" fontId="51" fillId="0" borderId="1" xfId="0" applyNumberFormat="1" applyFont="1" applyFill="1" applyBorder="1" applyAlignment="1" applyProtection="1">
      <alignment horizontal="left" vertical="center" wrapText="1"/>
      <protection locked="0"/>
    </xf>
    <xf numFmtId="0" fontId="51" fillId="0" borderId="24" xfId="0" applyNumberFormat="1" applyFont="1" applyFill="1" applyBorder="1" applyAlignment="1" applyProtection="1">
      <alignment horizontal="center" vertical="center" wrapText="1"/>
      <protection locked="0"/>
    </xf>
    <xf numFmtId="0" fontId="52" fillId="6" borderId="14" xfId="0" applyNumberFormat="1" applyFont="1" applyFill="1" applyBorder="1" applyAlignment="1" applyProtection="1">
      <alignment vertical="center" textRotation="255" wrapText="1"/>
    </xf>
    <xf numFmtId="0" fontId="51" fillId="6" borderId="44" xfId="0" applyNumberFormat="1" applyFont="1" applyFill="1" applyBorder="1" applyAlignment="1" applyProtection="1">
      <alignment horizontal="center" vertical="center" wrapText="1"/>
    </xf>
    <xf numFmtId="0" fontId="51" fillId="6" borderId="44" xfId="0" applyNumberFormat="1" applyFont="1" applyFill="1" applyBorder="1" applyAlignment="1" applyProtection="1">
      <alignment horizontal="left" vertical="center" wrapText="1"/>
    </xf>
    <xf numFmtId="0" fontId="51" fillId="6" borderId="45" xfId="0" applyNumberFormat="1" applyFont="1" applyFill="1" applyBorder="1" applyAlignment="1" applyProtection="1">
      <alignment horizontal="center" vertical="center" wrapText="1"/>
    </xf>
    <xf numFmtId="0" fontId="46" fillId="6" borderId="1" xfId="0" applyNumberFormat="1" applyFont="1" applyFill="1" applyBorder="1" applyAlignment="1" applyProtection="1">
      <alignment horizontal="center" vertical="center" wrapText="1"/>
    </xf>
    <xf numFmtId="0" fontId="51" fillId="6" borderId="1" xfId="0" applyNumberFormat="1" applyFont="1" applyFill="1" applyBorder="1" applyAlignment="1" applyProtection="1">
      <alignment horizontal="center" vertical="center" wrapText="1"/>
    </xf>
    <xf numFmtId="0" fontId="51" fillId="6" borderId="1" xfId="0" applyNumberFormat="1" applyFont="1" applyFill="1" applyBorder="1" applyAlignment="1" applyProtection="1">
      <alignment horizontal="left" vertical="center" wrapText="1"/>
    </xf>
    <xf numFmtId="0" fontId="51" fillId="6" borderId="24" xfId="0" applyNumberFormat="1" applyFont="1" applyFill="1" applyBorder="1" applyAlignment="1" applyProtection="1">
      <alignment horizontal="center" vertical="center" wrapText="1"/>
    </xf>
    <xf numFmtId="0" fontId="51" fillId="6" borderId="78" xfId="0" applyNumberFormat="1" applyFont="1" applyFill="1" applyBorder="1" applyAlignment="1" applyProtection="1">
      <alignment horizontal="center" vertical="center" wrapText="1"/>
    </xf>
    <xf numFmtId="0" fontId="51" fillId="6" borderId="79" xfId="0" applyNumberFormat="1" applyFont="1" applyFill="1" applyBorder="1" applyAlignment="1" applyProtection="1">
      <alignment horizontal="center" vertical="center" wrapText="1"/>
    </xf>
    <xf numFmtId="186" fontId="59" fillId="6" borderId="13" xfId="0" applyNumberFormat="1" applyFont="1" applyFill="1" applyBorder="1" applyAlignment="1" applyProtection="1">
      <alignment horizontal="right" vertical="center"/>
    </xf>
    <xf numFmtId="189" fontId="46" fillId="6" borderId="3" xfId="0" applyNumberFormat="1" applyFont="1" applyFill="1" applyBorder="1" applyAlignment="1" applyProtection="1">
      <alignment horizontal="center" vertical="center" wrapText="1"/>
    </xf>
    <xf numFmtId="0" fontId="46" fillId="6" borderId="3" xfId="0" applyNumberFormat="1" applyFont="1" applyFill="1" applyBorder="1" applyAlignment="1" applyProtection="1">
      <alignment horizontal="center" vertical="center" wrapText="1"/>
    </xf>
    <xf numFmtId="0" fontId="60" fillId="0" borderId="3" xfId="0" applyNumberFormat="1" applyFont="1" applyFill="1" applyBorder="1" applyAlignment="1" applyProtection="1">
      <alignment horizontal="center" vertical="center" wrapText="1"/>
      <protection locked="0"/>
    </xf>
    <xf numFmtId="0" fontId="60" fillId="6" borderId="3" xfId="0" applyNumberFormat="1" applyFont="1" applyFill="1" applyBorder="1" applyAlignment="1" applyProtection="1">
      <alignment horizontal="center" vertical="center" wrapText="1"/>
    </xf>
    <xf numFmtId="0" fontId="60" fillId="0" borderId="11" xfId="0" applyNumberFormat="1" applyFont="1" applyFill="1" applyBorder="1" applyAlignment="1" applyProtection="1">
      <alignment horizontal="center" vertical="center" wrapText="1"/>
      <protection locked="0"/>
    </xf>
    <xf numFmtId="0" fontId="60" fillId="6" borderId="41" xfId="0" applyNumberFormat="1" applyFont="1" applyFill="1" applyBorder="1" applyAlignment="1" applyProtection="1">
      <alignment horizontal="center" vertical="center" wrapText="1"/>
    </xf>
    <xf numFmtId="0" fontId="53" fillId="2" borderId="37" xfId="0" applyNumberFormat="1" applyFont="1" applyFill="1" applyBorder="1" applyAlignment="1" applyProtection="1">
      <alignment horizontal="center" vertical="center" wrapText="1"/>
      <protection locked="0"/>
    </xf>
    <xf numFmtId="17" fontId="51" fillId="0" borderId="37" xfId="0" applyNumberFormat="1" applyFont="1" applyFill="1" applyBorder="1" applyAlignment="1" applyProtection="1">
      <alignment horizontal="center" vertical="center" wrapText="1"/>
      <protection locked="0"/>
    </xf>
    <xf numFmtId="0" fontId="51" fillId="0" borderId="37" xfId="0" applyNumberFormat="1" applyFont="1" applyFill="1" applyBorder="1" applyAlignment="1" applyProtection="1">
      <alignment horizontal="center" vertical="center" wrapText="1"/>
      <protection locked="0"/>
    </xf>
    <xf numFmtId="189" fontId="53" fillId="3" borderId="3" xfId="0" applyNumberFormat="1" applyFont="1" applyFill="1" applyBorder="1" applyAlignment="1" applyProtection="1">
      <alignment horizontal="center" vertical="center"/>
      <protection locked="0"/>
    </xf>
    <xf numFmtId="189" fontId="53" fillId="3" borderId="1" xfId="0" applyNumberFormat="1" applyFont="1" applyFill="1" applyBorder="1" applyAlignment="1" applyProtection="1">
      <alignment horizontal="center" vertical="center" wrapText="1"/>
      <protection locked="0"/>
    </xf>
    <xf numFmtId="0" fontId="46" fillId="6" borderId="45" xfId="0" applyNumberFormat="1" applyFont="1" applyFill="1" applyBorder="1" applyAlignment="1" applyProtection="1">
      <alignment horizontal="center" vertical="center" wrapText="1"/>
    </xf>
    <xf numFmtId="0" fontId="53" fillId="0" borderId="15" xfId="0" applyNumberFormat="1" applyFont="1" applyFill="1" applyBorder="1" applyAlignment="1" applyProtection="1">
      <alignment horizontal="center" vertical="center" wrapText="1"/>
      <protection locked="0"/>
    </xf>
    <xf numFmtId="0" fontId="70" fillId="0" borderId="15" xfId="0" applyNumberFormat="1" applyFont="1" applyFill="1" applyBorder="1" applyAlignment="1" applyProtection="1">
      <alignment horizontal="center" vertical="center" wrapText="1"/>
      <protection locked="0"/>
    </xf>
    <xf numFmtId="0" fontId="70" fillId="0" borderId="15" xfId="0" applyNumberFormat="1" applyFont="1" applyFill="1" applyBorder="1" applyAlignment="1" applyProtection="1">
      <alignment horizontal="left" vertical="center" wrapText="1"/>
      <protection locked="0"/>
    </xf>
    <xf numFmtId="0" fontId="70" fillId="0" borderId="53" xfId="0" applyNumberFormat="1" applyFont="1" applyFill="1" applyBorder="1" applyAlignment="1" applyProtection="1">
      <alignment horizontal="center" vertical="center" wrapText="1"/>
      <protection locked="0"/>
    </xf>
    <xf numFmtId="0" fontId="102" fillId="0" borderId="44" xfId="0" applyNumberFormat="1" applyFont="1" applyFill="1" applyBorder="1" applyAlignment="1" applyProtection="1">
      <alignment horizontal="center" vertical="center" wrapText="1"/>
      <protection locked="0"/>
    </xf>
    <xf numFmtId="0" fontId="46" fillId="0" borderId="12" xfId="0" applyNumberFormat="1" applyFont="1" applyFill="1" applyBorder="1" applyAlignment="1" applyProtection="1">
      <alignment horizontal="center" vertical="center" wrapText="1"/>
      <protection locked="0"/>
    </xf>
    <xf numFmtId="0" fontId="46" fillId="6" borderId="62" xfId="0" applyFont="1" applyFill="1" applyBorder="1" applyAlignment="1" applyProtection="1">
      <alignment horizontal="center" vertical="center" wrapText="1"/>
    </xf>
    <xf numFmtId="0" fontId="53" fillId="6" borderId="56" xfId="0" applyFont="1" applyFill="1" applyBorder="1" applyAlignment="1" applyProtection="1">
      <alignment horizontal="center" vertical="center"/>
    </xf>
    <xf numFmtId="0" fontId="46" fillId="6" borderId="61" xfId="0" applyFont="1" applyFill="1" applyBorder="1" applyAlignment="1" applyProtection="1">
      <alignment horizontal="center" vertical="center" wrapText="1"/>
    </xf>
    <xf numFmtId="0" fontId="46" fillId="6" borderId="8" xfId="0" applyFont="1" applyFill="1" applyBorder="1" applyAlignment="1" applyProtection="1">
      <alignment horizontal="center" vertical="center" wrapText="1"/>
    </xf>
    <xf numFmtId="0" fontId="46" fillId="6" borderId="53" xfId="0" applyFont="1" applyFill="1" applyBorder="1" applyAlignment="1" applyProtection="1">
      <alignment horizontal="center" vertical="center" wrapText="1"/>
    </xf>
    <xf numFmtId="0" fontId="53" fillId="2" borderId="54" xfId="0" applyNumberFormat="1" applyFont="1" applyFill="1" applyBorder="1" applyAlignment="1" applyProtection="1">
      <alignment horizontal="center" vertical="center" wrapText="1"/>
      <protection locked="0"/>
    </xf>
    <xf numFmtId="0" fontId="46" fillId="0" borderId="49" xfId="0" applyFont="1" applyFill="1" applyBorder="1" applyAlignment="1" applyProtection="1">
      <alignment horizontal="center" vertical="center" wrapText="1"/>
      <protection locked="0"/>
    </xf>
    <xf numFmtId="0" fontId="53" fillId="6" borderId="57" xfId="0" applyNumberFormat="1" applyFont="1" applyFill="1" applyBorder="1" applyAlignment="1" applyProtection="1">
      <alignment horizontal="center" vertical="center" wrapText="1"/>
    </xf>
    <xf numFmtId="0" fontId="53" fillId="0" borderId="0" xfId="0" applyFont="1" applyFill="1" applyBorder="1" applyAlignment="1" applyProtection="1">
      <alignment horizontal="center" vertical="center" wrapText="1"/>
      <protection locked="0"/>
    </xf>
    <xf numFmtId="9" fontId="53" fillId="0" borderId="0" xfId="0" applyNumberFormat="1" applyFont="1" applyFill="1" applyBorder="1" applyAlignment="1" applyProtection="1">
      <alignment horizontal="center" vertical="center" wrapText="1"/>
      <protection locked="0"/>
    </xf>
    <xf numFmtId="0" fontId="46" fillId="6" borderId="22" xfId="0" applyNumberFormat="1" applyFont="1" applyFill="1" applyBorder="1" applyAlignment="1" applyProtection="1">
      <alignment horizontal="center" vertical="center" wrapText="1"/>
    </xf>
    <xf numFmtId="0" fontId="46" fillId="6" borderId="20" xfId="0" applyFont="1" applyFill="1" applyBorder="1" applyAlignment="1" applyProtection="1">
      <alignment horizontal="center" vertical="center" wrapText="1"/>
    </xf>
    <xf numFmtId="0" fontId="68" fillId="6" borderId="80" xfId="0" applyFont="1" applyFill="1" applyBorder="1" applyAlignment="1" applyProtection="1">
      <alignment vertical="center" wrapText="1"/>
    </xf>
    <xf numFmtId="0" fontId="46" fillId="6" borderId="54" xfId="0" applyFont="1" applyFill="1" applyBorder="1" applyAlignment="1" applyProtection="1">
      <alignment horizontal="center" vertical="center" wrapText="1"/>
    </xf>
    <xf numFmtId="0" fontId="52" fillId="6" borderId="80" xfId="0" applyFont="1" applyFill="1" applyBorder="1" applyAlignment="1" applyProtection="1">
      <alignment vertical="center" wrapText="1"/>
    </xf>
    <xf numFmtId="0" fontId="46" fillId="0" borderId="36" xfId="0" applyFont="1" applyFill="1" applyBorder="1" applyAlignment="1" applyProtection="1">
      <alignment horizontal="center" vertical="center" wrapText="1"/>
      <protection locked="0"/>
    </xf>
    <xf numFmtId="0" fontId="48" fillId="6" borderId="80" xfId="0" applyFont="1" applyFill="1" applyBorder="1" applyAlignment="1" applyProtection="1">
      <alignment vertical="center" wrapText="1"/>
    </xf>
    <xf numFmtId="0" fontId="52" fillId="6" borderId="81" xfId="0" applyFont="1" applyFill="1" applyBorder="1" applyAlignment="1" applyProtection="1">
      <alignment vertical="center" wrapText="1"/>
    </xf>
    <xf numFmtId="0" fontId="53" fillId="6" borderId="53" xfId="0" applyFont="1" applyFill="1" applyBorder="1" applyAlignment="1" applyProtection="1">
      <alignment horizontal="center" vertical="center"/>
    </xf>
    <xf numFmtId="0" fontId="46" fillId="0" borderId="61" xfId="0" applyFont="1" applyFill="1" applyBorder="1" applyAlignment="1" applyProtection="1">
      <alignment horizontal="center" vertical="center" wrapText="1"/>
      <protection locked="0"/>
    </xf>
    <xf numFmtId="0" fontId="48" fillId="6" borderId="18" xfId="0" applyFont="1" applyFill="1" applyBorder="1" applyAlignment="1" applyProtection="1">
      <alignment vertical="center" wrapText="1"/>
    </xf>
    <xf numFmtId="0" fontId="46" fillId="6" borderId="76" xfId="0" applyNumberFormat="1" applyFont="1" applyFill="1" applyBorder="1" applyAlignment="1" applyProtection="1">
      <alignment horizontal="center" vertical="center" wrapText="1"/>
    </xf>
    <xf numFmtId="0" fontId="46" fillId="6" borderId="75" xfId="0" applyNumberFormat="1" applyFont="1" applyFill="1" applyBorder="1" applyAlignment="1" applyProtection="1">
      <alignment horizontal="center" vertical="center" wrapText="1"/>
    </xf>
    <xf numFmtId="0" fontId="52" fillId="6" borderId="16" xfId="0" applyFont="1" applyFill="1" applyBorder="1" applyAlignment="1" applyProtection="1">
      <alignment vertical="center" textRotation="255" wrapText="1"/>
    </xf>
    <xf numFmtId="0" fontId="71" fillId="6" borderId="18" xfId="0" applyFont="1" applyFill="1" applyBorder="1" applyAlignment="1" applyProtection="1">
      <alignment vertical="center" textRotation="255" wrapText="1"/>
    </xf>
    <xf numFmtId="0" fontId="46" fillId="6" borderId="24" xfId="0" applyFont="1" applyFill="1" applyBorder="1" applyAlignment="1" applyProtection="1">
      <alignment horizontal="center" vertical="center" wrapText="1"/>
    </xf>
    <xf numFmtId="49" fontId="46" fillId="0" borderId="37" xfId="0" applyNumberFormat="1" applyFont="1" applyFill="1" applyBorder="1" applyAlignment="1" applyProtection="1">
      <alignment horizontal="center" vertical="center" wrapText="1"/>
      <protection locked="0"/>
    </xf>
    <xf numFmtId="0" fontId="52" fillId="6" borderId="18" xfId="0" applyFont="1" applyFill="1" applyBorder="1" applyAlignment="1" applyProtection="1">
      <alignment vertical="center" textRotation="255" wrapText="1"/>
    </xf>
    <xf numFmtId="0" fontId="46" fillId="2" borderId="37" xfId="0" applyNumberFormat="1" applyFont="1" applyFill="1" applyBorder="1" applyAlignment="1" applyProtection="1">
      <alignment horizontal="center" vertical="center" wrapText="1"/>
      <protection locked="0"/>
    </xf>
    <xf numFmtId="0" fontId="48" fillId="6" borderId="18" xfId="0" applyFont="1" applyFill="1" applyBorder="1" applyAlignment="1" applyProtection="1">
      <alignment vertical="center" textRotation="255" wrapText="1"/>
    </xf>
    <xf numFmtId="0" fontId="52" fillId="6" borderId="42" xfId="0" applyFont="1" applyFill="1" applyBorder="1" applyAlignment="1" applyProtection="1">
      <alignment vertical="center" textRotation="255" wrapText="1"/>
    </xf>
    <xf numFmtId="0" fontId="53" fillId="6" borderId="15" xfId="0" applyNumberFormat="1" applyFont="1" applyFill="1" applyBorder="1" applyAlignment="1" applyProtection="1">
      <alignment horizontal="center" vertical="center" wrapText="1"/>
    </xf>
    <xf numFmtId="49" fontId="53" fillId="0" borderId="9" xfId="0" applyNumberFormat="1" applyFont="1" applyFill="1" applyBorder="1" applyAlignment="1" applyProtection="1">
      <alignment horizontal="center" vertical="center" wrapText="1"/>
      <protection locked="0"/>
    </xf>
    <xf numFmtId="49" fontId="70" fillId="0" borderId="9" xfId="0" applyNumberFormat="1" applyFont="1" applyFill="1" applyBorder="1" applyAlignment="1" applyProtection="1">
      <alignment horizontal="center" vertical="center" wrapText="1"/>
      <protection locked="0"/>
    </xf>
    <xf numFmtId="49" fontId="70" fillId="0" borderId="9" xfId="0" applyNumberFormat="1" applyFont="1" applyFill="1" applyBorder="1" applyAlignment="1" applyProtection="1">
      <alignment horizontal="left" vertical="center" wrapText="1"/>
      <protection locked="0"/>
    </xf>
    <xf numFmtId="49" fontId="70" fillId="0" borderId="10" xfId="0" applyNumberFormat="1" applyFont="1" applyFill="1" applyBorder="1" applyAlignment="1" applyProtection="1">
      <alignment horizontal="center" vertical="center" wrapText="1"/>
      <protection locked="0"/>
    </xf>
    <xf numFmtId="0" fontId="46" fillId="6" borderId="53" xfId="0" applyNumberFormat="1" applyFont="1" applyFill="1" applyBorder="1" applyAlignment="1" applyProtection="1">
      <alignment horizontal="center" vertical="center" wrapText="1"/>
    </xf>
    <xf numFmtId="0" fontId="46" fillId="6" borderId="58" xfId="0" applyNumberFormat="1" applyFont="1" applyFill="1" applyBorder="1" applyAlignment="1" applyProtection="1">
      <alignment horizontal="center" vertical="center" wrapText="1"/>
    </xf>
    <xf numFmtId="0" fontId="53" fillId="6" borderId="28" xfId="0" applyNumberFormat="1" applyFont="1" applyFill="1" applyBorder="1" applyAlignment="1" applyProtection="1">
      <alignment horizontal="center" vertical="center" wrapText="1"/>
    </xf>
    <xf numFmtId="0" fontId="70" fillId="6" borderId="15" xfId="0" applyNumberFormat="1" applyFont="1" applyFill="1" applyBorder="1" applyAlignment="1" applyProtection="1">
      <alignment horizontal="center" vertical="center" wrapText="1"/>
    </xf>
    <xf numFmtId="0" fontId="70" fillId="6" borderId="15" xfId="0" applyNumberFormat="1" applyFont="1" applyFill="1" applyBorder="1" applyAlignment="1" applyProtection="1">
      <alignment horizontal="left" vertical="center" wrapText="1"/>
    </xf>
    <xf numFmtId="0" fontId="70" fillId="6" borderId="53" xfId="0" applyNumberFormat="1" applyFont="1" applyFill="1" applyBorder="1" applyAlignment="1" applyProtection="1">
      <alignment horizontal="center" vertical="center" wrapText="1"/>
    </xf>
    <xf numFmtId="177" fontId="59" fillId="6" borderId="1" xfId="0" applyNumberFormat="1" applyFont="1" applyFill="1" applyBorder="1" applyAlignment="1" applyProtection="1">
      <alignment horizontal="right" vertical="center"/>
    </xf>
    <xf numFmtId="0" fontId="63" fillId="6" borderId="3" xfId="0" applyNumberFormat="1" applyFont="1" applyFill="1" applyBorder="1" applyAlignment="1" applyProtection="1">
      <alignment horizontal="center" vertical="center" wrapText="1"/>
    </xf>
    <xf numFmtId="0" fontId="63" fillId="0" borderId="3" xfId="0" applyNumberFormat="1" applyFont="1" applyFill="1" applyBorder="1" applyAlignment="1" applyProtection="1">
      <alignment horizontal="center" vertical="center" wrapText="1"/>
      <protection locked="0"/>
    </xf>
    <xf numFmtId="0" fontId="53" fillId="0" borderId="23" xfId="0" applyNumberFormat="1" applyFont="1" applyFill="1" applyBorder="1" applyAlignment="1" applyProtection="1">
      <alignment horizontal="center" vertical="center" wrapText="1"/>
      <protection locked="0"/>
    </xf>
    <xf numFmtId="0" fontId="53" fillId="6" borderId="18" xfId="0" applyFont="1" applyFill="1" applyBorder="1" applyAlignment="1" applyProtection="1">
      <alignment horizontal="center" vertical="center"/>
    </xf>
    <xf numFmtId="0" fontId="71" fillId="6" borderId="42" xfId="0" applyFont="1" applyFill="1" applyBorder="1" applyAlignment="1" applyProtection="1">
      <alignment vertical="center" textRotation="255" wrapText="1"/>
    </xf>
    <xf numFmtId="0" fontId="53" fillId="0" borderId="13" xfId="0" applyNumberFormat="1" applyFont="1" applyFill="1" applyBorder="1" applyAlignment="1" applyProtection="1">
      <alignment horizontal="center" vertical="center" wrapText="1"/>
      <protection locked="0"/>
    </xf>
    <xf numFmtId="0" fontId="53" fillId="0" borderId="25" xfId="0" applyNumberFormat="1" applyFont="1" applyFill="1" applyBorder="1" applyAlignment="1" applyProtection="1">
      <alignment horizontal="center" vertical="center" wrapText="1"/>
      <protection locked="0"/>
    </xf>
    <xf numFmtId="0" fontId="53" fillId="0" borderId="6" xfId="0" applyNumberFormat="1" applyFont="1" applyFill="1" applyBorder="1" applyAlignment="1" applyProtection="1">
      <alignment horizontal="center" vertical="center" wrapText="1"/>
      <protection locked="0"/>
    </xf>
    <xf numFmtId="0" fontId="73" fillId="6" borderId="3" xfId="0" applyNumberFormat="1" applyFont="1" applyFill="1" applyBorder="1" applyAlignment="1" applyProtection="1">
      <alignment horizontal="center" vertical="center" wrapText="1"/>
    </xf>
    <xf numFmtId="0" fontId="52" fillId="6" borderId="20" xfId="0" applyFont="1" applyFill="1" applyBorder="1" applyAlignment="1" applyProtection="1">
      <alignment horizontal="right" vertical="center" wrapText="1"/>
    </xf>
    <xf numFmtId="49" fontId="52" fillId="6" borderId="68" xfId="0" applyNumberFormat="1" applyFont="1" applyFill="1" applyBorder="1" applyAlignment="1" applyProtection="1">
      <alignment vertical="center"/>
    </xf>
    <xf numFmtId="14" fontId="53" fillId="6" borderId="6" xfId="0" applyNumberFormat="1" applyFont="1" applyFill="1" applyBorder="1" applyAlignment="1" applyProtection="1">
      <alignment horizontal="left" vertical="center"/>
    </xf>
    <xf numFmtId="176" fontId="53" fillId="6" borderId="9" xfId="0" applyNumberFormat="1" applyFont="1" applyFill="1" applyBorder="1" applyAlignment="1" applyProtection="1">
      <alignment horizontal="center" vertical="center"/>
    </xf>
    <xf numFmtId="0" fontId="53" fillId="6" borderId="9" xfId="0" applyFont="1" applyFill="1" applyBorder="1" applyAlignment="1" applyProtection="1">
      <alignment horizontal="center" vertical="center"/>
    </xf>
    <xf numFmtId="0" fontId="53" fillId="6" borderId="10" xfId="0" applyFont="1" applyFill="1" applyBorder="1" applyAlignment="1" applyProtection="1">
      <alignment horizontal="center" vertical="center"/>
    </xf>
    <xf numFmtId="0" fontId="55" fillId="6" borderId="23" xfId="0" applyFont="1" applyFill="1" applyBorder="1" applyAlignment="1" applyProtection="1"/>
    <xf numFmtId="186" fontId="55" fillId="6" borderId="1" xfId="1" applyNumberFormat="1" applyFont="1" applyFill="1" applyBorder="1" applyAlignment="1" applyProtection="1">
      <alignment horizontal="center"/>
    </xf>
    <xf numFmtId="0" fontId="55" fillId="6" borderId="1" xfId="0" applyFont="1" applyFill="1" applyBorder="1" applyAlignment="1" applyProtection="1">
      <alignment horizontal="center"/>
    </xf>
    <xf numFmtId="177" fontId="55" fillId="6" borderId="24" xfId="1" applyNumberFormat="1" applyFont="1" applyFill="1" applyBorder="1" applyAlignment="1" applyProtection="1">
      <alignment horizontal="center"/>
    </xf>
    <xf numFmtId="0" fontId="74" fillId="0" borderId="0" xfId="0" applyFont="1" applyFill="1" applyAlignment="1" applyProtection="1">
      <alignment horizontal="center" vertical="center"/>
      <protection locked="0"/>
    </xf>
    <xf numFmtId="0" fontId="55" fillId="6" borderId="23" xfId="1" applyFont="1" applyFill="1" applyBorder="1" applyAlignment="1" applyProtection="1"/>
    <xf numFmtId="179" fontId="55" fillId="0" borderId="1" xfId="1" applyNumberFormat="1" applyFont="1" applyFill="1" applyBorder="1" applyAlignment="1" applyProtection="1">
      <alignment horizontal="center"/>
      <protection locked="0"/>
    </xf>
    <xf numFmtId="0" fontId="56" fillId="6" borderId="25" xfId="1" applyFont="1" applyFill="1" applyBorder="1" applyAlignment="1" applyProtection="1"/>
    <xf numFmtId="0" fontId="55" fillId="6" borderId="32" xfId="0" applyFont="1" applyFill="1" applyBorder="1" applyAlignment="1" applyProtection="1">
      <alignment horizontal="center"/>
    </xf>
    <xf numFmtId="177" fontId="56" fillId="6" borderId="49" xfId="0" applyNumberFormat="1" applyFont="1" applyFill="1" applyBorder="1" applyAlignment="1" applyProtection="1">
      <alignment horizontal="center"/>
    </xf>
    <xf numFmtId="0" fontId="46" fillId="6" borderId="44" xfId="0" applyNumberFormat="1" applyFont="1" applyFill="1" applyBorder="1" applyAlignment="1" applyProtection="1">
      <alignment horizontal="left" vertical="center" wrapText="1"/>
    </xf>
    <xf numFmtId="0" fontId="53" fillId="0" borderId="61" xfId="0" applyNumberFormat="1" applyFont="1" applyFill="1" applyBorder="1" applyAlignment="1" applyProtection="1">
      <alignment horizontal="center" vertical="center" wrapText="1"/>
      <protection locked="0"/>
    </xf>
    <xf numFmtId="0" fontId="51" fillId="6" borderId="74" xfId="0" applyNumberFormat="1" applyFont="1" applyFill="1" applyBorder="1" applyAlignment="1" applyProtection="1">
      <alignment horizontal="center" vertical="center" wrapText="1"/>
    </xf>
    <xf numFmtId="0" fontId="53" fillId="0" borderId="66" xfId="0" applyNumberFormat="1" applyFont="1" applyFill="1" applyBorder="1" applyAlignment="1" applyProtection="1">
      <alignment horizontal="center" vertical="center" wrapText="1"/>
      <protection locked="0"/>
    </xf>
    <xf numFmtId="0" fontId="49" fillId="0" borderId="0" xfId="0" applyNumberFormat="1" applyFont="1" applyAlignment="1" applyProtection="1">
      <alignment horizontal="center" vertical="center"/>
      <protection locked="0"/>
    </xf>
    <xf numFmtId="0" fontId="49" fillId="6" borderId="16" xfId="0" applyNumberFormat="1" applyFont="1" applyFill="1" applyBorder="1" applyAlignment="1" applyProtection="1">
      <alignment horizontal="center" vertical="center" wrapText="1"/>
    </xf>
    <xf numFmtId="0" fontId="49" fillId="6" borderId="6" xfId="0" applyNumberFormat="1" applyFont="1" applyFill="1" applyBorder="1" applyAlignment="1" applyProtection="1">
      <alignment horizontal="center" vertical="center" wrapText="1"/>
    </xf>
    <xf numFmtId="0" fontId="49" fillId="6" borderId="9" xfId="0" applyNumberFormat="1" applyFont="1" applyFill="1" applyBorder="1" applyAlignment="1" applyProtection="1">
      <alignment horizontal="center" vertical="center" wrapText="1"/>
    </xf>
    <xf numFmtId="0" fontId="49" fillId="6" borderId="31" xfId="0" applyNumberFormat="1" applyFont="1" applyFill="1" applyBorder="1" applyAlignment="1" applyProtection="1">
      <alignment horizontal="center" vertical="center" wrapText="1"/>
    </xf>
    <xf numFmtId="0" fontId="55" fillId="0" borderId="0" xfId="0" applyFont="1" applyFill="1" applyAlignment="1" applyProtection="1">
      <alignment horizontal="center" vertical="center"/>
      <protection locked="0"/>
    </xf>
    <xf numFmtId="0" fontId="49" fillId="6" borderId="18" xfId="0" applyNumberFormat="1" applyFont="1" applyFill="1" applyBorder="1" applyAlignment="1" applyProtection="1">
      <alignment horizontal="center" vertical="center"/>
    </xf>
    <xf numFmtId="0" fontId="49" fillId="0" borderId="23" xfId="0" applyNumberFormat="1" applyFont="1" applyFill="1" applyBorder="1" applyAlignment="1" applyProtection="1">
      <alignment horizontal="center" vertical="center" wrapText="1"/>
      <protection locked="0"/>
    </xf>
    <xf numFmtId="0" fontId="49" fillId="0" borderId="1" xfId="0" applyNumberFormat="1" applyFont="1" applyFill="1" applyBorder="1" applyAlignment="1" applyProtection="1">
      <alignment horizontal="center" vertical="center" wrapText="1"/>
      <protection locked="0"/>
    </xf>
    <xf numFmtId="0" fontId="50" fillId="6" borderId="59" xfId="0" applyNumberFormat="1" applyFont="1" applyFill="1" applyBorder="1" applyAlignment="1" applyProtection="1">
      <alignment horizontal="center" vertical="center" wrapText="1"/>
    </xf>
    <xf numFmtId="0" fontId="50" fillId="0" borderId="0" xfId="0" applyFont="1" applyFill="1" applyAlignment="1" applyProtection="1">
      <alignment horizontal="center" vertical="center"/>
      <protection locked="0"/>
    </xf>
    <xf numFmtId="0" fontId="49" fillId="0" borderId="56" xfId="0" applyNumberFormat="1" applyFont="1" applyFill="1" applyBorder="1" applyAlignment="1" applyProtection="1">
      <alignment horizontal="center" vertical="center" wrapText="1"/>
      <protection locked="0"/>
    </xf>
    <xf numFmtId="0" fontId="55" fillId="6" borderId="25" xfId="0" applyNumberFormat="1" applyFont="1" applyFill="1" applyBorder="1" applyAlignment="1" applyProtection="1">
      <alignment horizontal="center" vertical="center" wrapText="1"/>
    </xf>
    <xf numFmtId="0" fontId="47" fillId="6" borderId="1" xfId="0" applyFont="1" applyFill="1" applyBorder="1" applyProtection="1">
      <alignment vertical="center"/>
    </xf>
    <xf numFmtId="0" fontId="49" fillId="6" borderId="1" xfId="0" applyNumberFormat="1" applyFont="1" applyFill="1" applyBorder="1" applyAlignment="1" applyProtection="1">
      <alignment horizontal="center" vertical="center"/>
    </xf>
    <xf numFmtId="0" fontId="49" fillId="6" borderId="1" xfId="0" applyNumberFormat="1" applyFont="1" applyFill="1" applyBorder="1" applyAlignment="1" applyProtection="1">
      <alignment horizontal="center" vertical="center" wrapText="1"/>
    </xf>
    <xf numFmtId="0" fontId="62" fillId="0" borderId="1" xfId="0" applyFont="1" applyFill="1" applyBorder="1" applyAlignment="1" applyProtection="1">
      <alignment horizontal="center" vertical="center"/>
      <protection locked="0"/>
    </xf>
    <xf numFmtId="0" fontId="62" fillId="6" borderId="1" xfId="0" applyFont="1" applyFill="1" applyBorder="1" applyAlignment="1" applyProtection="1">
      <alignment horizontal="center" vertical="center"/>
    </xf>
    <xf numFmtId="0" fontId="62" fillId="2" borderId="1" xfId="0" applyFont="1" applyFill="1" applyBorder="1" applyAlignment="1" applyProtection="1">
      <alignment horizontal="center" vertical="center"/>
      <protection locked="0"/>
    </xf>
    <xf numFmtId="0" fontId="62" fillId="0" borderId="1" xfId="0" applyNumberFormat="1" applyFont="1" applyBorder="1" applyAlignment="1" applyProtection="1">
      <alignment horizontal="center" vertical="center"/>
      <protection locked="0"/>
    </xf>
    <xf numFmtId="0" fontId="62" fillId="0" borderId="0" xfId="0" applyFont="1" applyProtection="1">
      <alignment vertical="center"/>
      <protection locked="0"/>
    </xf>
    <xf numFmtId="0" fontId="46" fillId="6" borderId="23" xfId="0" applyFont="1" applyFill="1" applyBorder="1" applyAlignment="1" applyProtection="1">
      <alignment vertical="center"/>
    </xf>
    <xf numFmtId="0" fontId="55" fillId="0" borderId="8" xfId="1" applyNumberFormat="1" applyFont="1" applyFill="1" applyBorder="1" applyAlignment="1" applyProtection="1">
      <alignment horizontal="center" vertical="center"/>
      <protection locked="0"/>
    </xf>
    <xf numFmtId="0" fontId="55" fillId="0" borderId="61" xfId="1" applyNumberFormat="1" applyFont="1" applyFill="1" applyBorder="1" applyAlignment="1" applyProtection="1">
      <alignment horizontal="center" vertical="center"/>
      <protection locked="0"/>
    </xf>
    <xf numFmtId="181" fontId="49" fillId="0" borderId="10" xfId="0" applyNumberFormat="1" applyFont="1" applyFill="1" applyBorder="1" applyAlignment="1" applyProtection="1">
      <alignment horizontal="center" vertical="center"/>
      <protection locked="0"/>
    </xf>
    <xf numFmtId="0" fontId="48" fillId="0" borderId="32" xfId="0" applyFont="1" applyFill="1" applyBorder="1" applyAlignment="1" applyProtection="1">
      <alignment horizontal="center" vertical="center"/>
      <protection locked="0"/>
    </xf>
    <xf numFmtId="0" fontId="102" fillId="0" borderId="0" xfId="0" applyFont="1" applyProtection="1">
      <alignment vertical="center"/>
    </xf>
    <xf numFmtId="179" fontId="48" fillId="6" borderId="66" xfId="0" applyNumberFormat="1" applyFont="1" applyFill="1" applyBorder="1" applyAlignment="1" applyProtection="1">
      <alignment vertical="center"/>
    </xf>
    <xf numFmtId="179" fontId="48" fillId="6" borderId="32" xfId="0" applyNumberFormat="1" applyFont="1" applyFill="1" applyBorder="1" applyAlignment="1" applyProtection="1">
      <alignment vertical="center"/>
    </xf>
    <xf numFmtId="179" fontId="48" fillId="6" borderId="49" xfId="0" applyNumberFormat="1" applyFont="1" applyFill="1" applyBorder="1" applyAlignment="1" applyProtection="1">
      <alignment vertical="center"/>
    </xf>
    <xf numFmtId="0" fontId="49" fillId="6" borderId="0" xfId="0" applyFont="1" applyFill="1" applyAlignment="1" applyProtection="1">
      <alignment vertical="center"/>
    </xf>
    <xf numFmtId="0" fontId="102" fillId="6" borderId="0" xfId="0" applyFont="1" applyFill="1" applyAlignment="1" applyProtection="1">
      <alignment vertical="center"/>
    </xf>
    <xf numFmtId="0" fontId="102" fillId="6" borderId="0" xfId="0" applyFont="1" applyFill="1" applyAlignment="1" applyProtection="1">
      <alignment horizontal="left" vertical="center"/>
    </xf>
    <xf numFmtId="0" fontId="102" fillId="6" borderId="0" xfId="2" applyFont="1" applyFill="1" applyAlignment="1" applyProtection="1">
      <alignment horizontal="left"/>
    </xf>
    <xf numFmtId="49" fontId="59" fillId="6" borderId="0" xfId="0" applyNumberFormat="1" applyFont="1" applyFill="1" applyBorder="1" applyAlignment="1" applyProtection="1">
      <alignment horizontal="center"/>
    </xf>
    <xf numFmtId="0" fontId="49" fillId="6" borderId="0" xfId="0" applyFont="1" applyFill="1" applyBorder="1" applyAlignment="1" applyProtection="1">
      <alignment vertical="center"/>
    </xf>
    <xf numFmtId="0" fontId="67" fillId="6" borderId="36" xfId="0" applyFont="1" applyFill="1" applyBorder="1" applyAlignment="1" applyProtection="1">
      <alignment vertical="center"/>
    </xf>
    <xf numFmtId="0" fontId="64" fillId="6" borderId="36" xfId="0" applyFont="1" applyFill="1" applyBorder="1" applyAlignment="1" applyProtection="1">
      <alignment vertical="center"/>
    </xf>
    <xf numFmtId="189" fontId="64" fillId="6" borderId="36" xfId="0" applyNumberFormat="1" applyFont="1" applyFill="1" applyBorder="1" applyAlignment="1" applyProtection="1">
      <alignment horizontal="center" vertical="center"/>
    </xf>
    <xf numFmtId="181" fontId="64" fillId="6" borderId="36" xfId="0" applyNumberFormat="1" applyFont="1" applyFill="1" applyBorder="1" applyAlignment="1" applyProtection="1">
      <alignment vertical="center"/>
    </xf>
    <xf numFmtId="0" fontId="64" fillId="6" borderId="36" xfId="0" applyFont="1" applyFill="1" applyBorder="1" applyAlignment="1" applyProtection="1">
      <alignment horizontal="center" vertical="center"/>
    </xf>
    <xf numFmtId="0" fontId="53" fillId="6" borderId="0" xfId="0" applyFont="1" applyFill="1" applyAlignment="1" applyProtection="1">
      <alignment horizontal="center" vertical="center"/>
    </xf>
    <xf numFmtId="0" fontId="70" fillId="6" borderId="0" xfId="0" applyFont="1" applyFill="1" applyAlignment="1" applyProtection="1">
      <alignment horizontal="center" vertical="center"/>
    </xf>
    <xf numFmtId="14" fontId="53" fillId="6" borderId="0" xfId="0" applyNumberFormat="1" applyFont="1" applyFill="1" applyAlignment="1" applyProtection="1">
      <alignment horizontal="center" vertical="center"/>
    </xf>
    <xf numFmtId="176" fontId="53" fillId="6" borderId="0" xfId="0" applyNumberFormat="1" applyFont="1" applyFill="1" applyAlignment="1" applyProtection="1">
      <alignment horizontal="center" vertical="center"/>
    </xf>
    <xf numFmtId="0" fontId="58" fillId="6" borderId="0" xfId="0" applyFont="1" applyFill="1" applyBorder="1" applyAlignment="1" applyProtection="1"/>
    <xf numFmtId="0" fontId="53" fillId="6" borderId="0" xfId="0" applyFont="1" applyFill="1" applyBorder="1" applyAlignment="1" applyProtection="1"/>
    <xf numFmtId="0" fontId="53" fillId="6" borderId="0" xfId="0" applyFont="1" applyFill="1" applyBorder="1" applyAlignment="1" applyProtection="1">
      <alignment horizontal="center"/>
    </xf>
    <xf numFmtId="189" fontId="53" fillId="6" borderId="0" xfId="0" applyNumberFormat="1" applyFont="1" applyFill="1" applyBorder="1" applyAlignment="1" applyProtection="1">
      <alignment horizontal="center"/>
    </xf>
    <xf numFmtId="181" fontId="53" fillId="6" borderId="0" xfId="0" applyNumberFormat="1" applyFont="1" applyFill="1" applyBorder="1" applyAlignment="1" applyProtection="1"/>
    <xf numFmtId="0" fontId="64" fillId="6" borderId="0" xfId="0" applyFont="1" applyFill="1" applyBorder="1" applyAlignment="1" applyProtection="1">
      <alignment horizontal="center" vertical="center"/>
    </xf>
    <xf numFmtId="0" fontId="65" fillId="6" borderId="0" xfId="0" applyFont="1" applyFill="1" applyBorder="1" applyAlignment="1" applyProtection="1">
      <alignment horizontal="center" vertical="center"/>
    </xf>
    <xf numFmtId="188" fontId="46" fillId="6" borderId="5" xfId="0" applyNumberFormat="1" applyFont="1" applyFill="1" applyBorder="1" applyAlignment="1" applyProtection="1">
      <alignment horizontal="center" vertical="center"/>
    </xf>
    <xf numFmtId="49" fontId="46" fillId="6" borderId="3" xfId="0" applyNumberFormat="1" applyFont="1" applyFill="1" applyBorder="1" applyAlignment="1" applyProtection="1">
      <alignment horizontal="center" vertical="center"/>
    </xf>
    <xf numFmtId="0" fontId="46" fillId="6" borderId="15" xfId="0" applyFont="1" applyFill="1" applyBorder="1" applyAlignment="1" applyProtection="1">
      <alignment horizontal="center" vertical="center"/>
    </xf>
    <xf numFmtId="0" fontId="46" fillId="6" borderId="1" xfId="0" applyNumberFormat="1" applyFont="1" applyFill="1" applyBorder="1" applyAlignment="1" applyProtection="1">
      <alignment horizontal="center" vertical="center"/>
    </xf>
    <xf numFmtId="188" fontId="53" fillId="6" borderId="5" xfId="0" applyNumberFormat="1" applyFont="1" applyFill="1" applyBorder="1" applyAlignment="1" applyProtection="1">
      <alignment horizontal="center" vertical="center"/>
    </xf>
    <xf numFmtId="49" fontId="53" fillId="6" borderId="3" xfId="0" applyNumberFormat="1" applyFont="1" applyFill="1" applyBorder="1" applyAlignment="1" applyProtection="1">
      <alignment horizontal="center" vertical="center"/>
    </xf>
    <xf numFmtId="0" fontId="51" fillId="6" borderId="1" xfId="0" applyFont="1" applyFill="1" applyBorder="1" applyAlignment="1" applyProtection="1">
      <alignment horizontal="center" vertical="center" wrapText="1"/>
    </xf>
    <xf numFmtId="188" fontId="51" fillId="6" borderId="5" xfId="0" applyNumberFormat="1" applyFont="1" applyFill="1" applyBorder="1" applyAlignment="1" applyProtection="1">
      <alignment horizontal="center" vertical="center"/>
    </xf>
    <xf numFmtId="49" fontId="51" fillId="6" borderId="3" xfId="0" applyNumberFormat="1" applyFont="1" applyFill="1" applyBorder="1" applyAlignment="1" applyProtection="1">
      <alignment horizontal="center" vertical="center"/>
    </xf>
    <xf numFmtId="0" fontId="51" fillId="6" borderId="15" xfId="0" applyFont="1" applyFill="1" applyBorder="1" applyAlignment="1" applyProtection="1">
      <alignment horizontal="center" vertical="center"/>
    </xf>
    <xf numFmtId="0" fontId="51" fillId="6" borderId="1" xfId="0" applyFont="1" applyFill="1" applyBorder="1" applyAlignment="1" applyProtection="1">
      <alignment horizontal="center" vertical="center"/>
    </xf>
    <xf numFmtId="0" fontId="53" fillId="6" borderId="2" xfId="0" applyFont="1" applyFill="1" applyBorder="1" applyAlignment="1" applyProtection="1">
      <alignment vertical="center" textRotation="255" wrapText="1"/>
    </xf>
    <xf numFmtId="0" fontId="65" fillId="6" borderId="0" xfId="0" applyFont="1" applyFill="1" applyAlignment="1" applyProtection="1">
      <alignment horizontal="center" vertical="center"/>
    </xf>
    <xf numFmtId="189" fontId="53" fillId="6" borderId="3" xfId="0" applyNumberFormat="1" applyFont="1" applyFill="1" applyBorder="1" applyAlignment="1" applyProtection="1">
      <alignment horizontal="center" vertical="center"/>
    </xf>
    <xf numFmtId="189" fontId="53" fillId="6" borderId="1" xfId="0" applyNumberFormat="1" applyFont="1" applyFill="1" applyBorder="1" applyAlignment="1" applyProtection="1">
      <alignment horizontal="center" vertical="center" wrapText="1"/>
    </xf>
    <xf numFmtId="0" fontId="64" fillId="6" borderId="60" xfId="0" applyFont="1" applyFill="1" applyBorder="1" applyAlignment="1" applyProtection="1">
      <alignment horizontal="center" vertical="center"/>
    </xf>
    <xf numFmtId="0" fontId="49" fillId="6" borderId="0" xfId="0" applyNumberFormat="1" applyFont="1" applyFill="1" applyAlignment="1" applyProtection="1">
      <alignment horizontal="center" vertical="center"/>
      <protection locked="0"/>
    </xf>
    <xf numFmtId="0" fontId="46" fillId="6" borderId="32" xfId="0" applyFont="1" applyFill="1" applyBorder="1" applyAlignment="1" applyProtection="1">
      <alignment horizontal="center" vertical="center"/>
    </xf>
    <xf numFmtId="0" fontId="46" fillId="6" borderId="49" xfId="0" applyFont="1" applyFill="1" applyBorder="1" applyAlignment="1" applyProtection="1">
      <alignment horizontal="center" vertical="center"/>
    </xf>
    <xf numFmtId="181" fontId="109" fillId="6" borderId="65" xfId="0" applyNumberFormat="1" applyFont="1" applyFill="1" applyBorder="1" applyAlignment="1" applyProtection="1">
      <alignment horizontal="center" vertical="center"/>
    </xf>
    <xf numFmtId="179" fontId="55" fillId="7" borderId="0" xfId="0" applyNumberFormat="1" applyFont="1" applyFill="1" applyBorder="1" applyAlignment="1" applyProtection="1">
      <alignment horizontal="center" vertical="center"/>
      <protection locked="0"/>
    </xf>
    <xf numFmtId="49" fontId="56" fillId="7" borderId="0" xfId="0" applyNumberFormat="1" applyFont="1" applyFill="1" applyBorder="1" applyAlignment="1" applyProtection="1">
      <alignment horizontal="left" vertical="center"/>
      <protection locked="0"/>
    </xf>
    <xf numFmtId="0" fontId="65" fillId="7" borderId="0" xfId="0" applyFont="1" applyFill="1" applyAlignment="1" applyProtection="1">
      <alignment vertical="center"/>
      <protection locked="0"/>
    </xf>
    <xf numFmtId="0" fontId="49" fillId="7" borderId="0" xfId="0" applyFont="1" applyFill="1" applyProtection="1">
      <alignment vertical="center"/>
      <protection locked="0"/>
    </xf>
    <xf numFmtId="0" fontId="55" fillId="7" borderId="0" xfId="0" applyFont="1" applyFill="1" applyAlignment="1" applyProtection="1">
      <alignment horizontal="center" vertical="center"/>
      <protection locked="0"/>
    </xf>
    <xf numFmtId="0" fontId="50" fillId="7" borderId="0" xfId="0" applyFont="1" applyFill="1" applyAlignment="1" applyProtection="1">
      <alignment horizontal="center" vertical="center"/>
      <protection locked="0"/>
    </xf>
    <xf numFmtId="0" fontId="49" fillId="7" borderId="0" xfId="0" applyFont="1" applyFill="1" applyAlignment="1" applyProtection="1">
      <alignment horizontal="center" vertical="center"/>
      <protection locked="0"/>
    </xf>
    <xf numFmtId="0" fontId="49" fillId="7" borderId="0" xfId="0" applyFont="1" applyFill="1" applyAlignment="1" applyProtection="1">
      <alignment horizontal="center" vertical="center" wrapText="1"/>
      <protection locked="0"/>
    </xf>
    <xf numFmtId="0" fontId="62" fillId="7" borderId="0" xfId="0" applyFont="1" applyFill="1" applyProtection="1">
      <alignment vertical="center"/>
      <protection locked="0"/>
    </xf>
    <xf numFmtId="10" fontId="49" fillId="0" borderId="1" xfId="1" applyNumberFormat="1" applyFont="1" applyFill="1" applyBorder="1" applyAlignment="1" applyProtection="1">
      <alignment horizontal="center" vertical="center"/>
      <protection locked="0"/>
    </xf>
    <xf numFmtId="181" fontId="103" fillId="0" borderId="1" xfId="0" applyNumberFormat="1" applyFont="1" applyFill="1" applyBorder="1" applyAlignment="1" applyProtection="1">
      <alignment horizontal="center" vertical="center"/>
      <protection locked="0"/>
    </xf>
    <xf numFmtId="177" fontId="49" fillId="0" borderId="1" xfId="1" applyNumberFormat="1" applyFont="1" applyFill="1" applyBorder="1" applyAlignment="1" applyProtection="1">
      <alignment horizontal="center" vertical="center"/>
      <protection locked="0"/>
    </xf>
    <xf numFmtId="9" fontId="49" fillId="0" borderId="5" xfId="0" applyNumberFormat="1" applyFont="1" applyFill="1" applyBorder="1" applyAlignment="1" applyProtection="1">
      <alignment horizontal="center" vertical="center"/>
      <protection locked="0"/>
    </xf>
    <xf numFmtId="0" fontId="49" fillId="0" borderId="23" xfId="0" applyFont="1" applyBorder="1" applyAlignment="1" applyProtection="1">
      <alignment vertical="center"/>
      <protection locked="0"/>
    </xf>
    <xf numFmtId="181" fontId="49" fillId="0" borderId="1" xfId="0" applyNumberFormat="1" applyFont="1" applyBorder="1" applyAlignment="1" applyProtection="1">
      <alignment vertical="center"/>
      <protection locked="0"/>
    </xf>
    <xf numFmtId="181" fontId="49" fillId="0" borderId="24" xfId="0" applyNumberFormat="1" applyFont="1" applyBorder="1" applyAlignment="1" applyProtection="1">
      <alignment vertical="center"/>
      <protection locked="0"/>
    </xf>
    <xf numFmtId="0" fontId="49" fillId="0" borderId="23" xfId="0" applyFont="1" applyBorder="1" applyAlignment="1" applyProtection="1">
      <alignment horizontal="center" vertical="center"/>
      <protection locked="0"/>
    </xf>
    <xf numFmtId="10" fontId="49" fillId="0" borderId="1" xfId="0" applyNumberFormat="1" applyFont="1" applyBorder="1" applyAlignment="1" applyProtection="1">
      <alignment horizontal="center" vertical="center"/>
      <protection locked="0"/>
    </xf>
    <xf numFmtId="183" fontId="49" fillId="0" borderId="1" xfId="0" applyNumberFormat="1" applyFont="1" applyBorder="1" applyAlignment="1" applyProtection="1">
      <alignment horizontal="center" vertical="center"/>
      <protection locked="0"/>
    </xf>
    <xf numFmtId="181" fontId="49" fillId="0" borderId="24" xfId="0" applyNumberFormat="1" applyFont="1" applyBorder="1" applyAlignment="1" applyProtection="1">
      <alignment horizontal="center" vertical="center"/>
      <protection locked="0"/>
    </xf>
    <xf numFmtId="0" fontId="63" fillId="6" borderId="3" xfId="0" applyNumberFormat="1" applyFont="1" applyFill="1" applyBorder="1" applyAlignment="1" applyProtection="1">
      <alignment horizontal="center" vertical="center" wrapText="1"/>
      <protection locked="0"/>
    </xf>
    <xf numFmtId="0" fontId="0" fillId="6" borderId="0" xfId="0" applyFill="1" applyProtection="1">
      <alignment vertical="center"/>
    </xf>
    <xf numFmtId="0" fontId="113" fillId="6" borderId="20" xfId="0" applyFont="1" applyFill="1" applyBorder="1" applyAlignment="1" applyProtection="1">
      <alignment vertical="center"/>
    </xf>
    <xf numFmtId="0" fontId="113" fillId="6" borderId="21" xfId="0" applyFont="1" applyFill="1" applyBorder="1" applyAlignment="1" applyProtection="1">
      <alignment horizontal="center" vertical="center"/>
    </xf>
    <xf numFmtId="0" fontId="0" fillId="0" borderId="0" xfId="0" applyProtection="1">
      <alignment vertical="center"/>
    </xf>
    <xf numFmtId="0" fontId="111" fillId="6" borderId="23" xfId="0" applyFont="1" applyFill="1" applyBorder="1" applyAlignment="1" applyProtection="1">
      <alignment horizontal="center" vertical="center" wrapText="1"/>
    </xf>
    <xf numFmtId="0" fontId="111" fillId="6" borderId="1" xfId="0" applyFont="1" applyFill="1" applyBorder="1" applyAlignment="1" applyProtection="1">
      <alignment horizontal="center" vertical="center" wrapText="1"/>
    </xf>
    <xf numFmtId="0" fontId="55" fillId="6" borderId="24" xfId="0" applyFont="1" applyFill="1" applyBorder="1" applyAlignment="1" applyProtection="1">
      <alignment horizontal="center" vertical="center" wrapText="1"/>
    </xf>
    <xf numFmtId="9" fontId="103" fillId="6" borderId="1" xfId="0" applyNumberFormat="1" applyFont="1" applyFill="1" applyBorder="1" applyAlignment="1" applyProtection="1">
      <alignment horizontal="center" vertical="center" wrapText="1"/>
    </xf>
    <xf numFmtId="10" fontId="55" fillId="6" borderId="61" xfId="0" applyNumberFormat="1" applyFont="1" applyFill="1" applyBorder="1" applyAlignment="1" applyProtection="1">
      <alignment horizontal="center" vertical="center" wrapText="1"/>
    </xf>
    <xf numFmtId="10" fontId="55" fillId="6" borderId="53" xfId="0" applyNumberFormat="1" applyFont="1" applyFill="1" applyBorder="1" applyAlignment="1" applyProtection="1">
      <alignment vertical="center" wrapText="1"/>
    </xf>
    <xf numFmtId="0" fontId="111" fillId="6" borderId="13" xfId="0" applyFont="1" applyFill="1" applyBorder="1" applyAlignment="1" applyProtection="1">
      <alignment horizontal="center" vertical="center" wrapText="1"/>
    </xf>
    <xf numFmtId="9" fontId="103" fillId="6" borderId="32" xfId="0" applyNumberFormat="1" applyFont="1" applyFill="1" applyBorder="1" applyAlignment="1" applyProtection="1">
      <alignment horizontal="center" vertical="center" wrapText="1"/>
    </xf>
    <xf numFmtId="10" fontId="55" fillId="6" borderId="76" xfId="0" applyNumberFormat="1" applyFont="1" applyFill="1" applyBorder="1" applyAlignment="1" applyProtection="1">
      <alignment vertical="center" wrapText="1"/>
    </xf>
    <xf numFmtId="10" fontId="55" fillId="6" borderId="53" xfId="0" applyNumberFormat="1" applyFont="1" applyFill="1" applyBorder="1" applyAlignment="1" applyProtection="1">
      <alignment horizontal="center" vertical="center" wrapText="1"/>
    </xf>
    <xf numFmtId="10" fontId="55" fillId="6" borderId="76" xfId="0" applyNumberFormat="1" applyFont="1" applyFill="1" applyBorder="1" applyAlignment="1" applyProtection="1">
      <alignment horizontal="center" vertical="center" wrapText="1"/>
    </xf>
    <xf numFmtId="0" fontId="0" fillId="6" borderId="18" xfId="0" applyFill="1" applyBorder="1" applyProtection="1">
      <alignment vertical="center"/>
    </xf>
    <xf numFmtId="0" fontId="99" fillId="6" borderId="0" xfId="0" applyFont="1" applyFill="1" applyProtection="1">
      <alignment vertical="center"/>
    </xf>
    <xf numFmtId="0" fontId="0" fillId="6" borderId="40" xfId="0" applyFill="1" applyBorder="1" applyAlignment="1" applyProtection="1">
      <alignment horizontal="center" vertical="center"/>
    </xf>
    <xf numFmtId="0" fontId="0" fillId="6" borderId="17" xfId="0" applyFill="1" applyBorder="1" applyAlignment="1" applyProtection="1">
      <alignment horizontal="center" vertical="center"/>
    </xf>
    <xf numFmtId="0" fontId="0" fillId="6" borderId="62" xfId="0" applyFill="1" applyBorder="1" applyAlignment="1" applyProtection="1">
      <alignment horizontal="center" vertical="center"/>
    </xf>
    <xf numFmtId="0" fontId="114" fillId="6" borderId="23" xfId="0" applyFont="1" applyFill="1" applyBorder="1" applyAlignment="1" applyProtection="1">
      <alignment horizontal="center" vertical="center" wrapText="1"/>
    </xf>
    <xf numFmtId="0" fontId="114" fillId="6" borderId="1" xfId="0" applyFont="1" applyFill="1" applyBorder="1" applyAlignment="1" applyProtection="1">
      <alignment horizontal="center" vertical="center" wrapText="1"/>
    </xf>
    <xf numFmtId="0" fontId="99" fillId="6" borderId="19" xfId="0" applyFont="1" applyFill="1" applyBorder="1" applyProtection="1">
      <alignment vertical="center"/>
    </xf>
    <xf numFmtId="0" fontId="115" fillId="6" borderId="28" xfId="0" applyFont="1" applyFill="1" applyBorder="1" applyAlignment="1" applyProtection="1">
      <alignment horizontal="center" vertical="center"/>
    </xf>
    <xf numFmtId="0" fontId="99" fillId="6" borderId="18" xfId="0" applyFont="1" applyFill="1" applyBorder="1" applyProtection="1">
      <alignment vertical="center"/>
    </xf>
    <xf numFmtId="0" fontId="115" fillId="6" borderId="32" xfId="0" applyFont="1" applyFill="1" applyBorder="1" applyAlignment="1" applyProtection="1">
      <alignment horizontal="center" vertical="center"/>
    </xf>
    <xf numFmtId="0" fontId="115" fillId="6" borderId="33" xfId="0" applyFont="1" applyFill="1" applyBorder="1" applyAlignment="1" applyProtection="1">
      <alignment horizontal="center" vertical="center"/>
    </xf>
    <xf numFmtId="0" fontId="114" fillId="6" borderId="40" xfId="0" applyFont="1" applyFill="1" applyBorder="1" applyAlignment="1" applyProtection="1">
      <alignment vertical="center" wrapText="1"/>
    </xf>
    <xf numFmtId="0" fontId="114" fillId="6" borderId="9" xfId="0" applyFont="1" applyFill="1" applyBorder="1" applyAlignment="1" applyProtection="1">
      <alignment horizontal="center" vertical="center" wrapText="1"/>
    </xf>
    <xf numFmtId="0" fontId="114" fillId="6" borderId="28" xfId="0" applyFont="1" applyFill="1" applyBorder="1" applyAlignment="1" applyProtection="1">
      <alignment horizontal="center" vertical="center" wrapText="1"/>
    </xf>
    <xf numFmtId="0" fontId="114" fillId="6" borderId="4" xfId="0" applyFont="1" applyFill="1" applyBorder="1" applyAlignment="1" applyProtection="1">
      <alignment horizontal="center" vertical="center" wrapText="1"/>
    </xf>
    <xf numFmtId="0" fontId="114" fillId="6" borderId="2" xfId="0" applyFont="1" applyFill="1" applyBorder="1" applyAlignment="1" applyProtection="1">
      <alignment horizontal="center" vertical="center" wrapText="1"/>
    </xf>
    <xf numFmtId="0" fontId="114" fillId="6" borderId="74" xfId="0" applyFont="1" applyFill="1" applyBorder="1" applyAlignment="1" applyProtection="1">
      <alignment horizontal="center" vertical="center" wrapText="1"/>
    </xf>
    <xf numFmtId="0" fontId="114" fillId="6" borderId="32" xfId="0" applyFont="1" applyFill="1" applyBorder="1" applyAlignment="1" applyProtection="1">
      <alignment horizontal="center" vertical="center" wrapText="1"/>
    </xf>
    <xf numFmtId="0" fontId="116" fillId="6" borderId="33" xfId="0" applyFont="1" applyFill="1" applyBorder="1" applyProtection="1">
      <alignment vertical="center"/>
    </xf>
    <xf numFmtId="0" fontId="114" fillId="6" borderId="5" xfId="0" applyFont="1" applyFill="1" applyBorder="1" applyAlignment="1" applyProtection="1">
      <alignment horizontal="center" vertical="center" wrapText="1"/>
    </xf>
    <xf numFmtId="0" fontId="116" fillId="6" borderId="5" xfId="0" applyFont="1" applyFill="1" applyBorder="1" applyProtection="1">
      <alignment vertical="center"/>
    </xf>
    <xf numFmtId="0" fontId="114" fillId="6" borderId="26" xfId="0" applyFont="1" applyFill="1" applyBorder="1" applyAlignment="1" applyProtection="1">
      <alignment vertical="center" wrapText="1"/>
    </xf>
    <xf numFmtId="0" fontId="114" fillId="6" borderId="33" xfId="0" applyFont="1" applyFill="1" applyBorder="1" applyAlignment="1" applyProtection="1">
      <alignment horizontal="center" vertical="center" wrapText="1"/>
    </xf>
    <xf numFmtId="0" fontId="0" fillId="6" borderId="5" xfId="0" applyFill="1" applyBorder="1" applyProtection="1">
      <alignment vertical="center"/>
    </xf>
    <xf numFmtId="0" fontId="0" fillId="6" borderId="1" xfId="0" applyFill="1" applyBorder="1" applyProtection="1">
      <alignment vertical="center"/>
    </xf>
    <xf numFmtId="0" fontId="0" fillId="6" borderId="28" xfId="0" applyFill="1" applyBorder="1" applyProtection="1">
      <alignment vertical="center"/>
    </xf>
    <xf numFmtId="0" fontId="0" fillId="6" borderId="0" xfId="0" applyFill="1" applyAlignment="1" applyProtection="1">
      <alignment horizontal="center" vertical="center"/>
    </xf>
    <xf numFmtId="0" fontId="0" fillId="6" borderId="40" xfId="0" applyFill="1" applyBorder="1" applyAlignment="1" applyProtection="1">
      <alignment horizontal="right" vertical="center"/>
    </xf>
    <xf numFmtId="0" fontId="0" fillId="6" borderId="6" xfId="0" applyFill="1" applyBorder="1" applyAlignment="1" applyProtection="1">
      <alignment horizontal="center" vertical="center"/>
    </xf>
    <xf numFmtId="178" fontId="0" fillId="6" borderId="9" xfId="0" applyNumberFormat="1" applyFill="1" applyBorder="1" applyAlignment="1" applyProtection="1">
      <alignment horizontal="center" vertical="center"/>
    </xf>
    <xf numFmtId="178" fontId="0" fillId="6" borderId="28" xfId="0" applyNumberFormat="1" applyFill="1" applyBorder="1" applyAlignment="1" applyProtection="1">
      <alignment horizontal="center" vertical="center"/>
    </xf>
    <xf numFmtId="178" fontId="0" fillId="6" borderId="10" xfId="0" applyNumberFormat="1" applyFill="1" applyBorder="1" applyAlignment="1" applyProtection="1">
      <alignment horizontal="center" vertical="center"/>
    </xf>
    <xf numFmtId="0" fontId="0" fillId="6" borderId="23" xfId="0" applyFill="1" applyBorder="1" applyAlignment="1" applyProtection="1">
      <alignment horizontal="center" vertical="center"/>
    </xf>
    <xf numFmtId="178" fontId="0" fillId="6" borderId="1" xfId="0" applyNumberFormat="1" applyFill="1" applyBorder="1" applyAlignment="1" applyProtection="1">
      <alignment horizontal="center" vertical="center"/>
    </xf>
    <xf numFmtId="178" fontId="0" fillId="6" borderId="5" xfId="0" applyNumberFormat="1" applyFill="1" applyBorder="1" applyAlignment="1" applyProtection="1">
      <alignment horizontal="center" vertical="center"/>
    </xf>
    <xf numFmtId="178" fontId="0" fillId="6" borderId="24" xfId="0" applyNumberFormat="1" applyFill="1" applyBorder="1" applyAlignment="1" applyProtection="1">
      <alignment horizontal="center" vertical="center"/>
    </xf>
    <xf numFmtId="0" fontId="0" fillId="6" borderId="25" xfId="0" applyFill="1" applyBorder="1" applyAlignment="1" applyProtection="1">
      <alignment horizontal="center" vertical="center"/>
    </xf>
    <xf numFmtId="178" fontId="0" fillId="6" borderId="33" xfId="0" applyNumberFormat="1" applyFill="1" applyBorder="1" applyAlignment="1" applyProtection="1">
      <alignment horizontal="center" vertical="center"/>
    </xf>
    <xf numFmtId="178" fontId="0" fillId="6" borderId="32" xfId="0" applyNumberFormat="1" applyFill="1" applyBorder="1" applyAlignment="1" applyProtection="1">
      <alignment horizontal="center" vertical="center"/>
    </xf>
    <xf numFmtId="178" fontId="0" fillId="6" borderId="49" xfId="0" applyNumberFormat="1" applyFill="1" applyBorder="1" applyAlignment="1" applyProtection="1">
      <alignment horizontal="center" vertical="center"/>
    </xf>
    <xf numFmtId="0" fontId="111" fillId="6" borderId="6" xfId="0" applyFont="1" applyFill="1" applyBorder="1" applyAlignment="1" applyProtection="1">
      <alignment horizontal="center" vertical="center" wrapText="1"/>
    </xf>
    <xf numFmtId="0" fontId="111" fillId="6" borderId="9" xfId="0" applyFont="1" applyFill="1" applyBorder="1" applyAlignment="1" applyProtection="1">
      <alignment horizontal="center" vertical="center" wrapText="1"/>
    </xf>
    <xf numFmtId="0" fontId="111" fillId="6" borderId="10" xfId="0" applyFont="1" applyFill="1" applyBorder="1" applyAlignment="1" applyProtection="1">
      <alignment horizontal="center" vertical="center" wrapText="1"/>
    </xf>
    <xf numFmtId="0" fontId="111" fillId="6" borderId="24" xfId="0" applyFont="1" applyFill="1" applyBorder="1" applyAlignment="1" applyProtection="1">
      <alignment horizontal="center" vertical="center" wrapText="1"/>
    </xf>
    <xf numFmtId="0" fontId="111" fillId="6" borderId="11" xfId="0" applyFont="1" applyFill="1" applyBorder="1" applyAlignment="1" applyProtection="1">
      <alignment horizontal="center" vertical="center" wrapText="1"/>
    </xf>
    <xf numFmtId="0" fontId="111" fillId="6" borderId="61" xfId="0" applyFont="1" applyFill="1" applyBorder="1" applyAlignment="1" applyProtection="1">
      <alignment horizontal="center" vertical="center" wrapText="1"/>
    </xf>
    <xf numFmtId="0" fontId="0" fillId="6" borderId="1" xfId="0" applyFill="1" applyBorder="1" applyAlignment="1" applyProtection="1">
      <alignment horizontal="center" vertical="center"/>
    </xf>
    <xf numFmtId="0" fontId="117" fillId="6" borderId="60" xfId="0" applyFont="1" applyFill="1" applyBorder="1" applyAlignment="1" applyProtection="1">
      <alignment vertical="center"/>
    </xf>
    <xf numFmtId="0" fontId="117" fillId="6" borderId="0" xfId="0" applyFont="1" applyFill="1" applyBorder="1" applyAlignment="1" applyProtection="1">
      <alignment vertical="center"/>
    </xf>
    <xf numFmtId="0" fontId="0" fillId="0" borderId="0" xfId="0" applyAlignment="1" applyProtection="1">
      <alignment horizontal="center" vertical="center"/>
    </xf>
    <xf numFmtId="0" fontId="111" fillId="6" borderId="5" xfId="0" applyFont="1" applyFill="1" applyBorder="1" applyAlignment="1" applyProtection="1">
      <alignment horizontal="center" vertical="center" wrapText="1"/>
    </xf>
    <xf numFmtId="0" fontId="111" fillId="6" borderId="3" xfId="0" applyFont="1" applyFill="1" applyBorder="1" applyAlignment="1" applyProtection="1">
      <alignment horizontal="center" vertical="center" wrapText="1"/>
    </xf>
    <xf numFmtId="0" fontId="111" fillId="6" borderId="0" xfId="0" applyFont="1" applyFill="1" applyBorder="1" applyAlignment="1" applyProtection="1">
      <alignment horizontal="center" vertical="center" wrapText="1"/>
    </xf>
    <xf numFmtId="0" fontId="111" fillId="6" borderId="1" xfId="0" applyFont="1" applyFill="1" applyBorder="1" applyAlignment="1" applyProtection="1">
      <alignment horizontal="center" vertical="center"/>
    </xf>
    <xf numFmtId="0" fontId="111" fillId="6" borderId="5" xfId="0" applyFont="1" applyFill="1" applyBorder="1" applyAlignment="1" applyProtection="1">
      <alignment horizontal="left" vertical="center"/>
    </xf>
    <xf numFmtId="0" fontId="111" fillId="6" borderId="3" xfId="0" applyFont="1" applyFill="1" applyBorder="1" applyAlignment="1" applyProtection="1">
      <alignment horizontal="left" vertical="center"/>
    </xf>
    <xf numFmtId="0" fontId="111" fillId="6" borderId="0" xfId="0" applyFont="1" applyFill="1" applyBorder="1" applyAlignment="1" applyProtection="1">
      <alignment vertical="center"/>
    </xf>
    <xf numFmtId="0" fontId="111" fillId="6" borderId="0" xfId="0" applyFont="1" applyFill="1" applyBorder="1" applyAlignment="1" applyProtection="1">
      <alignment horizontal="center" vertical="center"/>
    </xf>
    <xf numFmtId="0" fontId="0" fillId="0" borderId="0" xfId="0" applyAlignment="1" applyProtection="1">
      <alignment vertical="center"/>
    </xf>
    <xf numFmtId="0" fontId="111" fillId="0" borderId="36" xfId="0" applyFont="1" applyBorder="1" applyAlignment="1" applyProtection="1">
      <alignment vertical="center"/>
    </xf>
    <xf numFmtId="0" fontId="111" fillId="0" borderId="0" xfId="0" applyFont="1" applyBorder="1" applyAlignment="1" applyProtection="1">
      <alignment vertical="center"/>
    </xf>
    <xf numFmtId="0" fontId="111" fillId="6" borderId="4" xfId="0" applyFont="1" applyFill="1" applyBorder="1" applyAlignment="1" applyProtection="1">
      <alignment vertical="center" wrapText="1"/>
    </xf>
    <xf numFmtId="0" fontId="111" fillId="6" borderId="2" xfId="0" applyFont="1" applyFill="1" applyBorder="1" applyAlignment="1" applyProtection="1">
      <alignment vertical="center" wrapText="1"/>
    </xf>
    <xf numFmtId="0" fontId="111" fillId="6" borderId="7" xfId="0" applyFont="1" applyFill="1" applyBorder="1" applyAlignment="1" applyProtection="1">
      <alignment vertical="center" wrapText="1"/>
    </xf>
    <xf numFmtId="0" fontId="111" fillId="6" borderId="2" xfId="0" applyFont="1" applyFill="1" applyBorder="1" applyAlignment="1" applyProtection="1">
      <alignment horizontal="center" vertical="center"/>
    </xf>
    <xf numFmtId="0" fontId="111" fillId="6" borderId="0" xfId="0" applyFont="1" applyFill="1" applyAlignment="1" applyProtection="1">
      <alignment horizontal="center" vertical="center"/>
    </xf>
    <xf numFmtId="9" fontId="111" fillId="6" borderId="1" xfId="0" applyNumberFormat="1" applyFont="1" applyFill="1" applyBorder="1" applyAlignment="1" applyProtection="1">
      <alignment horizontal="center" vertical="center"/>
    </xf>
    <xf numFmtId="179" fontId="80" fillId="0" borderId="60" xfId="3" applyNumberFormat="1" applyFont="1" applyBorder="1" applyAlignment="1" applyProtection="1">
      <alignment vertical="center"/>
    </xf>
    <xf numFmtId="0" fontId="80" fillId="0" borderId="60" xfId="3" applyNumberFormat="1" applyFont="1" applyBorder="1" applyAlignment="1" applyProtection="1">
      <alignment vertical="center"/>
    </xf>
    <xf numFmtId="0" fontId="0" fillId="0" borderId="0" xfId="0" applyNumberFormat="1" applyProtection="1">
      <alignment vertical="center"/>
    </xf>
    <xf numFmtId="179" fontId="81" fillId="6" borderId="1" xfId="3" applyNumberFormat="1" applyFont="1" applyFill="1" applyBorder="1" applyAlignment="1" applyProtection="1">
      <alignment horizontal="center" vertical="center"/>
    </xf>
    <xf numFmtId="0" fontId="81" fillId="6" borderId="1" xfId="3" applyNumberFormat="1" applyFont="1" applyFill="1" applyBorder="1" applyAlignment="1" applyProtection="1">
      <alignment horizontal="center" vertical="center"/>
    </xf>
    <xf numFmtId="0" fontId="81" fillId="6" borderId="1" xfId="3" applyNumberFormat="1" applyFont="1" applyFill="1" applyBorder="1" applyAlignment="1" applyProtection="1">
      <alignment horizontal="center" vertical="center" wrapText="1"/>
    </xf>
    <xf numFmtId="0" fontId="81" fillId="6" borderId="15" xfId="3" applyNumberFormat="1" applyFont="1" applyFill="1" applyBorder="1" applyAlignment="1" applyProtection="1">
      <alignment horizontal="center" vertical="center"/>
    </xf>
    <xf numFmtId="0" fontId="55" fillId="6" borderId="15" xfId="0" applyNumberFormat="1" applyFont="1" applyFill="1" applyBorder="1" applyAlignment="1" applyProtection="1">
      <alignment horizontal="center" vertical="center" wrapText="1"/>
    </xf>
    <xf numFmtId="0" fontId="55" fillId="6" borderId="17" xfId="0" applyNumberFormat="1" applyFont="1" applyFill="1" applyBorder="1" applyAlignment="1" applyProtection="1">
      <alignment horizontal="center" vertical="center" wrapText="1"/>
    </xf>
    <xf numFmtId="0" fontId="118" fillId="6" borderId="19" xfId="0" applyNumberFormat="1" applyFont="1" applyFill="1" applyBorder="1" applyAlignment="1" applyProtection="1">
      <alignment horizontal="center" vertical="center" wrapText="1"/>
    </xf>
    <xf numFmtId="0" fontId="119" fillId="6"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55" fillId="6" borderId="16" xfId="0" applyNumberFormat="1" applyFont="1" applyFill="1" applyBorder="1" applyAlignment="1" applyProtection="1">
      <alignment vertical="center" wrapText="1"/>
    </xf>
    <xf numFmtId="0" fontId="55" fillId="6" borderId="23" xfId="0" applyNumberFormat="1" applyFont="1" applyFill="1" applyBorder="1" applyAlignment="1" applyProtection="1">
      <alignment horizontal="center" vertical="center" wrapText="1"/>
    </xf>
    <xf numFmtId="0" fontId="118" fillId="6" borderId="1" xfId="0" applyNumberFormat="1" applyFont="1" applyFill="1" applyBorder="1" applyAlignment="1" applyProtection="1">
      <alignment horizontal="center" vertical="center" wrapText="1"/>
    </xf>
    <xf numFmtId="0" fontId="118" fillId="6" borderId="24" xfId="0" applyNumberFormat="1" applyFont="1" applyFill="1" applyBorder="1" applyAlignment="1" applyProtection="1">
      <alignment horizontal="center" vertical="center" wrapText="1"/>
    </xf>
    <xf numFmtId="0" fontId="118" fillId="6" borderId="32" xfId="0" applyNumberFormat="1" applyFont="1" applyFill="1" applyBorder="1" applyAlignment="1" applyProtection="1">
      <alignment horizontal="center" vertical="center" wrapText="1"/>
    </xf>
    <xf numFmtId="0" fontId="118" fillId="6" borderId="49" xfId="0" applyNumberFormat="1" applyFont="1" applyFill="1" applyBorder="1" applyAlignment="1" applyProtection="1">
      <alignment horizontal="center" vertical="center" wrapText="1"/>
    </xf>
    <xf numFmtId="179" fontId="81" fillId="6"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53" fillId="6" borderId="1" xfId="0" applyNumberFormat="1" applyFont="1" applyFill="1" applyBorder="1" applyAlignment="1" applyProtection="1">
      <alignment horizontal="center" vertical="center" wrapText="1"/>
    </xf>
    <xf numFmtId="0" fontId="52" fillId="6" borderId="36" xfId="0" applyFont="1" applyFill="1" applyBorder="1" applyAlignment="1" applyProtection="1">
      <alignment horizontal="center" vertical="center"/>
    </xf>
    <xf numFmtId="0" fontId="56" fillId="6" borderId="34" xfId="0" applyFont="1" applyFill="1" applyBorder="1" applyAlignment="1" applyProtection="1">
      <alignment horizontal="center" vertical="center"/>
    </xf>
    <xf numFmtId="0" fontId="56" fillId="6" borderId="28" xfId="0" applyNumberFormat="1" applyFont="1" applyFill="1" applyBorder="1" applyAlignment="1" applyProtection="1">
      <alignment horizontal="center" vertical="center" wrapText="1"/>
    </xf>
    <xf numFmtId="0" fontId="55" fillId="6" borderId="2" xfId="0" applyFont="1" applyFill="1" applyBorder="1" applyAlignment="1" applyProtection="1">
      <alignment horizontal="center" vertical="center" wrapText="1"/>
    </xf>
    <xf numFmtId="0" fontId="55" fillId="6" borderId="4" xfId="0" applyFont="1" applyFill="1" applyBorder="1" applyAlignment="1" applyProtection="1">
      <alignment horizontal="center" vertical="center" wrapText="1"/>
    </xf>
    <xf numFmtId="9" fontId="55" fillId="6" borderId="1" xfId="0" applyNumberFormat="1" applyFont="1" applyFill="1" applyBorder="1" applyAlignment="1" applyProtection="1">
      <alignment horizontal="center" vertical="center" wrapText="1"/>
    </xf>
    <xf numFmtId="0" fontId="55" fillId="6" borderId="13" xfId="0" applyFont="1" applyFill="1" applyBorder="1" applyAlignment="1" applyProtection="1">
      <alignment horizontal="center" vertical="center" wrapText="1"/>
    </xf>
    <xf numFmtId="187" fontId="52" fillId="6" borderId="84" xfId="0" applyNumberFormat="1" applyFont="1" applyFill="1" applyBorder="1" applyAlignment="1" applyProtection="1">
      <alignment horizontal="center" vertical="center" wrapText="1"/>
    </xf>
    <xf numFmtId="14" fontId="53" fillId="6" borderId="84" xfId="0" applyNumberFormat="1" applyFont="1" applyFill="1" applyBorder="1" applyAlignment="1" applyProtection="1">
      <alignment horizontal="center" vertical="center" wrapText="1"/>
    </xf>
    <xf numFmtId="14" fontId="53" fillId="6" borderId="64" xfId="0" applyNumberFormat="1" applyFont="1" applyFill="1" applyBorder="1" applyAlignment="1" applyProtection="1">
      <alignment horizontal="center" vertical="center" wrapText="1"/>
    </xf>
    <xf numFmtId="10" fontId="53" fillId="6" borderId="64" xfId="0" applyNumberFormat="1" applyFont="1" applyFill="1" applyBorder="1" applyAlignment="1" applyProtection="1">
      <alignment horizontal="center" vertical="center" wrapText="1"/>
    </xf>
    <xf numFmtId="0" fontId="103" fillId="6" borderId="67" xfId="0" applyFont="1" applyFill="1" applyBorder="1" applyAlignment="1" applyProtection="1">
      <alignment horizontal="center" vertical="center" wrapText="1"/>
    </xf>
    <xf numFmtId="187" fontId="52" fillId="6" borderId="17" xfId="0" applyNumberFormat="1" applyFont="1" applyFill="1" applyBorder="1" applyAlignment="1" applyProtection="1">
      <alignment horizontal="center" vertical="center" wrapText="1"/>
    </xf>
    <xf numFmtId="0" fontId="56" fillId="6" borderId="20" xfId="0" applyFont="1" applyFill="1" applyBorder="1" applyAlignment="1" applyProtection="1">
      <alignment horizontal="center" vertical="center" wrapText="1"/>
    </xf>
    <xf numFmtId="0" fontId="56" fillId="6" borderId="15" xfId="0" applyFont="1" applyFill="1" applyBorder="1" applyAlignment="1" applyProtection="1">
      <alignment horizontal="center" vertical="center" wrapText="1"/>
    </xf>
    <xf numFmtId="0" fontId="56" fillId="6" borderId="32" xfId="0" applyFont="1" applyFill="1" applyBorder="1" applyAlignment="1" applyProtection="1">
      <alignment horizontal="center" vertical="center" wrapText="1"/>
    </xf>
    <xf numFmtId="0" fontId="111" fillId="6" borderId="5" xfId="0" applyFont="1" applyFill="1" applyBorder="1" applyAlignment="1" applyProtection="1">
      <alignment horizontal="center" vertical="center" wrapText="1"/>
    </xf>
    <xf numFmtId="181" fontId="103" fillId="6" borderId="17" xfId="0" applyNumberFormat="1" applyFont="1" applyFill="1" applyBorder="1" applyAlignment="1" applyProtection="1">
      <alignment horizontal="center" vertical="center" wrapText="1"/>
    </xf>
    <xf numFmtId="0" fontId="55" fillId="6" borderId="29" xfId="0" applyFont="1" applyFill="1" applyBorder="1" applyAlignment="1" applyProtection="1">
      <alignment horizontal="center" vertical="center" wrapText="1"/>
    </xf>
    <xf numFmtId="0" fontId="55" fillId="6" borderId="62" xfId="0" applyFont="1" applyFill="1" applyBorder="1" applyAlignment="1" applyProtection="1">
      <alignment horizontal="center" vertical="center" wrapText="1"/>
    </xf>
    <xf numFmtId="0" fontId="53" fillId="6" borderId="9" xfId="0" applyFont="1" applyFill="1" applyBorder="1" applyAlignment="1" applyProtection="1">
      <alignment horizontal="center" vertical="center" wrapText="1"/>
    </xf>
    <xf numFmtId="0" fontId="53" fillId="6" borderId="24" xfId="0" applyFont="1" applyFill="1" applyBorder="1" applyAlignment="1" applyProtection="1">
      <alignment horizontal="center" vertical="center" wrapText="1"/>
    </xf>
    <xf numFmtId="0" fontId="111" fillId="6" borderId="1" xfId="0" applyFont="1" applyFill="1" applyBorder="1" applyAlignment="1" applyProtection="1">
      <alignment horizontal="center" vertical="center"/>
    </xf>
    <xf numFmtId="0" fontId="103" fillId="6" borderId="1" xfId="0" applyFont="1" applyFill="1" applyBorder="1" applyAlignment="1" applyProtection="1">
      <alignment horizontal="center" vertical="center"/>
    </xf>
    <xf numFmtId="0" fontId="103" fillId="0" borderId="1" xfId="0" applyFont="1" applyFill="1" applyBorder="1" applyAlignment="1" applyProtection="1">
      <alignment horizontal="center" vertical="center"/>
      <protection locked="0"/>
    </xf>
    <xf numFmtId="177" fontId="53" fillId="0" borderId="1" xfId="0" applyNumberFormat="1" applyFont="1" applyFill="1" applyBorder="1" applyAlignment="1" applyProtection="1">
      <alignment horizontal="center" vertical="center" wrapText="1"/>
      <protection locked="0"/>
    </xf>
    <xf numFmtId="0" fontId="55" fillId="0" borderId="9" xfId="0" applyFont="1" applyFill="1" applyBorder="1" applyAlignment="1" applyProtection="1">
      <alignment horizontal="center" vertical="center" wrapText="1"/>
      <protection locked="0"/>
    </xf>
    <xf numFmtId="0" fontId="55" fillId="0" borderId="32" xfId="0" applyFont="1" applyFill="1" applyBorder="1" applyAlignment="1" applyProtection="1">
      <alignment horizontal="center" vertical="center" wrapText="1"/>
      <protection locked="0"/>
    </xf>
    <xf numFmtId="0" fontId="55" fillId="0" borderId="49" xfId="0" applyFont="1" applyFill="1" applyBorder="1" applyAlignment="1" applyProtection="1">
      <alignment horizontal="center" vertical="center" wrapText="1"/>
      <protection locked="0"/>
    </xf>
    <xf numFmtId="49" fontId="83" fillId="6" borderId="23" xfId="1" applyNumberFormat="1" applyFont="1" applyFill="1" applyBorder="1" applyAlignment="1" applyProtection="1">
      <alignment horizontal="left"/>
    </xf>
    <xf numFmtId="49" fontId="55" fillId="6" borderId="23" xfId="1" applyNumberFormat="1" applyFont="1" applyFill="1" applyBorder="1" applyAlignment="1" applyProtection="1">
      <alignment horizontal="center"/>
    </xf>
    <xf numFmtId="0" fontId="61" fillId="6" borderId="23" xfId="1" applyFont="1" applyFill="1" applyBorder="1" applyAlignment="1" applyProtection="1">
      <alignment horizontal="right"/>
    </xf>
    <xf numFmtId="0" fontId="55" fillId="6" borderId="23" xfId="0" applyFont="1" applyFill="1" applyBorder="1" applyAlignment="1" applyProtection="1">
      <alignment horizontal="center" vertical="center"/>
    </xf>
    <xf numFmtId="0" fontId="49" fillId="3" borderId="0" xfId="0" applyFont="1" applyFill="1" applyAlignment="1" applyProtection="1">
      <alignment vertical="center"/>
      <protection locked="0"/>
    </xf>
    <xf numFmtId="0" fontId="47" fillId="6" borderId="51" xfId="0" applyFont="1" applyFill="1" applyBorder="1" applyAlignment="1" applyProtection="1">
      <alignment vertical="center"/>
    </xf>
    <xf numFmtId="0" fontId="47" fillId="6" borderId="20" xfId="0" applyFont="1" applyFill="1" applyBorder="1" applyAlignment="1" applyProtection="1">
      <alignment vertical="center"/>
    </xf>
    <xf numFmtId="0" fontId="47" fillId="6" borderId="21" xfId="0" applyFont="1" applyFill="1" applyBorder="1" applyAlignment="1" applyProtection="1">
      <alignment vertical="center"/>
    </xf>
    <xf numFmtId="0" fontId="63" fillId="7" borderId="0" xfId="0" applyFont="1" applyFill="1" applyAlignment="1" applyProtection="1">
      <alignment vertical="center"/>
      <protection locked="0"/>
    </xf>
    <xf numFmtId="0" fontId="48" fillId="6" borderId="23" xfId="0" applyFont="1" applyFill="1" applyBorder="1" applyAlignment="1" applyProtection="1">
      <alignment horizontal="center" vertical="center"/>
    </xf>
    <xf numFmtId="0" fontId="48" fillId="6" borderId="46" xfId="0" applyFont="1" applyFill="1" applyBorder="1" applyAlignment="1" applyProtection="1">
      <alignment vertical="center"/>
    </xf>
    <xf numFmtId="0" fontId="48" fillId="7" borderId="0" xfId="0" applyFont="1" applyFill="1" applyAlignment="1" applyProtection="1">
      <alignment vertical="center"/>
      <protection locked="0"/>
    </xf>
    <xf numFmtId="0" fontId="48" fillId="0" borderId="0" xfId="0" applyFont="1" applyFill="1" applyAlignment="1" applyProtection="1">
      <alignment vertical="center"/>
      <protection locked="0"/>
    </xf>
    <xf numFmtId="49" fontId="49" fillId="6" borderId="23" xfId="0" applyNumberFormat="1" applyFont="1" applyFill="1" applyBorder="1" applyAlignment="1" applyProtection="1">
      <alignment horizontal="center" vertical="center"/>
    </xf>
    <xf numFmtId="186" fontId="49" fillId="0" borderId="1" xfId="0" applyNumberFormat="1" applyFont="1" applyFill="1" applyBorder="1" applyAlignment="1" applyProtection="1">
      <alignment horizontal="center" vertical="center"/>
      <protection locked="0"/>
    </xf>
    <xf numFmtId="186" fontId="49" fillId="0" borderId="24" xfId="0" applyNumberFormat="1" applyFont="1" applyFill="1" applyBorder="1" applyAlignment="1" applyProtection="1">
      <alignment horizontal="center" vertical="center"/>
      <protection locked="0"/>
    </xf>
    <xf numFmtId="0" fontId="49" fillId="7" borderId="0" xfId="0" applyFont="1" applyFill="1" applyAlignment="1" applyProtection="1">
      <alignment vertical="center"/>
      <protection locked="0"/>
    </xf>
    <xf numFmtId="0" fontId="49" fillId="0" borderId="0" xfId="0" applyFont="1" applyFill="1" applyAlignment="1" applyProtection="1">
      <alignment vertical="center"/>
      <protection locked="0"/>
    </xf>
    <xf numFmtId="186" fontId="48" fillId="6" borderId="1" xfId="0" applyNumberFormat="1" applyFont="1" applyFill="1" applyBorder="1" applyAlignment="1" applyProtection="1">
      <alignment horizontal="center" vertical="center"/>
    </xf>
    <xf numFmtId="0" fontId="48" fillId="6" borderId="1" xfId="0" applyFont="1" applyFill="1" applyBorder="1" applyAlignment="1" applyProtection="1">
      <alignment horizontal="center" vertical="center"/>
    </xf>
    <xf numFmtId="0" fontId="48" fillId="6" borderId="54" xfId="0" applyFont="1" applyFill="1" applyBorder="1" applyAlignment="1" applyProtection="1">
      <alignment vertical="center"/>
    </xf>
    <xf numFmtId="0" fontId="48" fillId="6" borderId="48" xfId="0" applyFont="1" applyFill="1" applyBorder="1" applyAlignment="1" applyProtection="1">
      <alignment vertical="center"/>
    </xf>
    <xf numFmtId="0" fontId="46" fillId="7" borderId="0" xfId="0" applyFont="1" applyFill="1" applyAlignment="1" applyProtection="1">
      <alignment vertical="center"/>
      <protection locked="0"/>
    </xf>
    <xf numFmtId="0" fontId="49" fillId="6" borderId="23" xfId="1" applyFont="1" applyFill="1" applyBorder="1" applyAlignment="1" applyProtection="1">
      <alignment horizontal="right" vertical="center"/>
    </xf>
    <xf numFmtId="0" fontId="49" fillId="6" borderId="5" xfId="1" applyFont="1" applyFill="1" applyBorder="1" applyAlignment="1" applyProtection="1">
      <alignment vertical="center"/>
    </xf>
    <xf numFmtId="179" fontId="49" fillId="6" borderId="1" xfId="1" applyNumberFormat="1" applyFont="1" applyFill="1" applyBorder="1" applyAlignment="1" applyProtection="1">
      <alignment horizontal="center" vertical="center"/>
    </xf>
    <xf numFmtId="181" fontId="49" fillId="6" borderId="1" xfId="1" applyNumberFormat="1" applyFont="1" applyFill="1" applyBorder="1" applyAlignment="1" applyProtection="1">
      <alignment horizontal="center" vertical="center"/>
    </xf>
    <xf numFmtId="0" fontId="51" fillId="7" borderId="0" xfId="0" applyFont="1" applyFill="1" applyAlignment="1" applyProtection="1">
      <alignment vertical="center"/>
      <protection locked="0"/>
    </xf>
    <xf numFmtId="9" fontId="49" fillId="6" borderId="1" xfId="1" applyNumberFormat="1" applyFont="1" applyFill="1" applyBorder="1" applyAlignment="1" applyProtection="1">
      <alignment horizontal="center" vertical="center"/>
    </xf>
    <xf numFmtId="0" fontId="51" fillId="0" borderId="0" xfId="0" applyFont="1" applyFill="1" applyAlignment="1" applyProtection="1">
      <alignment vertical="center"/>
      <protection locked="0"/>
    </xf>
    <xf numFmtId="177" fontId="49" fillId="6" borderId="1" xfId="1" applyNumberFormat="1" applyFont="1" applyFill="1" applyBorder="1" applyAlignment="1" applyProtection="1">
      <alignment vertical="center"/>
    </xf>
    <xf numFmtId="0" fontId="49" fillId="6" borderId="54" xfId="0" applyFont="1" applyFill="1" applyBorder="1" applyAlignment="1" applyProtection="1">
      <alignment vertical="center"/>
    </xf>
    <xf numFmtId="0" fontId="49" fillId="6" borderId="48" xfId="0" applyFont="1" applyFill="1" applyBorder="1" applyAlignment="1" applyProtection="1">
      <alignment vertical="center"/>
    </xf>
    <xf numFmtId="0" fontId="49" fillId="6" borderId="54" xfId="0" applyFont="1" applyFill="1" applyBorder="1" applyAlignment="1" applyProtection="1">
      <alignment horizontal="left" vertical="center"/>
    </xf>
    <xf numFmtId="0" fontId="49" fillId="6" borderId="48" xfId="0" applyFont="1" applyFill="1" applyBorder="1" applyAlignment="1" applyProtection="1">
      <alignment horizontal="left" vertical="center"/>
    </xf>
    <xf numFmtId="177" fontId="49" fillId="6" borderId="1" xfId="1" applyNumberFormat="1" applyFont="1" applyFill="1" applyBorder="1" applyAlignment="1" applyProtection="1">
      <alignment horizontal="center" vertical="center"/>
    </xf>
    <xf numFmtId="10" fontId="49" fillId="6" borderId="1" xfId="1" applyNumberFormat="1" applyFont="1" applyFill="1" applyBorder="1" applyAlignment="1" applyProtection="1">
      <alignment horizontal="center" vertical="center"/>
    </xf>
    <xf numFmtId="0" fontId="48" fillId="6" borderId="5" xfId="1" applyFont="1" applyFill="1" applyBorder="1" applyAlignment="1" applyProtection="1">
      <alignment vertical="center"/>
    </xf>
    <xf numFmtId="177" fontId="48" fillId="6" borderId="1" xfId="1" applyNumberFormat="1" applyFont="1" applyFill="1" applyBorder="1" applyAlignment="1" applyProtection="1">
      <alignment horizontal="center" vertical="center"/>
    </xf>
    <xf numFmtId="0" fontId="48" fillId="6" borderId="1" xfId="1" applyFont="1" applyFill="1" applyBorder="1" applyAlignment="1" applyProtection="1">
      <alignment vertical="center"/>
    </xf>
    <xf numFmtId="10" fontId="48" fillId="6" borderId="1" xfId="1" applyNumberFormat="1" applyFont="1" applyFill="1" applyBorder="1" applyAlignment="1" applyProtection="1">
      <alignment horizontal="center" vertical="center"/>
    </xf>
    <xf numFmtId="0" fontId="46" fillId="6" borderId="5" xfId="0" applyFont="1" applyFill="1" applyBorder="1" applyAlignment="1" applyProtection="1">
      <alignment vertical="center"/>
    </xf>
    <xf numFmtId="0" fontId="46" fillId="6" borderId="54" xfId="0" applyFont="1" applyFill="1" applyBorder="1" applyAlignment="1" applyProtection="1">
      <alignment vertical="center"/>
    </xf>
    <xf numFmtId="0" fontId="46" fillId="6" borderId="48" xfId="0" applyFont="1" applyFill="1" applyBorder="1" applyAlignment="1" applyProtection="1">
      <alignment vertical="center"/>
    </xf>
    <xf numFmtId="0" fontId="49" fillId="6" borderId="1" xfId="1" applyFont="1" applyFill="1" applyBorder="1" applyAlignment="1" applyProtection="1">
      <alignment horizontal="left" vertical="center"/>
    </xf>
    <xf numFmtId="0" fontId="50" fillId="3" borderId="0" xfId="0" applyFont="1" applyFill="1" applyAlignment="1" applyProtection="1">
      <alignment vertical="center"/>
      <protection locked="0"/>
    </xf>
    <xf numFmtId="0" fontId="49" fillId="6" borderId="5" xfId="1" applyFont="1" applyFill="1" applyBorder="1" applyAlignment="1" applyProtection="1">
      <alignment horizontal="left" vertical="center"/>
    </xf>
    <xf numFmtId="186" fontId="49" fillId="3" borderId="0" xfId="0" applyNumberFormat="1" applyFont="1" applyFill="1" applyAlignment="1" applyProtection="1">
      <alignment horizontal="center" vertical="center"/>
      <protection locked="0"/>
    </xf>
    <xf numFmtId="186" fontId="48" fillId="6" borderId="28" xfId="0" applyNumberFormat="1" applyFont="1" applyFill="1" applyBorder="1" applyAlignment="1" applyProtection="1">
      <alignment horizontal="center" vertical="center"/>
    </xf>
    <xf numFmtId="186" fontId="103" fillId="0" borderId="13" xfId="0" applyNumberFormat="1" applyFont="1" applyFill="1" applyBorder="1" applyAlignment="1" applyProtection="1">
      <alignment horizontal="center" vertical="center"/>
      <protection locked="0"/>
    </xf>
    <xf numFmtId="186" fontId="49" fillId="0" borderId="13" xfId="0" applyNumberFormat="1" applyFont="1" applyFill="1" applyBorder="1" applyAlignment="1" applyProtection="1">
      <alignment horizontal="center" vertical="center"/>
      <protection locked="0"/>
    </xf>
    <xf numFmtId="186" fontId="49" fillId="0" borderId="61" xfId="0" applyNumberFormat="1" applyFont="1" applyFill="1" applyBorder="1" applyAlignment="1" applyProtection="1">
      <alignment horizontal="center" vertical="center"/>
      <protection locked="0"/>
    </xf>
    <xf numFmtId="0" fontId="48" fillId="6" borderId="42" xfId="0" applyFont="1" applyFill="1" applyBorder="1" applyAlignment="1" applyProtection="1">
      <alignment vertical="center"/>
    </xf>
    <xf numFmtId="0" fontId="48" fillId="6" borderId="47" xfId="0" applyFont="1" applyFill="1" applyBorder="1" applyAlignment="1" applyProtection="1">
      <alignment vertical="center"/>
    </xf>
    <xf numFmtId="186" fontId="47" fillId="6" borderId="74" xfId="0" applyNumberFormat="1" applyFont="1" applyFill="1" applyBorder="1" applyAlignment="1" applyProtection="1">
      <alignment horizontal="center" vertical="center"/>
    </xf>
    <xf numFmtId="0" fontId="47" fillId="6" borderId="75" xfId="0" applyFont="1" applyFill="1" applyBorder="1" applyAlignment="1" applyProtection="1">
      <alignment vertical="center"/>
    </xf>
    <xf numFmtId="0" fontId="48" fillId="6" borderId="43" xfId="0" applyFont="1" applyFill="1" applyBorder="1" applyAlignment="1" applyProtection="1">
      <alignment vertical="center"/>
    </xf>
    <xf numFmtId="0" fontId="48" fillId="6" borderId="33" xfId="1" applyFont="1" applyFill="1" applyBorder="1" applyAlignment="1" applyProtection="1">
      <alignment vertical="center"/>
    </xf>
    <xf numFmtId="177" fontId="48" fillId="6" borderId="32" xfId="0" applyNumberFormat="1" applyFont="1" applyFill="1" applyBorder="1" applyAlignment="1" applyProtection="1">
      <alignment horizontal="center" vertical="center"/>
    </xf>
    <xf numFmtId="0" fontId="48" fillId="6" borderId="32" xfId="0" applyFont="1" applyFill="1" applyBorder="1" applyAlignment="1" applyProtection="1">
      <alignment vertical="center"/>
    </xf>
    <xf numFmtId="177" fontId="48" fillId="6" borderId="32" xfId="0" applyNumberFormat="1" applyFont="1" applyFill="1" applyBorder="1" applyAlignment="1" applyProtection="1">
      <alignment vertical="center"/>
    </xf>
    <xf numFmtId="10" fontId="48" fillId="6" borderId="32" xfId="0" applyNumberFormat="1" applyFont="1" applyFill="1" applyBorder="1" applyAlignment="1" applyProtection="1">
      <alignment horizontal="center" vertical="center"/>
    </xf>
    <xf numFmtId="177" fontId="48" fillId="6" borderId="33" xfId="0" applyNumberFormat="1" applyFont="1" applyFill="1" applyBorder="1" applyAlignment="1" applyProtection="1">
      <alignment vertical="center"/>
    </xf>
    <xf numFmtId="177" fontId="48" fillId="6" borderId="52" xfId="0" applyNumberFormat="1" applyFont="1" applyFill="1" applyBorder="1" applyAlignment="1" applyProtection="1">
      <alignment vertical="center"/>
    </xf>
    <xf numFmtId="177" fontId="48" fillId="6" borderId="68" xfId="0" applyNumberFormat="1" applyFont="1" applyFill="1" applyBorder="1" applyAlignment="1" applyProtection="1">
      <alignment vertical="center"/>
    </xf>
    <xf numFmtId="0" fontId="52" fillId="6" borderId="15" xfId="0" applyFont="1" applyFill="1" applyBorder="1" applyAlignment="1" applyProtection="1">
      <alignment horizontal="center" vertical="center" wrapText="1"/>
    </xf>
    <xf numFmtId="0" fontId="121" fillId="0" borderId="0" xfId="5" applyFont="1">
      <alignment vertical="center"/>
    </xf>
    <xf numFmtId="0" fontId="98" fillId="0" borderId="0" xfId="5">
      <alignment vertical="center"/>
    </xf>
    <xf numFmtId="0" fontId="121" fillId="0" borderId="0" xfId="5" applyFont="1" applyAlignment="1">
      <alignment vertical="top" wrapText="1"/>
    </xf>
    <xf numFmtId="0" fontId="61" fillId="6" borderId="1" xfId="1" applyNumberFormat="1" applyFont="1" applyFill="1" applyBorder="1" applyAlignment="1" applyProtection="1"/>
    <xf numFmtId="0" fontId="49" fillId="6" borderId="1" xfId="1" applyNumberFormat="1" applyFont="1" applyFill="1" applyBorder="1" applyAlignment="1" applyProtection="1">
      <alignment horizontal="center" vertical="center"/>
    </xf>
    <xf numFmtId="0" fontId="55" fillId="6" borderId="1" xfId="1" applyNumberFormat="1" applyFont="1" applyFill="1" applyBorder="1" applyAlignment="1" applyProtection="1">
      <alignment horizontal="center"/>
    </xf>
    <xf numFmtId="0" fontId="55" fillId="6" borderId="1" xfId="0" applyNumberFormat="1" applyFont="1" applyFill="1" applyBorder="1" applyProtection="1">
      <alignment vertical="center"/>
    </xf>
    <xf numFmtId="0" fontId="56" fillId="6" borderId="1" xfId="1" applyNumberFormat="1" applyFont="1" applyFill="1" applyBorder="1" applyAlignment="1" applyProtection="1">
      <alignment horizontal="center"/>
    </xf>
    <xf numFmtId="0" fontId="47" fillId="0" borderId="2" xfId="7" applyFont="1" applyFill="1" applyBorder="1" applyAlignment="1" applyProtection="1">
      <alignment horizontal="center" vertical="center" wrapText="1"/>
    </xf>
    <xf numFmtId="0" fontId="47" fillId="0" borderId="1" xfId="7" applyFont="1" applyFill="1" applyBorder="1" applyAlignment="1" applyProtection="1">
      <alignment horizontal="center" vertical="center" wrapText="1"/>
    </xf>
    <xf numFmtId="0" fontId="63" fillId="0" borderId="1" xfId="7" applyFont="1" applyFill="1" applyBorder="1" applyAlignment="1" applyProtection="1">
      <alignment horizontal="center" vertical="center" wrapText="1"/>
    </xf>
    <xf numFmtId="0" fontId="47" fillId="0" borderId="3" xfId="7" applyFont="1" applyFill="1" applyBorder="1" applyAlignment="1" applyProtection="1">
      <alignment horizontal="center" vertical="center" wrapText="1"/>
    </xf>
    <xf numFmtId="0" fontId="63" fillId="0" borderId="1" xfId="0" applyFont="1" applyFill="1" applyBorder="1" applyAlignment="1" applyProtection="1">
      <alignment horizontal="center" vertical="center" wrapText="1"/>
    </xf>
    <xf numFmtId="0" fontId="46" fillId="6" borderId="24" xfId="0" applyFont="1" applyFill="1" applyBorder="1" applyAlignment="1" applyProtection="1">
      <alignment horizontal="center" vertical="center"/>
    </xf>
    <xf numFmtId="184" fontId="49" fillId="0" borderId="1" xfId="0" applyNumberFormat="1" applyFont="1" applyFill="1" applyBorder="1" applyAlignment="1" applyProtection="1">
      <alignment horizontal="center" vertical="center" shrinkToFit="1"/>
      <protection locked="0"/>
    </xf>
    <xf numFmtId="184" fontId="49" fillId="6" borderId="1" xfId="0" applyNumberFormat="1" applyFont="1" applyFill="1" applyBorder="1" applyAlignment="1" applyProtection="1">
      <alignment horizontal="center" vertical="center"/>
    </xf>
    <xf numFmtId="177" fontId="49" fillId="6" borderId="23" xfId="1" applyNumberFormat="1" applyFont="1" applyFill="1" applyBorder="1" applyAlignment="1" applyProtection="1">
      <alignment horizontal="center" vertical="center"/>
    </xf>
    <xf numFmtId="0" fontId="63" fillId="0" borderId="3" xfId="7" applyFont="1" applyFill="1" applyBorder="1" applyAlignment="1" applyProtection="1">
      <alignment horizontal="center" vertical="center" wrapText="1"/>
    </xf>
    <xf numFmtId="0" fontId="63" fillId="0" borderId="78" xfId="7" applyFont="1" applyFill="1" applyBorder="1" applyAlignment="1" applyProtection="1">
      <alignment horizontal="center" vertical="center" wrapText="1"/>
    </xf>
    <xf numFmtId="181" fontId="46" fillId="6" borderId="8" xfId="0" applyNumberFormat="1" applyFont="1" applyFill="1" applyBorder="1" applyProtection="1">
      <alignment vertical="center"/>
    </xf>
    <xf numFmtId="181" fontId="54" fillId="6" borderId="59" xfId="0" applyNumberFormat="1" applyFont="1" applyFill="1" applyBorder="1" applyAlignment="1" applyProtection="1">
      <alignment horizontal="center" vertical="center"/>
    </xf>
    <xf numFmtId="0" fontId="127" fillId="6" borderId="0" xfId="0" applyFont="1" applyFill="1" applyAlignment="1" applyProtection="1">
      <alignment horizontal="center" vertical="center"/>
    </xf>
    <xf numFmtId="0" fontId="115" fillId="6" borderId="40" xfId="0" applyFont="1" applyFill="1" applyBorder="1" applyAlignment="1" applyProtection="1">
      <alignment vertical="center" wrapText="1"/>
    </xf>
    <xf numFmtId="0" fontId="115" fillId="6" borderId="13" xfId="0" applyFont="1" applyFill="1" applyBorder="1" applyAlignment="1" applyProtection="1">
      <alignment horizontal="center" vertical="center"/>
    </xf>
    <xf numFmtId="0" fontId="115" fillId="6" borderId="29" xfId="0" applyFont="1" applyFill="1" applyBorder="1" applyAlignment="1" applyProtection="1">
      <alignment horizontal="center" vertical="center"/>
    </xf>
    <xf numFmtId="10" fontId="103" fillId="0" borderId="9" xfId="0" applyNumberFormat="1" applyFont="1" applyBorder="1" applyAlignment="1">
      <alignment horizontal="center" vertical="center" wrapText="1"/>
    </xf>
    <xf numFmtId="10" fontId="103" fillId="0" borderId="10" xfId="0" applyNumberFormat="1" applyFont="1" applyBorder="1" applyAlignment="1">
      <alignment horizontal="center" vertical="center" wrapText="1"/>
    </xf>
    <xf numFmtId="10" fontId="103" fillId="0" borderId="1" xfId="0" applyNumberFormat="1" applyFont="1" applyBorder="1" applyAlignment="1">
      <alignment horizontal="center" vertical="center" wrapText="1"/>
    </xf>
    <xf numFmtId="10" fontId="103" fillId="0" borderId="24" xfId="0" applyNumberFormat="1" applyFont="1" applyBorder="1" applyAlignment="1">
      <alignment horizontal="center" vertical="center" wrapText="1"/>
    </xf>
    <xf numFmtId="10" fontId="103" fillId="0" borderId="32" xfId="0" applyNumberFormat="1" applyFont="1" applyBorder="1" applyAlignment="1">
      <alignment horizontal="center" vertical="center" wrapText="1"/>
    </xf>
    <xf numFmtId="10" fontId="103" fillId="0" borderId="49" xfId="0" applyNumberFormat="1" applyFont="1" applyBorder="1" applyAlignment="1">
      <alignment horizontal="center" vertical="center" wrapText="1"/>
    </xf>
    <xf numFmtId="0" fontId="114" fillId="6" borderId="13" xfId="0" applyFont="1" applyFill="1" applyBorder="1" applyAlignment="1" applyProtection="1">
      <alignment horizontal="center" vertical="center" wrapText="1"/>
    </xf>
    <xf numFmtId="10" fontId="103" fillId="0" borderId="13" xfId="0" applyNumberFormat="1" applyFont="1" applyBorder="1" applyAlignment="1">
      <alignment horizontal="center" vertical="center" wrapText="1"/>
    </xf>
    <xf numFmtId="0" fontId="114" fillId="6" borderId="84" xfId="0" applyFont="1" applyFill="1" applyBorder="1" applyAlignment="1" applyProtection="1">
      <alignment horizontal="center" vertical="center" wrapText="1"/>
    </xf>
    <xf numFmtId="10" fontId="103" fillId="0" borderId="67" xfId="0" applyNumberFormat="1" applyFont="1" applyBorder="1" applyAlignment="1">
      <alignment horizontal="center" vertical="center" wrapText="1"/>
    </xf>
    <xf numFmtId="0" fontId="114" fillId="6" borderId="14" xfId="0" applyFont="1" applyFill="1" applyBorder="1" applyAlignment="1" applyProtection="1">
      <alignment vertical="center" wrapText="1"/>
    </xf>
    <xf numFmtId="10" fontId="103" fillId="0" borderId="8" xfId="0" applyNumberFormat="1" applyFont="1" applyBorder="1" applyAlignment="1">
      <alignment horizontal="center" vertical="center" wrapText="1"/>
    </xf>
    <xf numFmtId="10" fontId="0" fillId="0" borderId="47" xfId="0" applyNumberFormat="1" applyBorder="1">
      <alignment vertical="center"/>
    </xf>
    <xf numFmtId="10" fontId="0" fillId="0" borderId="43" xfId="0" applyNumberFormat="1" applyBorder="1">
      <alignment vertical="center"/>
    </xf>
    <xf numFmtId="10" fontId="0" fillId="0" borderId="56" xfId="0" applyNumberFormat="1" applyBorder="1">
      <alignment vertical="center"/>
    </xf>
    <xf numFmtId="10" fontId="0" fillId="0" borderId="0" xfId="0" applyNumberFormat="1" applyBorder="1">
      <alignment vertical="center"/>
    </xf>
    <xf numFmtId="10" fontId="0" fillId="0" borderId="64" xfId="0" applyNumberFormat="1" applyBorder="1">
      <alignment vertical="center"/>
    </xf>
    <xf numFmtId="10" fontId="0" fillId="0" borderId="31" xfId="0" applyNumberFormat="1" applyBorder="1">
      <alignment vertical="center"/>
    </xf>
    <xf numFmtId="0" fontId="102" fillId="6" borderId="28" xfId="0" applyNumberFormat="1" applyFont="1" applyFill="1" applyBorder="1" applyProtection="1">
      <alignment vertical="center"/>
    </xf>
    <xf numFmtId="0" fontId="102" fillId="6" borderId="5" xfId="0" applyNumberFormat="1" applyFont="1" applyFill="1" applyBorder="1" applyProtection="1">
      <alignment vertical="center"/>
    </xf>
    <xf numFmtId="0" fontId="102" fillId="6" borderId="33" xfId="0" applyNumberFormat="1" applyFont="1" applyFill="1" applyBorder="1" applyProtection="1">
      <alignment vertical="center"/>
    </xf>
    <xf numFmtId="10" fontId="55" fillId="6" borderId="1" xfId="0" applyNumberFormat="1" applyFont="1" applyFill="1" applyBorder="1" applyAlignment="1" applyProtection="1">
      <alignment vertical="center" wrapText="1"/>
    </xf>
    <xf numFmtId="0" fontId="60" fillId="6" borderId="41" xfId="0" applyFont="1" applyFill="1" applyBorder="1" applyAlignment="1" applyProtection="1">
      <alignment horizontal="center" vertical="center"/>
    </xf>
    <xf numFmtId="0" fontId="60" fillId="0" borderId="2" xfId="0" applyFont="1" applyBorder="1" applyAlignment="1" applyProtection="1">
      <alignment horizontal="center" vertical="center"/>
      <protection locked="0"/>
    </xf>
    <xf numFmtId="0" fontId="60" fillId="0" borderId="4" xfId="0" applyFont="1" applyBorder="1" applyAlignment="1" applyProtection="1">
      <alignment horizontal="center" vertical="center"/>
      <protection locked="0"/>
    </xf>
    <xf numFmtId="0" fontId="60" fillId="0" borderId="93" xfId="0" applyFont="1" applyFill="1" applyBorder="1" applyAlignment="1" applyProtection="1">
      <alignment horizontal="center" vertical="center"/>
      <protection locked="0"/>
    </xf>
    <xf numFmtId="0" fontId="60" fillId="0" borderId="8" xfId="0" applyFont="1" applyBorder="1" applyAlignment="1" applyProtection="1">
      <alignment horizontal="center" vertical="center"/>
      <protection locked="0"/>
    </xf>
    <xf numFmtId="187" fontId="60" fillId="6" borderId="8" xfId="0" applyNumberFormat="1" applyFont="1" applyFill="1" applyBorder="1" applyAlignment="1" applyProtection="1">
      <alignment horizontal="center" vertical="center"/>
    </xf>
    <xf numFmtId="0" fontId="60" fillId="6" borderId="23" xfId="0" applyFont="1" applyFill="1" applyBorder="1" applyAlignment="1" applyProtection="1">
      <alignment horizontal="center" vertical="center"/>
    </xf>
    <xf numFmtId="0" fontId="60" fillId="0" borderId="1" xfId="0" applyFont="1" applyBorder="1" applyAlignment="1" applyProtection="1">
      <alignment horizontal="center" vertical="center"/>
      <protection locked="0"/>
    </xf>
    <xf numFmtId="0" fontId="60" fillId="0" borderId="5" xfId="0" applyFont="1" applyBorder="1" applyAlignment="1" applyProtection="1">
      <alignment horizontal="center" vertical="center"/>
      <protection locked="0"/>
    </xf>
    <xf numFmtId="0" fontId="60" fillId="0" borderId="92" xfId="0" applyFont="1" applyFill="1" applyBorder="1" applyAlignment="1" applyProtection="1">
      <alignment horizontal="center" vertical="center"/>
      <protection locked="0"/>
    </xf>
    <xf numFmtId="0" fontId="60" fillId="0" borderId="24" xfId="0" applyFont="1" applyBorder="1" applyAlignment="1" applyProtection="1">
      <alignment horizontal="center" vertical="center"/>
      <protection locked="0"/>
    </xf>
    <xf numFmtId="0" fontId="60" fillId="6" borderId="24" xfId="0" applyFont="1" applyFill="1" applyBorder="1" applyAlignment="1" applyProtection="1">
      <alignment horizontal="center" vertical="center"/>
    </xf>
    <xf numFmtId="178" fontId="60" fillId="6" borderId="24" xfId="0" applyNumberFormat="1" applyFont="1" applyFill="1" applyBorder="1" applyAlignment="1" applyProtection="1">
      <alignment horizontal="center" vertical="center"/>
    </xf>
    <xf numFmtId="178" fontId="60" fillId="0" borderId="24" xfId="0" applyNumberFormat="1" applyFont="1" applyBorder="1" applyAlignment="1" applyProtection="1">
      <alignment horizontal="center" vertical="center"/>
      <protection locked="0"/>
    </xf>
    <xf numFmtId="0" fontId="102" fillId="0" borderId="92" xfId="0" applyFont="1" applyFill="1" applyBorder="1" applyAlignment="1" applyProtection="1">
      <alignment horizontal="center" vertical="center"/>
      <protection locked="0"/>
    </xf>
    <xf numFmtId="0" fontId="60" fillId="6" borderId="32" xfId="0" applyFont="1" applyFill="1" applyBorder="1" applyAlignment="1" applyProtection="1">
      <alignment horizontal="center" vertical="center"/>
    </xf>
    <xf numFmtId="0" fontId="60" fillId="6" borderId="47" xfId="0" applyFont="1" applyFill="1" applyBorder="1" applyAlignment="1" applyProtection="1">
      <alignment horizontal="center" vertical="center"/>
    </xf>
    <xf numFmtId="0" fontId="60" fillId="0" borderId="32" xfId="0" applyFont="1" applyBorder="1" applyAlignment="1" applyProtection="1">
      <alignment horizontal="center" vertical="center"/>
      <protection locked="0"/>
    </xf>
    <xf numFmtId="178" fontId="60" fillId="6" borderId="49" xfId="0" applyNumberFormat="1" applyFont="1" applyFill="1" applyBorder="1" applyAlignment="1" applyProtection="1">
      <alignment horizontal="center" vertical="center"/>
    </xf>
    <xf numFmtId="0" fontId="74" fillId="6" borderId="1" xfId="0" applyFont="1" applyFill="1" applyBorder="1" applyAlignment="1" applyProtection="1">
      <alignment horizontal="center" vertical="center"/>
    </xf>
    <xf numFmtId="189" fontId="53" fillId="6" borderId="0" xfId="0" applyNumberFormat="1" applyFont="1" applyFill="1" applyAlignment="1" applyProtection="1">
      <alignment horizontal="center" vertical="center"/>
      <protection locked="0"/>
    </xf>
    <xf numFmtId="181" fontId="53" fillId="6" borderId="0" xfId="0" applyNumberFormat="1" applyFont="1" applyFill="1" applyAlignment="1" applyProtection="1">
      <alignment horizontal="center" vertical="center"/>
      <protection locked="0"/>
    </xf>
    <xf numFmtId="0" fontId="74" fillId="5" borderId="23" xfId="0" applyFont="1" applyFill="1" applyBorder="1" applyAlignment="1" applyProtection="1">
      <alignment horizontal="center" vertical="center"/>
      <protection locked="0"/>
    </xf>
    <xf numFmtId="0" fontId="103" fillId="0" borderId="86" xfId="0" applyFont="1" applyFill="1" applyBorder="1" applyAlignment="1" applyProtection="1">
      <alignment horizontal="center" vertical="center"/>
      <protection locked="0"/>
    </xf>
    <xf numFmtId="0" fontId="103" fillId="0" borderId="96" xfId="0" applyFont="1" applyFill="1" applyBorder="1" applyAlignment="1" applyProtection="1">
      <alignment horizontal="center" vertical="center"/>
      <protection locked="0"/>
    </xf>
    <xf numFmtId="0" fontId="74" fillId="6" borderId="32" xfId="0" applyFont="1" applyFill="1" applyBorder="1" applyAlignment="1" applyProtection="1">
      <alignment horizontal="center" vertical="center"/>
    </xf>
    <xf numFmtId="0" fontId="49" fillId="0" borderId="2" xfId="0" applyNumberFormat="1" applyFont="1" applyFill="1" applyBorder="1" applyAlignment="1" applyProtection="1">
      <alignment horizontal="center" vertical="center" wrapText="1"/>
      <protection locked="0"/>
    </xf>
    <xf numFmtId="0" fontId="49" fillId="6" borderId="97" xfId="0" applyNumberFormat="1" applyFont="1" applyFill="1" applyBorder="1" applyAlignment="1" applyProtection="1">
      <alignment horizontal="center" vertical="center" wrapText="1"/>
    </xf>
    <xf numFmtId="0" fontId="55" fillId="0" borderId="98" xfId="0" applyNumberFormat="1" applyFont="1" applyFill="1" applyBorder="1" applyAlignment="1" applyProtection="1">
      <alignment horizontal="center" vertical="center" wrapText="1"/>
      <protection locked="0"/>
    </xf>
    <xf numFmtId="0" fontId="55" fillId="6" borderId="99" xfId="0" applyNumberFormat="1" applyFont="1" applyFill="1" applyBorder="1" applyAlignment="1" applyProtection="1">
      <alignment horizontal="center" vertical="center" wrapText="1"/>
    </xf>
    <xf numFmtId="0" fontId="55" fillId="6" borderId="98" xfId="0" applyNumberFormat="1" applyFont="1" applyFill="1" applyBorder="1" applyAlignment="1" applyProtection="1">
      <alignment horizontal="center" vertical="center" wrapText="1"/>
    </xf>
    <xf numFmtId="0" fontId="49" fillId="0" borderId="100" xfId="0" applyNumberFormat="1" applyFont="1" applyFill="1" applyBorder="1" applyAlignment="1" applyProtection="1">
      <alignment horizontal="center" vertical="center" wrapText="1"/>
      <protection locked="0"/>
    </xf>
    <xf numFmtId="0" fontId="49" fillId="0" borderId="41" xfId="0" applyNumberFormat="1" applyFont="1" applyFill="1" applyBorder="1" applyAlignment="1" applyProtection="1">
      <alignment horizontal="center" vertical="center" wrapText="1"/>
      <protection locked="0"/>
    </xf>
    <xf numFmtId="0" fontId="49" fillId="6" borderId="100" xfId="0" applyNumberFormat="1" applyFont="1" applyFill="1" applyBorder="1" applyAlignment="1" applyProtection="1">
      <alignment horizontal="center" vertical="center" wrapText="1"/>
    </xf>
    <xf numFmtId="0" fontId="53" fillId="0" borderId="58" xfId="0" applyFont="1" applyFill="1" applyBorder="1" applyAlignment="1" applyProtection="1">
      <alignment horizontal="center" vertical="center"/>
      <protection locked="0"/>
    </xf>
    <xf numFmtId="0" fontId="59" fillId="6" borderId="0" xfId="0" applyFont="1" applyFill="1" applyBorder="1" applyAlignment="1" applyProtection="1">
      <alignment vertical="center"/>
      <protection locked="0"/>
    </xf>
    <xf numFmtId="0" fontId="64" fillId="6" borderId="0" xfId="0" applyFont="1" applyFill="1" applyBorder="1" applyAlignment="1" applyProtection="1">
      <alignment vertical="center"/>
      <protection locked="0"/>
    </xf>
    <xf numFmtId="0" fontId="67" fillId="6" borderId="0" xfId="0" applyFont="1" applyFill="1" applyBorder="1" applyAlignment="1" applyProtection="1">
      <alignment vertical="center"/>
      <protection locked="0"/>
    </xf>
    <xf numFmtId="189" fontId="64" fillId="6" borderId="0" xfId="0" applyNumberFormat="1" applyFont="1" applyFill="1" applyBorder="1" applyAlignment="1" applyProtection="1">
      <alignment horizontal="center" vertical="center"/>
      <protection locked="0"/>
    </xf>
    <xf numFmtId="181" fontId="64" fillId="6" borderId="0" xfId="0" applyNumberFormat="1" applyFont="1" applyFill="1" applyBorder="1" applyAlignment="1" applyProtection="1">
      <alignment vertical="center"/>
      <protection locked="0"/>
    </xf>
    <xf numFmtId="0" fontId="64" fillId="6" borderId="0" xfId="0" applyFont="1" applyFill="1" applyBorder="1" applyAlignment="1" applyProtection="1">
      <alignment horizontal="center" vertical="center"/>
      <protection locked="0"/>
    </xf>
    <xf numFmtId="181" fontId="46" fillId="6" borderId="0" xfId="0" applyNumberFormat="1" applyFont="1" applyFill="1" applyBorder="1" applyAlignment="1" applyProtection="1">
      <alignment vertical="center" wrapText="1"/>
      <protection locked="0"/>
    </xf>
    <xf numFmtId="0" fontId="53" fillId="6" borderId="0" xfId="0" applyFont="1" applyFill="1" applyBorder="1" applyAlignment="1" applyProtection="1">
      <alignment horizontal="center" vertical="center"/>
      <protection locked="0"/>
    </xf>
    <xf numFmtId="181" fontId="46" fillId="6" borderId="0" xfId="0" applyNumberFormat="1" applyFont="1" applyFill="1" applyBorder="1" applyAlignment="1" applyProtection="1">
      <alignment horizontal="center" vertical="center" wrapText="1"/>
      <protection locked="0"/>
    </xf>
    <xf numFmtId="0" fontId="46" fillId="6" borderId="0" xfId="0" applyFont="1" applyFill="1" applyBorder="1" applyAlignment="1" applyProtection="1">
      <alignment horizontal="center" vertical="center"/>
      <protection locked="0"/>
    </xf>
    <xf numFmtId="0" fontId="46" fillId="6" borderId="35" xfId="0" applyFont="1" applyFill="1" applyBorder="1" applyAlignment="1" applyProtection="1">
      <alignment horizontal="center" vertical="center"/>
      <protection locked="0"/>
    </xf>
    <xf numFmtId="181" fontId="69" fillId="6" borderId="0" xfId="0" applyNumberFormat="1" applyFont="1" applyFill="1" applyBorder="1" applyAlignment="1" applyProtection="1">
      <alignment horizontal="center" vertical="center" wrapText="1"/>
      <protection locked="0"/>
    </xf>
    <xf numFmtId="0" fontId="69" fillId="6" borderId="0" xfId="0" applyFont="1" applyFill="1" applyBorder="1" applyAlignment="1" applyProtection="1">
      <alignment horizontal="center" vertical="center"/>
      <protection locked="0"/>
    </xf>
    <xf numFmtId="0" fontId="69" fillId="6" borderId="35" xfId="0" applyFont="1" applyFill="1" applyBorder="1" applyAlignment="1" applyProtection="1">
      <alignment horizontal="center" vertical="center"/>
      <protection locked="0"/>
    </xf>
    <xf numFmtId="181" fontId="51" fillId="6" borderId="0" xfId="0" applyNumberFormat="1" applyFont="1" applyFill="1" applyBorder="1" applyAlignment="1" applyProtection="1">
      <alignment horizontal="center" vertical="center" wrapText="1"/>
      <protection locked="0"/>
    </xf>
    <xf numFmtId="0" fontId="53" fillId="6" borderId="35" xfId="0" applyFont="1" applyFill="1" applyBorder="1" applyAlignment="1" applyProtection="1">
      <alignment horizontal="center" vertical="center"/>
      <protection locked="0"/>
    </xf>
    <xf numFmtId="181" fontId="70" fillId="6" borderId="0" xfId="0" applyNumberFormat="1" applyFont="1" applyFill="1" applyBorder="1" applyAlignment="1" applyProtection="1">
      <alignment horizontal="center" vertical="center" wrapText="1"/>
      <protection locked="0"/>
    </xf>
    <xf numFmtId="0" fontId="51" fillId="6" borderId="0" xfId="0" applyFont="1" applyFill="1" applyBorder="1" applyAlignment="1" applyProtection="1">
      <alignment horizontal="center" vertical="center"/>
      <protection locked="0"/>
    </xf>
    <xf numFmtId="0" fontId="51" fillId="6" borderId="35" xfId="0" applyFont="1" applyFill="1" applyBorder="1" applyAlignment="1" applyProtection="1">
      <alignment horizontal="center" vertical="center"/>
      <protection locked="0"/>
    </xf>
    <xf numFmtId="181" fontId="53" fillId="6" borderId="0" xfId="0" applyNumberFormat="1" applyFont="1" applyFill="1" applyBorder="1" applyAlignment="1" applyProtection="1">
      <alignment vertical="center" wrapText="1"/>
      <protection locked="0"/>
    </xf>
    <xf numFmtId="0" fontId="53" fillId="6" borderId="0" xfId="0" applyFont="1" applyFill="1" applyAlignment="1" applyProtection="1">
      <alignment horizontal="center" vertical="center"/>
      <protection locked="0"/>
    </xf>
    <xf numFmtId="0" fontId="70" fillId="6" borderId="0" xfId="0" applyFont="1" applyFill="1" applyAlignment="1" applyProtection="1">
      <alignment horizontal="center" vertical="center"/>
      <protection locked="0"/>
    </xf>
    <xf numFmtId="14" fontId="53" fillId="6" borderId="0" xfId="0" applyNumberFormat="1" applyFont="1" applyFill="1" applyAlignment="1" applyProtection="1">
      <alignment horizontal="center" vertical="center"/>
      <protection locked="0"/>
    </xf>
    <xf numFmtId="181" fontId="70" fillId="6" borderId="0" xfId="0" applyNumberFormat="1" applyFont="1" applyFill="1" applyAlignment="1" applyProtection="1">
      <alignment horizontal="center" vertical="center"/>
      <protection locked="0"/>
    </xf>
    <xf numFmtId="176" fontId="53" fillId="6" borderId="0" xfId="0" applyNumberFormat="1" applyFont="1" applyFill="1" applyAlignment="1" applyProtection="1">
      <alignment horizontal="center" vertical="center"/>
      <protection locked="0"/>
    </xf>
    <xf numFmtId="0" fontId="46" fillId="6" borderId="0" xfId="0" applyNumberFormat="1" applyFont="1" applyFill="1" applyBorder="1" applyAlignment="1" applyProtection="1">
      <alignment horizontal="center" vertical="center" wrapText="1"/>
      <protection locked="0"/>
    </xf>
    <xf numFmtId="0" fontId="70" fillId="6" borderId="0" xfId="0" applyNumberFormat="1" applyFont="1" applyFill="1" applyBorder="1" applyAlignment="1" applyProtection="1">
      <alignment horizontal="center" vertical="center" wrapText="1"/>
      <protection locked="0"/>
    </xf>
    <xf numFmtId="0" fontId="53" fillId="6" borderId="0" xfId="0" applyNumberFormat="1" applyFont="1" applyFill="1" applyBorder="1" applyAlignment="1" applyProtection="1">
      <alignment horizontal="center" vertical="center" wrapText="1"/>
      <protection locked="0"/>
    </xf>
    <xf numFmtId="0" fontId="51" fillId="6" borderId="0" xfId="0" applyNumberFormat="1" applyFont="1" applyFill="1" applyBorder="1" applyAlignment="1" applyProtection="1">
      <alignment horizontal="center" vertical="center" wrapText="1"/>
      <protection locked="0"/>
    </xf>
    <xf numFmtId="0" fontId="53" fillId="0" borderId="0" xfId="0" applyFont="1" applyFill="1" applyAlignment="1" applyProtection="1">
      <alignment horizontal="center" vertical="center"/>
    </xf>
    <xf numFmtId="189" fontId="53" fillId="0" borderId="0" xfId="0" applyNumberFormat="1" applyFont="1" applyFill="1" applyAlignment="1" applyProtection="1">
      <alignment horizontal="center" vertical="center"/>
    </xf>
    <xf numFmtId="181" fontId="53" fillId="0" borderId="0" xfId="0" applyNumberFormat="1" applyFont="1" applyFill="1" applyAlignment="1" applyProtection="1">
      <alignment horizontal="center" vertical="center"/>
    </xf>
    <xf numFmtId="0" fontId="55" fillId="6" borderId="0" xfId="0" applyFont="1" applyFill="1" applyAlignment="1" applyProtection="1">
      <protection locked="0"/>
    </xf>
    <xf numFmtId="0" fontId="53" fillId="6" borderId="0" xfId="0" applyFont="1" applyFill="1" applyBorder="1" applyAlignment="1" applyProtection="1">
      <protection locked="0"/>
    </xf>
    <xf numFmtId="189" fontId="53" fillId="6" borderId="0" xfId="0" applyNumberFormat="1" applyFont="1" applyFill="1" applyBorder="1" applyAlignment="1" applyProtection="1">
      <alignment horizontal="center"/>
      <protection locked="0"/>
    </xf>
    <xf numFmtId="181" fontId="53" fillId="6" borderId="0" xfId="0" applyNumberFormat="1" applyFont="1" applyFill="1" applyBorder="1" applyAlignment="1" applyProtection="1">
      <protection locked="0"/>
    </xf>
    <xf numFmtId="0" fontId="74" fillId="6" borderId="1" xfId="0" applyFont="1" applyFill="1" applyBorder="1" applyAlignment="1" applyProtection="1">
      <alignment horizontal="center" vertical="center"/>
      <protection locked="0"/>
    </xf>
    <xf numFmtId="9" fontId="74" fillId="5" borderId="1" xfId="0" applyNumberFormat="1" applyFont="1" applyFill="1" applyBorder="1" applyAlignment="1" applyProtection="1">
      <alignment horizontal="center" vertical="center"/>
      <protection locked="0"/>
    </xf>
    <xf numFmtId="49" fontId="49" fillId="6" borderId="6" xfId="0" applyNumberFormat="1" applyFont="1" applyFill="1" applyBorder="1" applyAlignment="1" applyProtection="1">
      <alignment horizontal="center" vertical="center"/>
      <protection locked="0"/>
    </xf>
    <xf numFmtId="49" fontId="54" fillId="6" borderId="11" xfId="0" applyNumberFormat="1" applyFont="1" applyFill="1" applyBorder="1" applyAlignment="1" applyProtection="1">
      <alignment vertical="center"/>
      <protection locked="0"/>
    </xf>
    <xf numFmtId="0" fontId="54" fillId="6" borderId="13" xfId="0" applyFont="1" applyFill="1" applyBorder="1" applyAlignment="1" applyProtection="1">
      <alignment vertical="center" wrapText="1"/>
      <protection locked="0"/>
    </xf>
    <xf numFmtId="0" fontId="49" fillId="6" borderId="13" xfId="0" applyFont="1" applyFill="1" applyBorder="1" applyAlignment="1" applyProtection="1">
      <alignment vertical="center"/>
      <protection locked="0"/>
    </xf>
    <xf numFmtId="0" fontId="49" fillId="6" borderId="1" xfId="0" applyFont="1" applyFill="1" applyBorder="1" applyAlignment="1" applyProtection="1">
      <alignment horizontal="left" vertical="center"/>
      <protection locked="0"/>
    </xf>
    <xf numFmtId="49" fontId="54" fillId="6" borderId="14" xfId="0" applyNumberFormat="1" applyFont="1" applyFill="1" applyBorder="1" applyAlignment="1" applyProtection="1">
      <alignment vertical="center"/>
      <protection locked="0"/>
    </xf>
    <xf numFmtId="0" fontId="54" fillId="6" borderId="15" xfId="0" applyFont="1" applyFill="1" applyBorder="1" applyAlignment="1" applyProtection="1">
      <alignment vertical="center" wrapText="1"/>
      <protection locked="0"/>
    </xf>
    <xf numFmtId="0" fontId="49" fillId="6" borderId="15" xfId="0" applyFont="1" applyFill="1" applyBorder="1" applyAlignment="1" applyProtection="1">
      <alignment vertical="center"/>
      <protection locked="0"/>
    </xf>
    <xf numFmtId="49" fontId="54" fillId="6" borderId="41" xfId="0" applyNumberFormat="1" applyFont="1" applyFill="1" applyBorder="1" applyAlignment="1" applyProtection="1">
      <alignment vertical="center"/>
      <protection locked="0"/>
    </xf>
    <xf numFmtId="0" fontId="54" fillId="6" borderId="2" xfId="0" applyFont="1" applyFill="1" applyBorder="1" applyAlignment="1" applyProtection="1">
      <alignment vertical="center" wrapText="1"/>
      <protection locked="0"/>
    </xf>
    <xf numFmtId="0" fontId="49" fillId="6" borderId="2" xfId="0" applyFont="1" applyFill="1" applyBorder="1" applyAlignment="1" applyProtection="1">
      <alignment vertical="center"/>
      <protection locked="0"/>
    </xf>
    <xf numFmtId="49" fontId="54" fillId="6" borderId="23" xfId="0" applyNumberFormat="1" applyFont="1" applyFill="1" applyBorder="1" applyAlignment="1" applyProtection="1">
      <alignment horizontal="left" vertical="center"/>
      <protection locked="0"/>
    </xf>
    <xf numFmtId="0" fontId="54" fillId="6" borderId="1" xfId="0" applyFont="1" applyFill="1" applyBorder="1" applyAlignment="1" applyProtection="1">
      <alignment horizontal="left" vertical="center"/>
      <protection locked="0"/>
    </xf>
    <xf numFmtId="0" fontId="54" fillId="6" borderId="1" xfId="0" applyFont="1" applyFill="1" applyBorder="1" applyAlignment="1" applyProtection="1">
      <alignment horizontal="center" vertical="center"/>
      <protection locked="0"/>
    </xf>
    <xf numFmtId="0" fontId="49" fillId="6" borderId="5" xfId="0" applyFont="1" applyFill="1" applyBorder="1" applyAlignment="1" applyProtection="1">
      <alignment horizontal="left" vertical="center"/>
      <protection locked="0"/>
    </xf>
    <xf numFmtId="0" fontId="49" fillId="6" borderId="54" xfId="0" applyFont="1" applyFill="1" applyBorder="1" applyAlignment="1" applyProtection="1">
      <alignment horizontal="center" vertical="center"/>
      <protection locked="0"/>
    </xf>
    <xf numFmtId="0" fontId="49" fillId="6" borderId="48" xfId="0" applyFont="1" applyFill="1" applyBorder="1" applyAlignment="1" applyProtection="1">
      <alignment horizontal="center" vertical="center"/>
      <protection locked="0"/>
    </xf>
    <xf numFmtId="0" fontId="49" fillId="6" borderId="5" xfId="0" applyFont="1" applyFill="1" applyBorder="1" applyAlignment="1" applyProtection="1">
      <alignment horizontal="left" vertical="center" wrapText="1"/>
      <protection locked="0"/>
    </xf>
    <xf numFmtId="0" fontId="49" fillId="6" borderId="1" xfId="0" applyFont="1" applyFill="1" applyBorder="1" applyAlignment="1" applyProtection="1">
      <alignment horizontal="left" vertical="center" wrapText="1"/>
      <protection locked="0"/>
    </xf>
    <xf numFmtId="0" fontId="49" fillId="6" borderId="13" xfId="0" applyFont="1" applyFill="1" applyBorder="1" applyAlignment="1" applyProtection="1">
      <alignment horizontal="left" vertical="center" wrapText="1"/>
      <protection locked="0"/>
    </xf>
    <xf numFmtId="0" fontId="49" fillId="6" borderId="2" xfId="0" applyFont="1" applyFill="1" applyBorder="1" applyAlignment="1" applyProtection="1">
      <alignment horizontal="left" vertical="center" wrapText="1"/>
      <protection locked="0"/>
    </xf>
    <xf numFmtId="0" fontId="54" fillId="6" borderId="1" xfId="0" applyFont="1" applyFill="1" applyBorder="1" applyAlignment="1" applyProtection="1">
      <alignment horizontal="left" vertical="center" wrapText="1"/>
      <protection locked="0"/>
    </xf>
    <xf numFmtId="0" fontId="49" fillId="6" borderId="54" xfId="0" applyFont="1" applyFill="1" applyBorder="1" applyAlignment="1" applyProtection="1">
      <alignment horizontal="center" vertical="center" wrapText="1"/>
      <protection locked="0"/>
    </xf>
    <xf numFmtId="0" fontId="49" fillId="6" borderId="48" xfId="0" applyFont="1" applyFill="1" applyBorder="1" applyAlignment="1" applyProtection="1">
      <alignment horizontal="center" vertical="center" wrapText="1"/>
      <protection locked="0"/>
    </xf>
    <xf numFmtId="0" fontId="49" fillId="6" borderId="15" xfId="0" applyFont="1" applyFill="1" applyBorder="1" applyAlignment="1" applyProtection="1">
      <alignment horizontal="left" vertical="center" wrapText="1"/>
      <protection locked="0"/>
    </xf>
    <xf numFmtId="49" fontId="54" fillId="6" borderId="25" xfId="0" applyNumberFormat="1" applyFont="1" applyFill="1" applyBorder="1" applyAlignment="1" applyProtection="1">
      <alignment horizontal="left" vertical="center"/>
      <protection locked="0"/>
    </xf>
    <xf numFmtId="0" fontId="54" fillId="6" borderId="32" xfId="0" applyFont="1" applyFill="1" applyBorder="1" applyAlignment="1" applyProtection="1">
      <alignment horizontal="left" vertical="center"/>
      <protection locked="0"/>
    </xf>
    <xf numFmtId="0" fontId="49" fillId="6" borderId="32" xfId="0" applyFont="1" applyFill="1" applyBorder="1" applyAlignment="1" applyProtection="1">
      <alignment vertical="center"/>
      <protection locked="0"/>
    </xf>
    <xf numFmtId="0" fontId="49" fillId="6" borderId="32" xfId="0" applyFont="1" applyFill="1" applyBorder="1" applyAlignment="1" applyProtection="1">
      <alignment horizontal="left" vertical="center"/>
      <protection locked="0"/>
    </xf>
    <xf numFmtId="49" fontId="54" fillId="6" borderId="55" xfId="0" applyNumberFormat="1" applyFont="1" applyFill="1" applyBorder="1" applyAlignment="1" applyProtection="1">
      <alignment horizontal="left" vertical="center"/>
      <protection locked="0"/>
    </xf>
    <xf numFmtId="49" fontId="54" fillId="6" borderId="18" xfId="0" applyNumberFormat="1" applyFont="1" applyFill="1" applyBorder="1" applyAlignment="1" applyProtection="1">
      <alignment horizontal="center" vertical="center"/>
      <protection locked="0"/>
    </xf>
    <xf numFmtId="49" fontId="54" fillId="6" borderId="18" xfId="0" applyNumberFormat="1" applyFont="1" applyFill="1" applyBorder="1" applyAlignment="1" applyProtection="1">
      <alignment horizontal="left" vertical="center"/>
      <protection locked="0"/>
    </xf>
    <xf numFmtId="0" fontId="49" fillId="6" borderId="17" xfId="0" applyFont="1" applyFill="1" applyBorder="1" applyAlignment="1" applyProtection="1">
      <alignment horizontal="center" vertical="center"/>
      <protection locked="0"/>
    </xf>
    <xf numFmtId="0" fontId="54" fillId="6" borderId="58" xfId="0" applyFont="1" applyFill="1" applyBorder="1" applyAlignment="1" applyProtection="1">
      <alignment vertical="center" wrapText="1"/>
      <protection locked="0"/>
    </xf>
    <xf numFmtId="0" fontId="54" fillId="6" borderId="58" xfId="0" applyFont="1" applyFill="1" applyBorder="1" applyAlignment="1" applyProtection="1">
      <alignment horizontal="center" vertical="center"/>
      <protection locked="0"/>
    </xf>
    <xf numFmtId="0" fontId="49" fillId="6" borderId="3" xfId="0" applyFont="1" applyFill="1" applyBorder="1" applyAlignment="1" applyProtection="1">
      <alignment horizontal="left" vertical="center"/>
      <protection locked="0"/>
    </xf>
    <xf numFmtId="49" fontId="49" fillId="6" borderId="23" xfId="0" applyNumberFormat="1" applyFont="1" applyFill="1" applyBorder="1" applyAlignment="1" applyProtection="1">
      <alignment horizontal="left" vertical="center"/>
    </xf>
    <xf numFmtId="0" fontId="49" fillId="6" borderId="32" xfId="0" applyFont="1" applyFill="1" applyBorder="1" applyAlignment="1" applyProtection="1">
      <alignment horizontal="center" vertical="center"/>
    </xf>
    <xf numFmtId="0" fontId="56" fillId="6" borderId="46" xfId="0" applyNumberFormat="1" applyFont="1" applyFill="1" applyBorder="1" applyAlignment="1" applyProtection="1">
      <alignment vertical="center" wrapText="1"/>
      <protection locked="0"/>
    </xf>
    <xf numFmtId="0" fontId="49" fillId="6" borderId="21" xfId="0" applyNumberFormat="1" applyFont="1" applyFill="1" applyBorder="1" applyAlignment="1" applyProtection="1">
      <alignment horizontal="center" vertical="center" wrapText="1"/>
    </xf>
    <xf numFmtId="0" fontId="62" fillId="6" borderId="58" xfId="0" applyNumberFormat="1" applyFont="1" applyFill="1" applyBorder="1" applyAlignment="1" applyProtection="1">
      <alignment vertical="center" textRotation="255" wrapText="1"/>
      <protection locked="0"/>
    </xf>
    <xf numFmtId="0" fontId="62" fillId="6" borderId="58" xfId="0" applyNumberFormat="1" applyFont="1" applyFill="1" applyBorder="1" applyAlignment="1" applyProtection="1">
      <alignment vertical="center" wrapText="1"/>
      <protection locked="0"/>
    </xf>
    <xf numFmtId="0" fontId="49" fillId="6" borderId="18" xfId="0" applyNumberFormat="1" applyFont="1" applyFill="1" applyBorder="1" applyAlignment="1" applyProtection="1">
      <alignment horizontal="center" vertical="center" wrapText="1"/>
    </xf>
    <xf numFmtId="0" fontId="49" fillId="0" borderId="11" xfId="0" applyNumberFormat="1" applyFont="1" applyFill="1" applyBorder="1" applyAlignment="1" applyProtection="1">
      <alignment horizontal="center" vertical="center" wrapText="1"/>
      <protection locked="0"/>
    </xf>
    <xf numFmtId="0" fontId="55" fillId="0" borderId="13" xfId="0" applyNumberFormat="1" applyFont="1" applyFill="1" applyBorder="1" applyAlignment="1" applyProtection="1">
      <alignment horizontal="center" vertical="center" wrapText="1"/>
      <protection locked="0"/>
    </xf>
    <xf numFmtId="0" fontId="55" fillId="0" borderId="46" xfId="0" applyNumberFormat="1" applyFont="1" applyFill="1" applyBorder="1" applyAlignment="1" applyProtection="1">
      <alignment horizontal="center" vertical="center" wrapText="1"/>
      <protection locked="0"/>
    </xf>
    <xf numFmtId="0" fontId="55" fillId="0" borderId="59" xfId="0" applyNumberFormat="1" applyFont="1" applyFill="1" applyBorder="1" applyAlignment="1" applyProtection="1">
      <alignment horizontal="center" vertical="center" wrapText="1"/>
      <protection locked="0"/>
    </xf>
    <xf numFmtId="0" fontId="55" fillId="6" borderId="56" xfId="0" applyNumberFormat="1" applyFont="1" applyFill="1" applyBorder="1" applyAlignment="1" applyProtection="1">
      <alignment horizontal="center" vertical="center" wrapText="1"/>
    </xf>
    <xf numFmtId="0" fontId="54" fillId="6" borderId="58" xfId="0" applyNumberFormat="1" applyFont="1" applyFill="1" applyBorder="1" applyAlignment="1" applyProtection="1">
      <alignment vertical="center" wrapText="1"/>
      <protection locked="0"/>
    </xf>
    <xf numFmtId="0" fontId="49" fillId="0" borderId="109" xfId="0" applyNumberFormat="1" applyFont="1" applyFill="1" applyBorder="1" applyAlignment="1" applyProtection="1">
      <alignment horizontal="center" vertical="center" wrapText="1"/>
      <protection locked="0"/>
    </xf>
    <xf numFmtId="0" fontId="49" fillId="0" borderId="110" xfId="0" applyNumberFormat="1" applyFont="1" applyFill="1" applyBorder="1" applyAlignment="1" applyProtection="1">
      <alignment horizontal="center" vertical="center" wrapText="1"/>
      <protection locked="0"/>
    </xf>
    <xf numFmtId="0" fontId="49" fillId="0" borderId="111" xfId="0" applyNumberFormat="1" applyFont="1" applyFill="1" applyBorder="1" applyAlignment="1" applyProtection="1">
      <alignment horizontal="center" vertical="center" wrapText="1"/>
      <protection locked="0"/>
    </xf>
    <xf numFmtId="0" fontId="49" fillId="0" borderId="113" xfId="0" applyNumberFormat="1" applyFont="1" applyFill="1" applyBorder="1" applyAlignment="1" applyProtection="1">
      <alignment horizontal="center" vertical="center" wrapText="1"/>
      <protection locked="0"/>
    </xf>
    <xf numFmtId="0" fontId="49" fillId="6" borderId="11" xfId="0" applyNumberFormat="1" applyFont="1" applyFill="1" applyBorder="1" applyAlignment="1" applyProtection="1">
      <alignment horizontal="center" vertical="center" wrapText="1"/>
    </xf>
    <xf numFmtId="0" fontId="55" fillId="6" borderId="13" xfId="0" applyNumberFormat="1" applyFont="1" applyFill="1" applyBorder="1" applyAlignment="1" applyProtection="1">
      <alignment horizontal="center" vertical="center" wrapText="1"/>
    </xf>
    <xf numFmtId="0" fontId="49" fillId="0" borderId="116" xfId="0" applyFont="1" applyFill="1" applyBorder="1" applyAlignment="1" applyProtection="1">
      <alignment horizontal="center" vertical="center"/>
      <protection locked="0"/>
    </xf>
    <xf numFmtId="0" fontId="49" fillId="0" borderId="117" xfId="0" applyNumberFormat="1" applyFont="1" applyFill="1" applyBorder="1" applyAlignment="1" applyProtection="1">
      <alignment horizontal="center" vertical="center" wrapText="1"/>
      <protection locked="0"/>
    </xf>
    <xf numFmtId="0" fontId="49" fillId="0" borderId="117" xfId="0" applyFont="1" applyFill="1" applyBorder="1" applyAlignment="1" applyProtection="1">
      <alignment horizontal="center" vertical="center" wrapText="1"/>
      <protection locked="0"/>
    </xf>
    <xf numFmtId="9" fontId="49" fillId="0" borderId="117" xfId="0" applyNumberFormat="1" applyFont="1" applyFill="1" applyBorder="1" applyAlignment="1" applyProtection="1">
      <alignment horizontal="center" vertical="center" wrapText="1"/>
      <protection locked="0"/>
    </xf>
    <xf numFmtId="0" fontId="49" fillId="0" borderId="117" xfId="0" applyFont="1" applyFill="1" applyBorder="1" applyAlignment="1" applyProtection="1">
      <alignment horizontal="center" vertical="center"/>
      <protection locked="0"/>
    </xf>
    <xf numFmtId="0" fontId="49" fillId="0" borderId="113" xfId="0" applyFont="1" applyFill="1" applyBorder="1" applyAlignment="1" applyProtection="1">
      <alignment horizontal="center" vertical="center"/>
      <protection locked="0"/>
    </xf>
    <xf numFmtId="0" fontId="49" fillId="6" borderId="113" xfId="0" applyNumberFormat="1" applyFont="1" applyFill="1" applyBorder="1" applyAlignment="1" applyProtection="1">
      <alignment horizontal="center" vertical="center" wrapText="1"/>
    </xf>
    <xf numFmtId="0" fontId="55" fillId="0" borderId="114" xfId="0" applyNumberFormat="1" applyFont="1" applyFill="1" applyBorder="1" applyAlignment="1" applyProtection="1">
      <alignment horizontal="center" vertical="center" wrapText="1"/>
      <protection locked="0"/>
    </xf>
    <xf numFmtId="0" fontId="55" fillId="0" borderId="115" xfId="0" applyNumberFormat="1" applyFont="1" applyFill="1" applyBorder="1" applyAlignment="1" applyProtection="1">
      <alignment horizontal="center" vertical="center" wrapText="1"/>
      <protection locked="0"/>
    </xf>
    <xf numFmtId="0" fontId="49" fillId="10" borderId="6" xfId="0" applyNumberFormat="1" applyFont="1" applyFill="1" applyBorder="1" applyAlignment="1" applyProtection="1">
      <alignment horizontal="center" vertical="center" wrapText="1"/>
      <protection locked="0"/>
    </xf>
    <xf numFmtId="0" fontId="49" fillId="10" borderId="9" xfId="0" applyNumberFormat="1" applyFont="1" applyFill="1" applyBorder="1" applyAlignment="1" applyProtection="1">
      <alignment horizontal="center" vertical="center" wrapText="1"/>
      <protection locked="0"/>
    </xf>
    <xf numFmtId="0" fontId="49" fillId="10" borderId="9" xfId="0" applyNumberFormat="1" applyFont="1" applyFill="1" applyBorder="1" applyAlignment="1" applyProtection="1">
      <alignment horizontal="left" vertical="center" wrapText="1"/>
      <protection locked="0"/>
    </xf>
    <xf numFmtId="0" fontId="49" fillId="10" borderId="28" xfId="0" applyNumberFormat="1" applyFont="1" applyFill="1" applyBorder="1" applyAlignment="1" applyProtection="1">
      <alignment horizontal="center" vertical="center" wrapText="1"/>
      <protection locked="0"/>
    </xf>
    <xf numFmtId="0" fontId="49" fillId="10" borderId="29" xfId="0" applyFont="1" applyFill="1" applyBorder="1" applyAlignment="1" applyProtection="1">
      <alignment horizontal="center" vertical="center"/>
      <protection locked="0"/>
    </xf>
    <xf numFmtId="0" fontId="49" fillId="10" borderId="17" xfId="0" applyNumberFormat="1" applyFont="1" applyFill="1" applyBorder="1" applyAlignment="1" applyProtection="1">
      <alignment horizontal="center" vertical="center" wrapText="1"/>
      <protection locked="0"/>
    </xf>
    <xf numFmtId="0" fontId="49" fillId="10" borderId="17" xfId="0" applyFont="1" applyFill="1" applyBorder="1" applyAlignment="1" applyProtection="1">
      <alignment horizontal="center" vertical="center" wrapText="1"/>
      <protection locked="0"/>
    </xf>
    <xf numFmtId="9" fontId="49" fillId="10" borderId="17" xfId="0" applyNumberFormat="1" applyFont="1" applyFill="1" applyBorder="1" applyAlignment="1" applyProtection="1">
      <alignment horizontal="center" vertical="center" wrapText="1"/>
      <protection locked="0"/>
    </xf>
    <xf numFmtId="0" fontId="49" fillId="10" borderId="17" xfId="0" applyFont="1" applyFill="1" applyBorder="1" applyAlignment="1" applyProtection="1">
      <alignment horizontal="center" vertical="center"/>
      <protection locked="0"/>
    </xf>
    <xf numFmtId="0" fontId="49" fillId="10" borderId="31" xfId="0" applyFont="1" applyFill="1" applyBorder="1" applyAlignment="1" applyProtection="1">
      <alignment horizontal="center" vertical="center"/>
      <protection locked="0"/>
    </xf>
    <xf numFmtId="0" fontId="54" fillId="10" borderId="96" xfId="0" applyNumberFormat="1" applyFont="1" applyFill="1" applyBorder="1" applyAlignment="1" applyProtection="1">
      <alignment vertical="center" wrapText="1"/>
      <protection locked="0"/>
    </xf>
    <xf numFmtId="0" fontId="49" fillId="10" borderId="42" xfId="0" applyNumberFormat="1" applyFont="1" applyFill="1" applyBorder="1" applyAlignment="1" applyProtection="1">
      <alignment horizontal="center" vertical="center" wrapText="1"/>
    </xf>
    <xf numFmtId="0" fontId="49" fillId="10" borderId="25" xfId="0" applyNumberFormat="1" applyFont="1" applyFill="1" applyBorder="1" applyAlignment="1" applyProtection="1">
      <alignment horizontal="center" vertical="center" wrapText="1"/>
      <protection locked="0"/>
    </xf>
    <xf numFmtId="0" fontId="55" fillId="10" borderId="32" xfId="0" applyNumberFormat="1" applyFont="1" applyFill="1" applyBorder="1" applyAlignment="1" applyProtection="1">
      <alignment horizontal="center" vertical="center" wrapText="1"/>
      <protection locked="0"/>
    </xf>
    <xf numFmtId="0" fontId="55" fillId="10" borderId="33" xfId="0" applyNumberFormat="1" applyFont="1" applyFill="1" applyBorder="1" applyAlignment="1" applyProtection="1">
      <alignment horizontal="center" vertical="center" wrapText="1"/>
      <protection locked="0"/>
    </xf>
    <xf numFmtId="0" fontId="55" fillId="10" borderId="68" xfId="0" applyNumberFormat="1" applyFont="1" applyFill="1" applyBorder="1" applyAlignment="1" applyProtection="1">
      <alignment horizontal="center" vertical="center" wrapText="1"/>
      <protection locked="0"/>
    </xf>
    <xf numFmtId="0" fontId="46" fillId="6" borderId="1" xfId="0" applyFont="1" applyFill="1" applyBorder="1" applyProtection="1">
      <alignment vertical="center"/>
    </xf>
    <xf numFmtId="176" fontId="46" fillId="6" borderId="1" xfId="0" applyNumberFormat="1" applyFont="1" applyFill="1" applyBorder="1" applyProtection="1">
      <alignment vertical="center"/>
    </xf>
    <xf numFmtId="0" fontId="46" fillId="6" borderId="1" xfId="0" applyFont="1" applyFill="1" applyBorder="1" applyAlignment="1" applyProtection="1">
      <alignment horizontal="right" vertical="center" wrapText="1"/>
    </xf>
    <xf numFmtId="181" fontId="51" fillId="6" borderId="1" xfId="0" applyNumberFormat="1" applyFont="1" applyFill="1" applyBorder="1" applyAlignment="1" applyProtection="1">
      <alignment horizontal="center" vertical="center"/>
      <protection locked="0"/>
    </xf>
    <xf numFmtId="179" fontId="49" fillId="6" borderId="23" xfId="1" applyNumberFormat="1" applyFont="1" applyFill="1" applyBorder="1" applyAlignment="1" applyProtection="1">
      <alignment horizontal="center" vertical="center"/>
    </xf>
    <xf numFmtId="177" fontId="46" fillId="6" borderId="1" xfId="1" applyNumberFormat="1" applyFont="1" applyFill="1" applyBorder="1" applyAlignment="1" applyProtection="1">
      <alignment horizontal="center" vertical="center"/>
    </xf>
    <xf numFmtId="10" fontId="46" fillId="6" borderId="1" xfId="1" applyNumberFormat="1" applyFont="1" applyFill="1" applyBorder="1" applyAlignment="1" applyProtection="1">
      <alignment horizontal="center" vertical="center"/>
    </xf>
    <xf numFmtId="9" fontId="46" fillId="6" borderId="5" xfId="0" applyNumberFormat="1" applyFont="1" applyFill="1" applyBorder="1" applyAlignment="1" applyProtection="1">
      <alignment horizontal="center" vertical="center"/>
    </xf>
    <xf numFmtId="179" fontId="46" fillId="6" borderId="25" xfId="1" applyNumberFormat="1" applyFont="1" applyFill="1" applyBorder="1" applyAlignment="1" applyProtection="1">
      <alignment horizontal="center" vertical="center"/>
    </xf>
    <xf numFmtId="181" fontId="46" fillId="6" borderId="1" xfId="0" applyNumberFormat="1" applyFont="1" applyFill="1" applyBorder="1" applyAlignment="1" applyProtection="1">
      <alignment vertical="center"/>
    </xf>
    <xf numFmtId="181" fontId="46" fillId="6" borderId="5" xfId="0" applyNumberFormat="1" applyFont="1" applyFill="1" applyBorder="1" applyAlignment="1" applyProtection="1">
      <alignment vertical="center"/>
    </xf>
    <xf numFmtId="181" fontId="46" fillId="6" borderId="24" xfId="0" applyNumberFormat="1" applyFont="1" applyFill="1" applyBorder="1" applyAlignment="1" applyProtection="1">
      <alignment vertical="center"/>
    </xf>
    <xf numFmtId="0" fontId="46" fillId="6" borderId="3" xfId="0" applyFont="1" applyFill="1" applyBorder="1" applyAlignment="1" applyProtection="1">
      <alignment vertical="center"/>
    </xf>
    <xf numFmtId="181" fontId="46" fillId="6" borderId="1" xfId="0" applyNumberFormat="1" applyFont="1" applyFill="1" applyBorder="1" applyAlignment="1" applyProtection="1">
      <alignment horizontal="center" vertical="center"/>
    </xf>
    <xf numFmtId="181" fontId="46" fillId="6" borderId="5" xfId="0" applyNumberFormat="1" applyFont="1" applyFill="1" applyBorder="1" applyAlignment="1" applyProtection="1">
      <alignment horizontal="center" vertical="center"/>
    </xf>
    <xf numFmtId="0" fontId="46" fillId="6" borderId="23" xfId="0" applyFont="1" applyFill="1" applyBorder="1" applyAlignment="1" applyProtection="1">
      <alignment horizontal="center" vertical="center"/>
    </xf>
    <xf numFmtId="10" fontId="46" fillId="6" borderId="1" xfId="0" applyNumberFormat="1" applyFont="1" applyFill="1" applyBorder="1" applyAlignment="1" applyProtection="1">
      <alignment horizontal="center" vertical="center"/>
    </xf>
    <xf numFmtId="183" fontId="46" fillId="6" borderId="1" xfId="0" applyNumberFormat="1" applyFont="1" applyFill="1" applyBorder="1" applyAlignment="1" applyProtection="1">
      <alignment horizontal="center" vertical="center"/>
    </xf>
    <xf numFmtId="181" fontId="46" fillId="6" borderId="24" xfId="0" applyNumberFormat="1" applyFont="1" applyFill="1" applyBorder="1" applyAlignment="1" applyProtection="1">
      <alignment horizontal="center" vertical="center"/>
    </xf>
    <xf numFmtId="14" fontId="46" fillId="6" borderId="67" xfId="0" applyNumberFormat="1" applyFont="1" applyFill="1" applyBorder="1" applyAlignment="1" applyProtection="1">
      <alignment horizontal="center" vertical="center"/>
    </xf>
    <xf numFmtId="0" fontId="46" fillId="6" borderId="6" xfId="0" applyFont="1" applyFill="1" applyBorder="1" applyAlignment="1" applyProtection="1">
      <alignment horizontal="center" vertical="center" wrapText="1"/>
    </xf>
    <xf numFmtId="0" fontId="46" fillId="6" borderId="9" xfId="0" applyFont="1" applyFill="1" applyBorder="1" applyAlignment="1" applyProtection="1">
      <alignment horizontal="center" vertical="center" wrapText="1"/>
    </xf>
    <xf numFmtId="0" fontId="49" fillId="6" borderId="46" xfId="0" applyFont="1" applyFill="1" applyBorder="1" applyAlignment="1" applyProtection="1">
      <alignment horizontal="center" vertical="center" wrapText="1"/>
    </xf>
    <xf numFmtId="0" fontId="103" fillId="6" borderId="1" xfId="0" applyFont="1" applyFill="1" applyBorder="1" applyAlignment="1" applyProtection="1">
      <alignment horizontal="left" vertical="center" wrapText="1"/>
      <protection locked="0"/>
    </xf>
    <xf numFmtId="0" fontId="49" fillId="3" borderId="5" xfId="0" applyFont="1" applyFill="1" applyBorder="1" applyAlignment="1" applyProtection="1">
      <alignment horizontal="center" vertical="center" wrapText="1"/>
      <protection locked="0"/>
    </xf>
    <xf numFmtId="0" fontId="49" fillId="0" borderId="1" xfId="0" applyFont="1" applyBorder="1" applyAlignment="1" applyProtection="1">
      <alignment horizontal="center" vertical="center" wrapText="1"/>
      <protection locked="0"/>
    </xf>
    <xf numFmtId="176" fontId="49" fillId="0" borderId="1" xfId="0" applyNumberFormat="1" applyFont="1" applyFill="1" applyBorder="1" applyAlignment="1" applyProtection="1">
      <alignment horizontal="center" vertical="center" wrapText="1"/>
      <protection locked="0"/>
    </xf>
    <xf numFmtId="179" fontId="46" fillId="6" borderId="2" xfId="0" applyNumberFormat="1" applyFont="1" applyFill="1" applyBorder="1" applyProtection="1">
      <alignment vertical="center"/>
    </xf>
    <xf numFmtId="181" fontId="54" fillId="0" borderId="24" xfId="0" applyNumberFormat="1" applyFont="1" applyFill="1" applyBorder="1" applyAlignment="1" applyProtection="1">
      <alignment horizontal="center" vertical="center"/>
      <protection locked="0"/>
    </xf>
    <xf numFmtId="0" fontId="49" fillId="6" borderId="46" xfId="0" applyFont="1" applyFill="1" applyBorder="1" applyAlignment="1" applyProtection="1">
      <alignment vertical="center"/>
      <protection locked="0"/>
    </xf>
    <xf numFmtId="0" fontId="49" fillId="6" borderId="7" xfId="0" applyFont="1" applyFill="1" applyBorder="1" applyAlignment="1" applyProtection="1">
      <alignment horizontal="left" vertical="center"/>
      <protection locked="0"/>
    </xf>
    <xf numFmtId="0" fontId="54" fillId="6" borderId="8" xfId="0" applyFont="1" applyFill="1" applyBorder="1" applyAlignment="1" applyProtection="1">
      <alignment horizontal="center" vertical="center"/>
    </xf>
    <xf numFmtId="0" fontId="49" fillId="6" borderId="29" xfId="0" applyFont="1" applyFill="1" applyBorder="1" applyAlignment="1" applyProtection="1">
      <alignment horizontal="right" vertical="center"/>
      <protection locked="0"/>
    </xf>
    <xf numFmtId="0" fontId="49" fillId="6" borderId="31" xfId="0" applyFont="1" applyFill="1" applyBorder="1" applyAlignment="1" applyProtection="1">
      <alignment horizontal="center" vertical="center"/>
      <protection locked="0"/>
    </xf>
    <xf numFmtId="0" fontId="56" fillId="7" borderId="24" xfId="0" applyFont="1" applyFill="1" applyBorder="1" applyAlignment="1" applyProtection="1">
      <alignment horizontal="center" vertical="center"/>
      <protection locked="0"/>
    </xf>
    <xf numFmtId="0" fontId="60" fillId="6" borderId="0" xfId="0" applyFont="1" applyFill="1" applyAlignment="1" applyProtection="1">
      <alignment horizontal="center" vertical="center"/>
    </xf>
    <xf numFmtId="0" fontId="60" fillId="6" borderId="0" xfId="0" applyNumberFormat="1" applyFont="1" applyFill="1" applyBorder="1" applyAlignment="1" applyProtection="1">
      <alignment horizontal="center"/>
    </xf>
    <xf numFmtId="10" fontId="102" fillId="0" borderId="1" xfId="0" applyNumberFormat="1" applyFont="1" applyBorder="1" applyAlignment="1" applyProtection="1">
      <alignment horizontal="center" vertical="center"/>
      <protection locked="0"/>
    </xf>
    <xf numFmtId="10" fontId="53" fillId="6" borderId="1" xfId="0" applyNumberFormat="1" applyFont="1" applyFill="1" applyBorder="1" applyAlignment="1" applyProtection="1">
      <alignment horizontal="center" vertical="center" wrapText="1"/>
    </xf>
    <xf numFmtId="10" fontId="103" fillId="6" borderId="1" xfId="0" applyNumberFormat="1" applyFont="1" applyFill="1" applyBorder="1" applyAlignment="1" applyProtection="1">
      <alignment horizontal="center" vertical="center" wrapText="1"/>
    </xf>
    <xf numFmtId="179" fontId="118" fillId="6" borderId="15" xfId="0" applyNumberFormat="1" applyFont="1" applyFill="1" applyBorder="1" applyAlignment="1" applyProtection="1">
      <alignment horizontal="center" vertical="center" wrapText="1"/>
    </xf>
    <xf numFmtId="10" fontId="102" fillId="6" borderId="1" xfId="0" applyNumberFormat="1" applyFont="1" applyFill="1" applyBorder="1" applyAlignment="1" applyProtection="1">
      <alignment horizontal="center" vertical="center"/>
    </xf>
    <xf numFmtId="0" fontId="12" fillId="6" borderId="24" xfId="0" applyFont="1" applyFill="1" applyBorder="1" applyAlignment="1" applyProtection="1">
      <alignment vertical="center"/>
    </xf>
    <xf numFmtId="0" fontId="54" fillId="6" borderId="4" xfId="0" applyFont="1" applyFill="1" applyBorder="1" applyAlignment="1" applyProtection="1">
      <alignment horizontal="center" vertical="center"/>
    </xf>
    <xf numFmtId="49" fontId="49" fillId="6" borderId="11" xfId="0" applyNumberFormat="1" applyFont="1" applyFill="1" applyBorder="1" applyAlignment="1" applyProtection="1">
      <alignment horizontal="left" vertical="center"/>
    </xf>
    <xf numFmtId="0" fontId="49" fillId="6" borderId="15" xfId="0" applyFont="1" applyFill="1" applyBorder="1" applyAlignment="1" applyProtection="1">
      <alignment horizontal="center" vertical="center"/>
    </xf>
    <xf numFmtId="0" fontId="49" fillId="6" borderId="4" xfId="0" applyFont="1" applyFill="1" applyBorder="1" applyAlignment="1" applyProtection="1">
      <alignment horizontal="right" vertical="center"/>
    </xf>
    <xf numFmtId="0" fontId="49" fillId="6" borderId="71" xfId="0" applyFont="1" applyFill="1" applyBorder="1" applyAlignment="1" applyProtection="1">
      <alignment horizontal="center" vertical="center"/>
    </xf>
    <xf numFmtId="49" fontId="49" fillId="6" borderId="35" xfId="0" applyNumberFormat="1" applyFont="1" applyFill="1" applyBorder="1" applyAlignment="1" applyProtection="1">
      <alignment horizontal="left" vertical="center"/>
    </xf>
    <xf numFmtId="0" fontId="54" fillId="6" borderId="22" xfId="0" applyFont="1" applyFill="1" applyBorder="1" applyAlignment="1" applyProtection="1">
      <alignment horizontal="center" vertical="center"/>
    </xf>
    <xf numFmtId="0" fontId="54" fillId="6" borderId="0" xfId="0" applyFont="1" applyFill="1" applyBorder="1" applyAlignment="1" applyProtection="1">
      <alignment horizontal="center" vertical="center"/>
    </xf>
    <xf numFmtId="0" fontId="49" fillId="6" borderId="3" xfId="0" applyFont="1" applyFill="1" applyBorder="1" applyAlignment="1" applyProtection="1">
      <alignment horizontal="left" vertical="center"/>
    </xf>
    <xf numFmtId="49" fontId="54" fillId="6" borderId="69" xfId="0" applyNumberFormat="1" applyFont="1" applyFill="1" applyBorder="1" applyAlignment="1" applyProtection="1">
      <alignment vertical="center"/>
    </xf>
    <xf numFmtId="10" fontId="49" fillId="6" borderId="61" xfId="0" applyNumberFormat="1" applyFont="1" applyFill="1" applyBorder="1" applyAlignment="1" applyProtection="1">
      <alignment horizontal="center" vertical="center"/>
    </xf>
    <xf numFmtId="0" fontId="19" fillId="0" borderId="1" xfId="0" applyFont="1" applyFill="1" applyBorder="1" applyAlignment="1">
      <alignment horizontal="center" vertical="center"/>
    </xf>
    <xf numFmtId="177" fontId="19" fillId="0" borderId="24" xfId="0" applyNumberFormat="1" applyFont="1" applyFill="1" applyBorder="1" applyAlignment="1">
      <alignment horizontal="center" vertical="center"/>
    </xf>
    <xf numFmtId="0" fontId="128" fillId="0" borderId="1" xfId="0" applyFont="1" applyFill="1" applyBorder="1" applyAlignment="1">
      <alignment horizontal="center" vertical="center"/>
    </xf>
    <xf numFmtId="9" fontId="19" fillId="0" borderId="1" xfId="0" applyNumberFormat="1" applyFont="1" applyFill="1" applyBorder="1" applyAlignment="1">
      <alignment horizontal="center" vertical="center"/>
    </xf>
    <xf numFmtId="177" fontId="19" fillId="0" borderId="1" xfId="0" applyNumberFormat="1" applyFont="1" applyFill="1" applyBorder="1" applyAlignment="1">
      <alignment horizontal="center" vertical="center"/>
    </xf>
    <xf numFmtId="0" fontId="19" fillId="0" borderId="24" xfId="0" applyFont="1" applyFill="1" applyBorder="1" applyAlignment="1">
      <alignment horizontal="center" vertical="center"/>
    </xf>
    <xf numFmtId="0" fontId="142" fillId="0" borderId="1" xfId="0" applyFont="1" applyFill="1" applyBorder="1" applyAlignment="1">
      <alignment horizontal="center" vertical="center"/>
    </xf>
    <xf numFmtId="9" fontId="83" fillId="0" borderId="1" xfId="0" applyNumberFormat="1" applyFont="1" applyFill="1" applyBorder="1" applyAlignment="1">
      <alignment horizontal="center" vertical="center"/>
    </xf>
    <xf numFmtId="177" fontId="83" fillId="0" borderId="1" xfId="0" applyNumberFormat="1" applyFont="1" applyFill="1" applyBorder="1" applyAlignment="1">
      <alignment horizontal="center" vertical="center"/>
    </xf>
    <xf numFmtId="0" fontId="83" fillId="0" borderId="24" xfId="0" applyFont="1" applyFill="1" applyBorder="1" applyAlignment="1">
      <alignment horizontal="center" vertical="center"/>
    </xf>
    <xf numFmtId="0" fontId="37" fillId="0" borderId="1" xfId="0" applyFont="1" applyFill="1" applyBorder="1" applyAlignment="1">
      <alignment horizontal="center" vertical="center"/>
    </xf>
    <xf numFmtId="0" fontId="0" fillId="0" borderId="1" xfId="0" applyFill="1" applyBorder="1" applyAlignment="1">
      <alignment vertical="center"/>
    </xf>
    <xf numFmtId="0" fontId="142" fillId="0" borderId="24" xfId="0" applyFont="1" applyFill="1" applyBorder="1" applyAlignment="1">
      <alignment horizontal="center" vertical="center"/>
    </xf>
    <xf numFmtId="0" fontId="128" fillId="0" borderId="1" xfId="0" applyFont="1" applyFill="1" applyBorder="1" applyAlignment="1">
      <alignment horizontal="center" vertical="center" wrapText="1"/>
    </xf>
    <xf numFmtId="0" fontId="37" fillId="0" borderId="1" xfId="0" applyFont="1" applyFill="1" applyBorder="1" applyAlignment="1">
      <alignment vertical="center"/>
    </xf>
    <xf numFmtId="0" fontId="128" fillId="0" borderId="24" xfId="0" applyFont="1" applyFill="1" applyBorder="1" applyAlignment="1">
      <alignment horizontal="center" vertical="center"/>
    </xf>
    <xf numFmtId="0" fontId="128" fillId="0" borderId="1" xfId="0" applyFont="1" applyBorder="1" applyAlignment="1">
      <alignment horizontal="center" vertical="center"/>
    </xf>
    <xf numFmtId="9" fontId="128" fillId="0" borderId="1" xfId="0" applyNumberFormat="1" applyFont="1" applyBorder="1" applyAlignment="1">
      <alignment horizontal="center" vertical="center"/>
    </xf>
    <xf numFmtId="0" fontId="142" fillId="0" borderId="32" xfId="0" applyFont="1" applyFill="1" applyBorder="1" applyAlignment="1">
      <alignment horizontal="center" vertical="center"/>
    </xf>
    <xf numFmtId="9" fontId="142" fillId="0" borderId="32" xfId="0" applyNumberFormat="1" applyFont="1" applyFill="1" applyBorder="1" applyAlignment="1">
      <alignment horizontal="center" vertical="center"/>
    </xf>
    <xf numFmtId="177" fontId="142" fillId="0" borderId="32" xfId="0" applyNumberFormat="1" applyFont="1" applyFill="1" applyBorder="1" applyAlignment="1">
      <alignment horizontal="center" vertical="center"/>
    </xf>
    <xf numFmtId="0" fontId="83" fillId="0" borderId="49" xfId="0" applyFont="1" applyFill="1" applyBorder="1" applyAlignment="1">
      <alignment horizontal="center" vertical="center"/>
    </xf>
    <xf numFmtId="0" fontId="142" fillId="11" borderId="1" xfId="0" applyFont="1" applyFill="1" applyBorder="1" applyAlignment="1">
      <alignment vertical="center"/>
    </xf>
    <xf numFmtId="0" fontId="19" fillId="0" borderId="1" xfId="0" applyFont="1" applyBorder="1" applyAlignment="1">
      <alignment horizontal="center"/>
    </xf>
    <xf numFmtId="0" fontId="19" fillId="0" borderId="1" xfId="0" applyFont="1" applyBorder="1" applyAlignment="1"/>
    <xf numFmtId="49" fontId="19" fillId="0" borderId="1" xfId="0" applyNumberFormat="1" applyFont="1" applyBorder="1" applyAlignment="1">
      <alignment horizontal="center"/>
    </xf>
    <xf numFmtId="9" fontId="19" fillId="0" borderId="1" xfId="0" applyNumberFormat="1" applyFont="1" applyBorder="1" applyAlignment="1"/>
    <xf numFmtId="0" fontId="19" fillId="0" borderId="1" xfId="0" applyFont="1" applyFill="1" applyBorder="1" applyAlignment="1">
      <alignment horizontal="center"/>
    </xf>
    <xf numFmtId="49" fontId="54" fillId="6" borderId="41" xfId="0" applyNumberFormat="1" applyFont="1" applyFill="1" applyBorder="1" applyAlignment="1" applyProtection="1">
      <alignment horizontal="left" vertical="center"/>
    </xf>
    <xf numFmtId="0" fontId="54" fillId="6" borderId="2" xfId="0" applyFont="1" applyFill="1" applyBorder="1" applyAlignment="1" applyProtection="1">
      <alignment horizontal="left" vertical="center"/>
    </xf>
    <xf numFmtId="0" fontId="49" fillId="6" borderId="15" xfId="0" applyFont="1" applyFill="1" applyBorder="1" applyAlignment="1" applyProtection="1">
      <alignment horizontal="left" vertical="center"/>
    </xf>
    <xf numFmtId="181" fontId="49" fillId="6" borderId="53" xfId="0" applyNumberFormat="1" applyFont="1" applyFill="1" applyBorder="1" applyAlignment="1" applyProtection="1">
      <alignment horizontal="center" vertical="center"/>
    </xf>
    <xf numFmtId="49" fontId="49" fillId="6" borderId="91" xfId="0" applyNumberFormat="1" applyFont="1" applyFill="1" applyBorder="1" applyAlignment="1" applyProtection="1">
      <alignment vertical="center"/>
    </xf>
    <xf numFmtId="0" fontId="54" fillId="0" borderId="78" xfId="0" applyFont="1" applyFill="1" applyBorder="1" applyAlignment="1" applyProtection="1">
      <alignment horizontal="center" vertical="center"/>
      <protection locked="0"/>
    </xf>
    <xf numFmtId="0" fontId="49" fillId="6" borderId="78" xfId="0" applyFont="1" applyFill="1" applyBorder="1" applyAlignment="1" applyProtection="1">
      <alignment vertical="center"/>
    </xf>
    <xf numFmtId="181" fontId="54" fillId="6" borderId="79" xfId="0" applyNumberFormat="1" applyFont="1" applyFill="1" applyBorder="1" applyAlignment="1" applyProtection="1">
      <alignment horizontal="center" vertical="center"/>
    </xf>
    <xf numFmtId="0" fontId="49" fillId="6" borderId="4" xfId="0" applyFont="1" applyFill="1" applyBorder="1" applyAlignment="1" applyProtection="1">
      <alignment horizontal="left" vertical="center"/>
    </xf>
    <xf numFmtId="0" fontId="49" fillId="6" borderId="60" xfId="0" applyFont="1" applyFill="1" applyBorder="1" applyAlignment="1" applyProtection="1">
      <alignment horizontal="center" vertical="center"/>
    </xf>
    <xf numFmtId="49" fontId="49" fillId="6" borderId="91" xfId="0" applyNumberFormat="1" applyFont="1" applyFill="1" applyBorder="1" applyAlignment="1" applyProtection="1">
      <alignment horizontal="left" vertical="center"/>
    </xf>
    <xf numFmtId="0" fontId="49" fillId="6" borderId="78" xfId="0" applyFont="1" applyFill="1" applyBorder="1" applyAlignment="1" applyProtection="1">
      <alignment horizontal="left" vertical="center"/>
    </xf>
    <xf numFmtId="0" fontId="49" fillId="6" borderId="78" xfId="0" applyFont="1" applyFill="1" applyBorder="1" applyAlignment="1" applyProtection="1">
      <alignment horizontal="center" vertical="center"/>
    </xf>
    <xf numFmtId="0" fontId="49" fillId="6" borderId="78" xfId="0" applyFont="1" applyFill="1" applyBorder="1" applyAlignment="1" applyProtection="1">
      <alignment horizontal="left" vertical="center" wrapText="1"/>
    </xf>
    <xf numFmtId="181" fontId="49" fillId="6" borderId="79" xfId="0" applyNumberFormat="1" applyFont="1" applyFill="1" applyBorder="1" applyAlignment="1" applyProtection="1">
      <alignment horizontal="center" vertical="center"/>
    </xf>
    <xf numFmtId="0" fontId="54" fillId="6" borderId="2" xfId="0" applyFont="1" applyFill="1" applyBorder="1" applyAlignment="1" applyProtection="1">
      <alignment horizontal="left" vertical="center" wrapText="1"/>
    </xf>
    <xf numFmtId="0" fontId="49" fillId="6" borderId="4" xfId="0" applyFont="1" applyFill="1" applyBorder="1" applyAlignment="1" applyProtection="1">
      <alignment horizontal="left" vertical="center" wrapText="1"/>
    </xf>
    <xf numFmtId="0" fontId="49" fillId="6" borderId="60" xfId="0" applyFont="1" applyFill="1" applyBorder="1" applyAlignment="1" applyProtection="1">
      <alignment horizontal="center" vertical="center" wrapText="1"/>
    </xf>
    <xf numFmtId="0" fontId="49" fillId="6" borderId="71" xfId="0" applyFont="1" applyFill="1" applyBorder="1" applyAlignment="1" applyProtection="1">
      <alignment horizontal="center" vertical="center" wrapText="1"/>
    </xf>
    <xf numFmtId="0" fontId="49" fillId="6" borderId="85" xfId="0" applyFont="1" applyFill="1" applyBorder="1" applyAlignment="1" applyProtection="1">
      <alignment vertical="center"/>
    </xf>
    <xf numFmtId="181" fontId="54" fillId="6" borderId="78" xfId="0" applyNumberFormat="1" applyFont="1" applyFill="1" applyBorder="1" applyAlignment="1" applyProtection="1">
      <alignment horizontal="center" vertical="center"/>
    </xf>
    <xf numFmtId="0" fontId="49" fillId="6" borderId="85" xfId="0" applyFont="1" applyFill="1" applyBorder="1" applyAlignment="1" applyProtection="1">
      <alignment horizontal="left" vertical="center"/>
    </xf>
    <xf numFmtId="0" fontId="49" fillId="6" borderId="7" xfId="0" applyFont="1" applyFill="1" applyBorder="1" applyAlignment="1" applyProtection="1">
      <alignment vertical="center"/>
    </xf>
    <xf numFmtId="49" fontId="49" fillId="6" borderId="41" xfId="0" applyNumberFormat="1" applyFont="1" applyFill="1" applyBorder="1" applyAlignment="1" applyProtection="1">
      <alignment horizontal="left" vertical="center"/>
    </xf>
    <xf numFmtId="49" fontId="49" fillId="6" borderId="7" xfId="0" applyNumberFormat="1" applyFont="1" applyFill="1" applyBorder="1" applyAlignment="1" applyProtection="1">
      <alignment vertical="center"/>
    </xf>
    <xf numFmtId="178" fontId="56" fillId="6" borderId="1" xfId="0" applyNumberFormat="1" applyFont="1" applyFill="1" applyBorder="1" applyAlignment="1" applyProtection="1">
      <alignment horizontal="center" vertical="center"/>
    </xf>
    <xf numFmtId="178" fontId="55" fillId="6" borderId="1" xfId="0" applyNumberFormat="1" applyFont="1" applyFill="1" applyBorder="1" applyAlignment="1" applyProtection="1">
      <alignment horizontal="center" vertical="center"/>
    </xf>
    <xf numFmtId="177" fontId="48" fillId="6" borderId="0" xfId="0" applyNumberFormat="1" applyFont="1" applyFill="1" applyBorder="1" applyAlignment="1" applyProtection="1">
      <alignment horizontal="center" vertical="center"/>
    </xf>
    <xf numFmtId="187" fontId="49" fillId="6" borderId="3" xfId="0" applyNumberFormat="1" applyFont="1" applyFill="1" applyBorder="1" applyAlignment="1" applyProtection="1">
      <alignment horizontal="center" vertical="center"/>
    </xf>
    <xf numFmtId="177" fontId="49" fillId="6" borderId="0" xfId="0" applyNumberFormat="1" applyFont="1" applyFill="1" applyBorder="1" applyAlignment="1" applyProtection="1">
      <alignment horizontal="center" vertical="center"/>
    </xf>
    <xf numFmtId="0" fontId="48" fillId="6" borderId="39" xfId="0" applyNumberFormat="1" applyFont="1" applyFill="1" applyBorder="1" applyAlignment="1" applyProtection="1">
      <alignment vertical="center"/>
    </xf>
    <xf numFmtId="49" fontId="49" fillId="6" borderId="18" xfId="0" applyNumberFormat="1" applyFont="1" applyFill="1" applyBorder="1" applyAlignment="1" applyProtection="1">
      <alignment horizontal="center" vertical="center"/>
      <protection locked="0"/>
    </xf>
    <xf numFmtId="49" fontId="54" fillId="6" borderId="37" xfId="0" applyNumberFormat="1" applyFont="1" applyFill="1" applyBorder="1" applyAlignment="1" applyProtection="1">
      <alignment horizontal="left" vertical="center"/>
      <protection locked="0"/>
    </xf>
    <xf numFmtId="0" fontId="49" fillId="6" borderId="5" xfId="0" applyFont="1" applyFill="1" applyBorder="1" applyAlignment="1" applyProtection="1">
      <alignment horizontal="center" vertical="center"/>
      <protection locked="0"/>
    </xf>
    <xf numFmtId="0" fontId="49" fillId="6" borderId="5" xfId="0" applyFont="1" applyFill="1" applyBorder="1" applyAlignment="1" applyProtection="1">
      <alignment horizontal="right" vertical="center"/>
      <protection locked="0"/>
    </xf>
    <xf numFmtId="0" fontId="54" fillId="6" borderId="46" xfId="0" applyFont="1" applyFill="1" applyBorder="1" applyAlignment="1" applyProtection="1">
      <alignment horizontal="center" vertical="center"/>
    </xf>
    <xf numFmtId="0" fontId="59" fillId="6" borderId="0" xfId="0" applyFont="1" applyFill="1" applyBorder="1" applyAlignment="1" applyProtection="1">
      <alignment vertical="center"/>
    </xf>
    <xf numFmtId="181" fontId="54" fillId="5" borderId="61" xfId="0" applyNumberFormat="1" applyFont="1" applyFill="1" applyBorder="1" applyAlignment="1" applyProtection="1">
      <alignment horizontal="center" vertical="center"/>
      <protection locked="0"/>
    </xf>
    <xf numFmtId="0" fontId="49" fillId="6" borderId="17" xfId="0" applyFont="1" applyFill="1" applyBorder="1" applyAlignment="1" applyProtection="1">
      <alignment horizontal="center" vertical="center"/>
    </xf>
    <xf numFmtId="0" fontId="54" fillId="6" borderId="58" xfId="0" applyFont="1" applyFill="1" applyBorder="1" applyAlignment="1" applyProtection="1">
      <alignment horizontal="center" vertical="center"/>
    </xf>
    <xf numFmtId="9" fontId="55" fillId="6" borderId="24" xfId="0" applyNumberFormat="1" applyFont="1" applyFill="1" applyBorder="1" applyAlignment="1" applyProtection="1">
      <alignment horizontal="center" vertical="center" wrapText="1"/>
    </xf>
    <xf numFmtId="0" fontId="55" fillId="7" borderId="0" xfId="0" applyFont="1" applyFill="1" applyAlignment="1" applyProtection="1">
      <alignment vertical="center" wrapText="1"/>
      <protection locked="0"/>
    </xf>
    <xf numFmtId="0" fontId="55" fillId="7" borderId="0" xfId="0" applyFont="1" applyFill="1" applyAlignment="1" applyProtection="1">
      <alignment horizontal="center" vertical="center" wrapText="1"/>
      <protection locked="0"/>
    </xf>
    <xf numFmtId="0" fontId="55" fillId="7" borderId="0" xfId="0" applyFont="1" applyFill="1" applyAlignment="1" applyProtection="1">
      <alignment horizontal="center" vertical="center" wrapText="1"/>
    </xf>
    <xf numFmtId="10" fontId="55" fillId="6" borderId="49" xfId="0" applyNumberFormat="1" applyFont="1" applyFill="1" applyBorder="1" applyAlignment="1" applyProtection="1">
      <alignment horizontal="center" vertical="center" wrapText="1"/>
    </xf>
    <xf numFmtId="0" fontId="55" fillId="7" borderId="0" xfId="0" applyNumberFormat="1" applyFont="1" applyFill="1" applyAlignment="1" applyProtection="1">
      <alignment horizontal="center" vertical="center" wrapText="1"/>
      <protection locked="0"/>
    </xf>
    <xf numFmtId="14" fontId="55" fillId="7" borderId="0" xfId="0" applyNumberFormat="1" applyFont="1" applyFill="1" applyAlignment="1" applyProtection="1">
      <alignment horizontal="center" vertical="center" wrapText="1"/>
      <protection locked="0"/>
    </xf>
    <xf numFmtId="10" fontId="55" fillId="7" borderId="0" xfId="0" applyNumberFormat="1" applyFont="1" applyFill="1" applyAlignment="1" applyProtection="1">
      <alignment horizontal="center" vertical="center" wrapText="1"/>
      <protection locked="0"/>
    </xf>
    <xf numFmtId="0" fontId="53" fillId="7" borderId="0" xfId="0" applyFont="1" applyFill="1" applyAlignment="1" applyProtection="1">
      <alignment vertical="center" wrapText="1"/>
      <protection locked="0"/>
    </xf>
    <xf numFmtId="49" fontId="59" fillId="6" borderId="0" xfId="1" applyNumberFormat="1" applyFont="1" applyFill="1" applyBorder="1" applyAlignment="1" applyProtection="1">
      <alignment horizontal="right" vertical="center"/>
    </xf>
    <xf numFmtId="0" fontId="56" fillId="6" borderId="1" xfId="0" applyNumberFormat="1" applyFont="1" applyFill="1" applyBorder="1" applyAlignment="1" applyProtection="1">
      <alignment horizontal="center" vertical="center"/>
    </xf>
    <xf numFmtId="0" fontId="55" fillId="6" borderId="1" xfId="0" applyNumberFormat="1" applyFont="1" applyFill="1" applyBorder="1" applyAlignment="1" applyProtection="1">
      <alignment horizontal="center" vertical="center"/>
    </xf>
    <xf numFmtId="0" fontId="53" fillId="6" borderId="45" xfId="0" applyNumberFormat="1" applyFont="1" applyFill="1" applyBorder="1" applyAlignment="1" applyProtection="1">
      <alignment horizontal="center" vertical="center" wrapText="1"/>
    </xf>
    <xf numFmtId="0" fontId="60" fillId="6" borderId="14" xfId="0" applyNumberFormat="1" applyFont="1" applyFill="1" applyBorder="1" applyAlignment="1" applyProtection="1">
      <alignment horizontal="center" vertical="center" wrapText="1"/>
    </xf>
    <xf numFmtId="0" fontId="46" fillId="6" borderId="58" xfId="0" applyFont="1" applyFill="1" applyBorder="1" applyAlignment="1" applyProtection="1">
      <alignment horizontal="center" vertical="center" wrapText="1"/>
    </xf>
    <xf numFmtId="0" fontId="51" fillId="6" borderId="53" xfId="0" applyNumberFormat="1" applyFont="1" applyFill="1" applyBorder="1" applyAlignment="1" applyProtection="1">
      <alignment horizontal="center" vertical="center" wrapText="1"/>
    </xf>
    <xf numFmtId="0" fontId="46" fillId="0" borderId="5" xfId="0" applyFont="1" applyFill="1" applyBorder="1" applyAlignment="1" applyProtection="1">
      <alignment horizontal="center" vertical="center" wrapText="1"/>
      <protection locked="0"/>
    </xf>
    <xf numFmtId="0" fontId="53" fillId="0" borderId="5" xfId="0" applyFont="1" applyFill="1" applyBorder="1" applyAlignment="1" applyProtection="1">
      <alignment horizontal="center" vertical="center"/>
      <protection locked="0"/>
    </xf>
    <xf numFmtId="0" fontId="53" fillId="6" borderId="37" xfId="0" applyNumberFormat="1" applyFont="1" applyFill="1" applyBorder="1" applyAlignment="1" applyProtection="1">
      <alignment horizontal="center" vertical="center" wrapText="1"/>
    </xf>
    <xf numFmtId="0" fontId="46" fillId="6" borderId="23" xfId="0" applyFont="1" applyFill="1" applyBorder="1" applyProtection="1">
      <alignment vertical="center"/>
    </xf>
    <xf numFmtId="0" fontId="46" fillId="6" borderId="0" xfId="0" applyFont="1" applyFill="1" applyProtection="1">
      <alignment vertical="center"/>
      <protection locked="0"/>
    </xf>
    <xf numFmtId="176" fontId="48" fillId="6" borderId="1" xfId="0" applyNumberFormat="1" applyFont="1" applyFill="1" applyBorder="1" applyAlignment="1" applyProtection="1">
      <alignment vertical="center"/>
    </xf>
    <xf numFmtId="176" fontId="48" fillId="6" borderId="1" xfId="0" applyNumberFormat="1" applyFont="1" applyFill="1" applyBorder="1" applyAlignment="1" applyProtection="1">
      <alignment horizontal="center" vertical="center"/>
    </xf>
    <xf numFmtId="176" fontId="48" fillId="6" borderId="24" xfId="0" applyNumberFormat="1" applyFont="1" applyFill="1" applyBorder="1" applyAlignment="1" applyProtection="1">
      <alignment vertical="center"/>
    </xf>
    <xf numFmtId="176" fontId="48" fillId="6" borderId="25" xfId="0" applyNumberFormat="1" applyFont="1" applyFill="1" applyBorder="1" applyAlignment="1" applyProtection="1">
      <alignment vertical="center"/>
    </xf>
    <xf numFmtId="176" fontId="48" fillId="6" borderId="76" xfId="0" applyNumberFormat="1" applyFont="1" applyFill="1" applyBorder="1" applyAlignment="1" applyProtection="1">
      <alignment vertical="center"/>
    </xf>
    <xf numFmtId="0" fontId="46" fillId="6" borderId="11" xfId="0" applyFont="1" applyFill="1" applyBorder="1" applyProtection="1">
      <alignment vertical="center"/>
    </xf>
    <xf numFmtId="0" fontId="46" fillId="6" borderId="13" xfId="0" applyFont="1" applyFill="1" applyBorder="1" applyProtection="1">
      <alignment vertical="center"/>
    </xf>
    <xf numFmtId="0" fontId="48" fillId="6" borderId="25" xfId="0" applyFont="1" applyFill="1" applyBorder="1" applyProtection="1">
      <alignment vertical="center"/>
    </xf>
    <xf numFmtId="0" fontId="48" fillId="6" borderId="32" xfId="0" applyFont="1" applyFill="1" applyBorder="1" applyProtection="1">
      <alignment vertical="center"/>
    </xf>
    <xf numFmtId="0" fontId="46" fillId="6" borderId="49" xfId="0" applyFont="1" applyFill="1" applyBorder="1" applyProtection="1">
      <alignment vertical="center"/>
    </xf>
    <xf numFmtId="0" fontId="46" fillId="6" borderId="24" xfId="0" applyFont="1" applyFill="1" applyBorder="1" applyProtection="1">
      <alignment vertical="center"/>
    </xf>
    <xf numFmtId="0" fontId="48" fillId="6" borderId="49" xfId="0" applyFont="1" applyFill="1" applyBorder="1" applyProtection="1">
      <alignment vertical="center"/>
    </xf>
    <xf numFmtId="49" fontId="54" fillId="6" borderId="22" xfId="0" applyNumberFormat="1" applyFont="1" applyFill="1" applyBorder="1" applyAlignment="1" applyProtection="1">
      <alignment horizontal="left" vertical="center"/>
      <protection locked="0"/>
    </xf>
    <xf numFmtId="49" fontId="54" fillId="6" borderId="41" xfId="0" applyNumberFormat="1" applyFont="1" applyFill="1" applyBorder="1" applyAlignment="1" applyProtection="1">
      <alignment horizontal="left" vertical="center"/>
      <protection locked="0"/>
    </xf>
    <xf numFmtId="0" fontId="52" fillId="6" borderId="51" xfId="0" applyNumberFormat="1" applyFont="1" applyFill="1" applyBorder="1" applyAlignment="1" applyProtection="1">
      <alignment horizontal="right" vertical="center" wrapText="1"/>
    </xf>
    <xf numFmtId="0" fontId="52" fillId="6" borderId="21" xfId="0" applyNumberFormat="1" applyFont="1" applyFill="1" applyBorder="1" applyAlignment="1" applyProtection="1">
      <alignment vertical="center" wrapText="1"/>
    </xf>
    <xf numFmtId="0" fontId="72" fillId="3" borderId="20" xfId="0" applyNumberFormat="1" applyFont="1" applyFill="1" applyBorder="1" applyAlignment="1" applyProtection="1">
      <alignment vertical="center" wrapText="1"/>
      <protection locked="0"/>
    </xf>
    <xf numFmtId="0" fontId="72" fillId="6" borderId="20" xfId="0" applyNumberFormat="1" applyFont="1" applyFill="1" applyBorder="1" applyAlignment="1" applyProtection="1">
      <alignment vertical="center" wrapText="1"/>
    </xf>
    <xf numFmtId="0" fontId="72" fillId="3" borderId="51" xfId="0" applyNumberFormat="1" applyFont="1" applyFill="1" applyBorder="1" applyAlignment="1" applyProtection="1">
      <alignment vertical="center" wrapText="1"/>
      <protection locked="0"/>
    </xf>
    <xf numFmtId="0" fontId="72" fillId="6" borderId="21" xfId="0" applyNumberFormat="1" applyFont="1" applyFill="1" applyBorder="1" applyAlignment="1" applyProtection="1">
      <alignment vertical="center" wrapText="1"/>
    </xf>
    <xf numFmtId="0" fontId="52" fillId="6" borderId="38" xfId="0" applyNumberFormat="1" applyFont="1" applyFill="1" applyBorder="1" applyAlignment="1" applyProtection="1">
      <alignment vertical="center" wrapText="1"/>
    </xf>
    <xf numFmtId="0" fontId="52" fillId="6" borderId="52" xfId="0" applyNumberFormat="1" applyFont="1" applyFill="1" applyBorder="1" applyAlignment="1" applyProtection="1">
      <alignment vertical="center" wrapText="1"/>
    </xf>
    <xf numFmtId="0" fontId="52" fillId="6" borderId="47" xfId="0" applyNumberFormat="1" applyFont="1" applyFill="1" applyBorder="1" applyAlignment="1" applyProtection="1">
      <alignment vertical="center" wrapText="1"/>
      <protection locked="0"/>
    </xf>
    <xf numFmtId="0" fontId="52" fillId="6" borderId="47" xfId="0" applyNumberFormat="1" applyFont="1" applyFill="1" applyBorder="1" applyAlignment="1" applyProtection="1">
      <alignment vertical="center" wrapText="1"/>
    </xf>
    <xf numFmtId="0" fontId="59" fillId="6" borderId="2" xfId="0" applyFont="1" applyFill="1" applyBorder="1" applyAlignment="1" applyProtection="1">
      <alignment horizontal="right" vertical="center"/>
    </xf>
    <xf numFmtId="0" fontId="64" fillId="6" borderId="58" xfId="0" applyFont="1" applyFill="1" applyBorder="1" applyAlignment="1" applyProtection="1">
      <alignment horizontal="center" vertical="center"/>
    </xf>
    <xf numFmtId="0" fontId="58" fillId="6" borderId="0" xfId="0" applyFont="1" applyFill="1" applyBorder="1" applyAlignment="1" applyProtection="1">
      <protection locked="0"/>
    </xf>
    <xf numFmtId="0" fontId="53" fillId="6" borderId="0" xfId="0" applyFont="1" applyFill="1" applyBorder="1" applyAlignment="1" applyProtection="1">
      <alignment horizontal="center"/>
      <protection locked="0"/>
    </xf>
    <xf numFmtId="0" fontId="46" fillId="6" borderId="0" xfId="0" applyFont="1" applyFill="1" applyAlignment="1" applyProtection="1">
      <alignment horizontal="center" vertical="center"/>
      <protection locked="0"/>
    </xf>
    <xf numFmtId="0" fontId="59" fillId="6" borderId="5" xfId="1" applyFont="1" applyFill="1" applyBorder="1" applyAlignment="1" applyProtection="1">
      <alignment horizontal="right" vertical="center"/>
    </xf>
    <xf numFmtId="0" fontId="48" fillId="6" borderId="33" xfId="0" applyFont="1" applyFill="1" applyBorder="1" applyAlignment="1" applyProtection="1">
      <alignment horizontal="center" vertical="center"/>
    </xf>
    <xf numFmtId="181" fontId="46" fillId="6" borderId="49" xfId="0" applyNumberFormat="1" applyFont="1" applyFill="1" applyBorder="1" applyProtection="1">
      <alignment vertical="center"/>
    </xf>
    <xf numFmtId="0" fontId="46" fillId="6" borderId="24" xfId="1" applyNumberFormat="1" applyFont="1" applyFill="1" applyBorder="1" applyAlignment="1" applyProtection="1">
      <alignment horizontal="center" vertical="center"/>
    </xf>
    <xf numFmtId="10" fontId="53" fillId="0" borderId="3" xfId="8" applyNumberFormat="1" applyFont="1" applyFill="1" applyBorder="1" applyAlignment="1" applyProtection="1">
      <alignment horizontal="center" vertical="center" wrapText="1"/>
      <protection locked="0"/>
    </xf>
    <xf numFmtId="10" fontId="55" fillId="6" borderId="24" xfId="8" applyNumberFormat="1" applyFont="1" applyFill="1" applyBorder="1" applyAlignment="1" applyProtection="1">
      <alignment horizontal="center" vertical="center" wrapText="1"/>
    </xf>
    <xf numFmtId="10" fontId="53" fillId="0" borderId="66" xfId="8" applyNumberFormat="1" applyFont="1" applyFill="1" applyBorder="1" applyAlignment="1" applyProtection="1">
      <alignment horizontal="center" vertical="center" wrapText="1"/>
      <protection locked="0"/>
    </xf>
    <xf numFmtId="10" fontId="55" fillId="6" borderId="49" xfId="8" applyNumberFormat="1" applyFont="1" applyFill="1" applyBorder="1" applyAlignment="1" applyProtection="1">
      <alignment horizontal="center" vertical="center" wrapText="1"/>
    </xf>
    <xf numFmtId="0" fontId="46" fillId="6" borderId="22" xfId="0" applyNumberFormat="1" applyFont="1" applyFill="1" applyBorder="1" applyAlignment="1" applyProtection="1">
      <alignment horizontal="center" vertical="center" wrapText="1"/>
      <protection locked="0"/>
    </xf>
    <xf numFmtId="0" fontId="46" fillId="0" borderId="5" xfId="0" applyNumberFormat="1" applyFont="1" applyFill="1" applyBorder="1" applyAlignment="1" applyProtection="1">
      <alignment horizontal="center" vertical="center" wrapText="1"/>
      <protection locked="0"/>
    </xf>
    <xf numFmtId="0" fontId="46" fillId="0" borderId="24" xfId="0" applyNumberFormat="1" applyFont="1" applyFill="1" applyBorder="1" applyAlignment="1" applyProtection="1">
      <alignment horizontal="center" vertical="center" wrapText="1"/>
      <protection locked="0"/>
    </xf>
    <xf numFmtId="49" fontId="46" fillId="0" borderId="18" xfId="0" applyNumberFormat="1" applyFont="1" applyFill="1" applyBorder="1" applyAlignment="1" applyProtection="1">
      <alignment horizontal="center" vertical="center"/>
      <protection locked="0"/>
    </xf>
    <xf numFmtId="0" fontId="46" fillId="6" borderId="30" xfId="0" applyNumberFormat="1" applyFont="1" applyFill="1" applyBorder="1" applyAlignment="1" applyProtection="1">
      <alignment horizontal="center" vertical="center" wrapText="1"/>
    </xf>
    <xf numFmtId="0" fontId="53" fillId="6" borderId="13" xfId="0" applyNumberFormat="1" applyFont="1" applyFill="1" applyBorder="1" applyAlignment="1" applyProtection="1">
      <alignment horizontal="center" vertical="center" wrapText="1"/>
      <protection locked="0"/>
    </xf>
    <xf numFmtId="190" fontId="46" fillId="6" borderId="30" xfId="0" applyNumberFormat="1" applyFont="1" applyFill="1" applyBorder="1" applyAlignment="1" applyProtection="1">
      <alignment horizontal="center" vertical="center" wrapText="1"/>
    </xf>
    <xf numFmtId="190" fontId="46" fillId="6" borderId="9" xfId="0" applyNumberFormat="1" applyFont="1" applyFill="1" applyBorder="1" applyAlignment="1" applyProtection="1">
      <alignment horizontal="center" vertical="center" wrapText="1"/>
    </xf>
    <xf numFmtId="190" fontId="46" fillId="6" borderId="39" xfId="0" applyNumberFormat="1" applyFont="1" applyFill="1" applyBorder="1" applyAlignment="1" applyProtection="1">
      <alignment horizontal="center" vertical="center" wrapText="1"/>
    </xf>
    <xf numFmtId="0" fontId="49" fillId="0" borderId="54" xfId="0" applyFont="1" applyFill="1" applyBorder="1" applyAlignment="1" applyProtection="1">
      <alignment vertical="center"/>
      <protection locked="0"/>
    </xf>
    <xf numFmtId="0" fontId="49" fillId="6" borderId="36" xfId="0" applyFont="1" applyFill="1" applyBorder="1" applyAlignment="1" applyProtection="1">
      <alignment vertical="center"/>
    </xf>
    <xf numFmtId="0" fontId="49" fillId="6" borderId="60" xfId="0" applyFont="1" applyFill="1" applyBorder="1" applyAlignment="1" applyProtection="1">
      <alignment horizontal="left" vertical="center"/>
    </xf>
    <xf numFmtId="0" fontId="47" fillId="5" borderId="3" xfId="1" applyFont="1" applyFill="1" applyBorder="1" applyAlignment="1" applyProtection="1">
      <alignment vertical="center"/>
    </xf>
    <xf numFmtId="0" fontId="49" fillId="6" borderId="0" xfId="0" applyFont="1" applyFill="1" applyAlignment="1" applyProtection="1">
      <alignment vertical="center"/>
      <protection locked="0"/>
    </xf>
    <xf numFmtId="0" fontId="47" fillId="5" borderId="5" xfId="1" applyFont="1" applyFill="1" applyBorder="1" applyAlignment="1" applyProtection="1">
      <alignment horizontal="left" vertical="center"/>
      <protection locked="0"/>
    </xf>
    <xf numFmtId="0" fontId="64" fillId="0" borderId="32" xfId="0" applyFont="1" applyFill="1" applyBorder="1" applyAlignment="1" applyProtection="1">
      <alignment vertical="center"/>
      <protection locked="0"/>
    </xf>
    <xf numFmtId="0" fontId="153" fillId="0" borderId="0" xfId="11" applyFont="1" applyBorder="1" applyAlignment="1" applyProtection="1">
      <alignment vertical="center" wrapText="1"/>
    </xf>
    <xf numFmtId="0" fontId="130" fillId="0" borderId="78" xfId="0" applyFont="1" applyBorder="1" applyAlignment="1" applyProtection="1">
      <alignment horizontal="left" vertical="center"/>
    </xf>
    <xf numFmtId="0" fontId="153" fillId="0" borderId="78" xfId="11" applyFont="1" applyBorder="1" applyAlignment="1" applyProtection="1">
      <alignment horizontal="left" vertical="center" wrapText="1"/>
    </xf>
    <xf numFmtId="0" fontId="153" fillId="0" borderId="87" xfId="0" applyFont="1" applyBorder="1" applyProtection="1">
      <alignment vertical="center"/>
    </xf>
    <xf numFmtId="0" fontId="153" fillId="0" borderId="44" xfId="11" applyFont="1" applyBorder="1" applyAlignment="1" applyProtection="1">
      <alignment vertical="center" wrapText="1"/>
    </xf>
    <xf numFmtId="0" fontId="153" fillId="0" borderId="44" xfId="0" applyFont="1" applyBorder="1" applyAlignment="1" applyProtection="1">
      <alignment horizontal="left" vertical="center"/>
    </xf>
    <xf numFmtId="0" fontId="153" fillId="0" borderId="83" xfId="0" applyFont="1" applyBorder="1" applyProtection="1">
      <alignment vertical="center"/>
    </xf>
    <xf numFmtId="0" fontId="153" fillId="0" borderId="1" xfId="11" applyFont="1" applyBorder="1" applyAlignment="1" applyProtection="1">
      <alignment vertical="center" wrapText="1"/>
    </xf>
    <xf numFmtId="0" fontId="153" fillId="0" borderId="1" xfId="0" applyFont="1" applyBorder="1" applyAlignment="1" applyProtection="1">
      <alignment horizontal="left" vertical="center"/>
    </xf>
    <xf numFmtId="0" fontId="153" fillId="0" borderId="0" xfId="0" applyFont="1" applyBorder="1" applyProtection="1">
      <alignment vertical="center"/>
    </xf>
    <xf numFmtId="0" fontId="153" fillId="0" borderId="78" xfId="11" applyFont="1" applyBorder="1" applyAlignment="1" applyProtection="1">
      <alignment vertical="center" wrapText="1"/>
    </xf>
    <xf numFmtId="0" fontId="153" fillId="0" borderId="78" xfId="0" applyFont="1" applyBorder="1" applyAlignment="1" applyProtection="1">
      <alignment horizontal="left" vertical="center"/>
    </xf>
    <xf numFmtId="194" fontId="153" fillId="0" borderId="78" xfId="0" applyNumberFormat="1" applyFont="1" applyBorder="1" applyAlignment="1" applyProtection="1">
      <alignment horizontal="left" vertical="center"/>
    </xf>
    <xf numFmtId="0" fontId="153" fillId="0" borderId="2" xfId="11" applyFont="1" applyBorder="1" applyAlignment="1" applyProtection="1">
      <alignment vertical="center" wrapText="1"/>
    </xf>
    <xf numFmtId="14" fontId="153" fillId="0" borderId="2" xfId="0" applyNumberFormat="1" applyFont="1" applyBorder="1" applyAlignment="1" applyProtection="1">
      <alignment horizontal="left" vertical="center"/>
    </xf>
    <xf numFmtId="0" fontId="153" fillId="0" borderId="0" xfId="0" applyFont="1" applyProtection="1">
      <alignment vertical="center"/>
    </xf>
    <xf numFmtId="14" fontId="153" fillId="0" borderId="1" xfId="0" applyNumberFormat="1" applyFont="1" applyBorder="1" applyAlignment="1" applyProtection="1">
      <alignment horizontal="left" vertical="center"/>
    </xf>
    <xf numFmtId="0" fontId="153" fillId="0" borderId="0" xfId="0" applyFont="1" applyAlignment="1" applyProtection="1">
      <alignment horizontal="left" vertical="center"/>
    </xf>
    <xf numFmtId="0" fontId="60" fillId="6" borderId="1" xfId="8" applyFont="1" applyFill="1" applyBorder="1" applyAlignment="1" applyProtection="1">
      <alignment horizontal="center" vertical="center" wrapText="1"/>
    </xf>
    <xf numFmtId="0" fontId="60" fillId="0" borderId="1" xfId="8" applyFont="1" applyFill="1" applyBorder="1" applyAlignment="1" applyProtection="1">
      <alignment horizontal="center" vertical="center" wrapText="1"/>
      <protection locked="0"/>
    </xf>
    <xf numFmtId="0" fontId="55" fillId="6" borderId="1" xfId="8" applyFont="1" applyFill="1" applyBorder="1" applyAlignment="1" applyProtection="1">
      <alignment horizontal="center" vertical="center" wrapText="1"/>
      <protection locked="0"/>
    </xf>
    <xf numFmtId="179" fontId="55" fillId="6" borderId="1" xfId="8" applyNumberFormat="1" applyFont="1" applyFill="1" applyBorder="1" applyAlignment="1" applyProtection="1">
      <alignment horizontal="center" vertical="center" wrapText="1"/>
      <protection locked="0"/>
    </xf>
    <xf numFmtId="0" fontId="55" fillId="6" borderId="0" xfId="8" applyFont="1" applyFill="1" applyAlignment="1" applyProtection="1">
      <alignment vertical="center" wrapText="1"/>
      <protection locked="0"/>
    </xf>
    <xf numFmtId="0" fontId="55" fillId="6" borderId="0" xfId="8" applyFont="1" applyFill="1" applyAlignment="1" applyProtection="1">
      <alignment horizontal="center" vertical="center" wrapText="1"/>
      <protection locked="0"/>
    </xf>
    <xf numFmtId="0" fontId="55" fillId="7" borderId="0" xfId="8" applyFont="1" applyFill="1" applyAlignment="1" applyProtection="1">
      <alignment horizontal="center" vertical="center" wrapText="1"/>
    </xf>
    <xf numFmtId="0" fontId="55" fillId="0" borderId="0" xfId="8" applyFont="1" applyAlignment="1" applyProtection="1">
      <alignment horizontal="center" vertical="center" wrapText="1"/>
    </xf>
    <xf numFmtId="0" fontId="103" fillId="6" borderId="1" xfId="8" applyFont="1" applyFill="1" applyBorder="1" applyAlignment="1" applyProtection="1">
      <alignment horizontal="center" vertical="center"/>
    </xf>
    <xf numFmtId="186" fontId="103" fillId="6" borderId="1" xfId="8" applyNumberFormat="1" applyFont="1" applyFill="1" applyBorder="1" applyAlignment="1" applyProtection="1">
      <alignment horizontal="center" vertical="center"/>
    </xf>
    <xf numFmtId="177" fontId="118" fillId="6" borderId="1" xfId="8" applyNumberFormat="1" applyFont="1" applyFill="1" applyBorder="1" applyAlignment="1" applyProtection="1">
      <alignment horizontal="center" vertical="center"/>
    </xf>
    <xf numFmtId="187" fontId="118" fillId="6" borderId="1" xfId="8" applyNumberFormat="1" applyFont="1" applyFill="1" applyBorder="1" applyAlignment="1" applyProtection="1">
      <alignment horizontal="center" vertical="center" wrapText="1"/>
    </xf>
    <xf numFmtId="0" fontId="55" fillId="6" borderId="1" xfId="8" applyFont="1" applyFill="1" applyBorder="1" applyAlignment="1" applyProtection="1">
      <alignment horizontal="center" vertical="center" wrapText="1"/>
    </xf>
    <xf numFmtId="0" fontId="55" fillId="6" borderId="1" xfId="8" applyNumberFormat="1" applyFont="1" applyFill="1" applyBorder="1" applyAlignment="1" applyProtection="1">
      <alignment horizontal="center" vertical="center" wrapText="1"/>
    </xf>
    <xf numFmtId="0" fontId="103" fillId="6" borderId="1" xfId="8" applyFont="1" applyFill="1" applyBorder="1" applyAlignment="1" applyProtection="1">
      <alignment vertical="center" wrapText="1"/>
    </xf>
    <xf numFmtId="0" fontId="59" fillId="6" borderId="2" xfId="1" applyFont="1" applyFill="1" applyBorder="1" applyAlignment="1" applyProtection="1">
      <alignment vertical="center"/>
    </xf>
    <xf numFmtId="0" fontId="105" fillId="6" borderId="85" xfId="0" applyFont="1" applyFill="1" applyBorder="1" applyAlignment="1" applyProtection="1">
      <alignment vertical="center"/>
    </xf>
    <xf numFmtId="0" fontId="64" fillId="2" borderId="88" xfId="0" applyFont="1" applyFill="1" applyBorder="1" applyAlignment="1" applyProtection="1">
      <alignment horizontal="right" vertical="center"/>
      <protection locked="0"/>
    </xf>
    <xf numFmtId="0" fontId="64" fillId="6" borderId="87" xfId="0" applyFont="1" applyFill="1" applyBorder="1" applyAlignment="1" applyProtection="1">
      <alignment horizontal="center" vertical="center"/>
    </xf>
    <xf numFmtId="0" fontId="64" fillId="2" borderId="88" xfId="0" applyFont="1" applyFill="1" applyBorder="1" applyAlignment="1" applyProtection="1">
      <alignment vertical="center"/>
      <protection locked="0"/>
    </xf>
    <xf numFmtId="0" fontId="64" fillId="6" borderId="88" xfId="0" applyFont="1" applyFill="1" applyBorder="1" applyAlignment="1" applyProtection="1">
      <alignment vertical="center"/>
      <protection locked="0"/>
    </xf>
    <xf numFmtId="0" fontId="67" fillId="6" borderId="88" xfId="0" applyFont="1" applyFill="1" applyBorder="1" applyAlignment="1" applyProtection="1">
      <alignment vertical="center"/>
      <protection locked="0"/>
    </xf>
    <xf numFmtId="189" fontId="64" fillId="6" borderId="88" xfId="0" applyNumberFormat="1" applyFont="1" applyFill="1" applyBorder="1" applyAlignment="1" applyProtection="1">
      <alignment horizontal="center" vertical="center"/>
      <protection locked="0"/>
    </xf>
    <xf numFmtId="181" fontId="64" fillId="6" borderId="88" xfId="0" applyNumberFormat="1" applyFont="1" applyFill="1" applyBorder="1" applyAlignment="1" applyProtection="1">
      <alignment vertical="center"/>
      <protection locked="0"/>
    </xf>
    <xf numFmtId="0" fontId="64" fillId="6" borderId="88" xfId="0" applyFont="1" applyFill="1" applyBorder="1" applyAlignment="1" applyProtection="1">
      <alignment horizontal="center" vertical="center"/>
      <protection locked="0"/>
    </xf>
    <xf numFmtId="0" fontId="64" fillId="6" borderId="103" xfId="0" applyFont="1" applyFill="1" applyBorder="1" applyAlignment="1" applyProtection="1">
      <alignment horizontal="center" vertical="center"/>
    </xf>
    <xf numFmtId="0" fontId="65" fillId="6" borderId="87" xfId="0" applyFont="1" applyFill="1" applyBorder="1" applyAlignment="1" applyProtection="1">
      <alignment horizontal="center" vertical="center"/>
    </xf>
    <xf numFmtId="0" fontId="65" fillId="0" borderId="87" xfId="0" applyFont="1" applyFill="1" applyBorder="1" applyAlignment="1" applyProtection="1">
      <alignment horizontal="center" vertical="center"/>
      <protection locked="0"/>
    </xf>
    <xf numFmtId="0" fontId="64" fillId="6" borderId="88" xfId="0" applyFont="1" applyFill="1" applyBorder="1" applyAlignment="1" applyProtection="1">
      <alignment vertical="center"/>
    </xf>
    <xf numFmtId="0" fontId="67" fillId="6" borderId="88" xfId="0" applyFont="1" applyFill="1" applyBorder="1" applyAlignment="1" applyProtection="1">
      <alignment vertical="center"/>
    </xf>
    <xf numFmtId="189" fontId="64" fillId="6" borderId="88" xfId="0" applyNumberFormat="1" applyFont="1" applyFill="1" applyBorder="1" applyAlignment="1" applyProtection="1">
      <alignment horizontal="center" vertical="center"/>
    </xf>
    <xf numFmtId="181" fontId="64" fillId="6" borderId="88" xfId="0" applyNumberFormat="1" applyFont="1" applyFill="1" applyBorder="1" applyAlignment="1" applyProtection="1">
      <alignment vertical="center"/>
    </xf>
    <xf numFmtId="0" fontId="64" fillId="6" borderId="88" xfId="0" applyFont="1" applyFill="1" applyBorder="1" applyAlignment="1" applyProtection="1">
      <alignment horizontal="center" vertical="center"/>
    </xf>
    <xf numFmtId="0" fontId="0" fillId="0" borderId="0" xfId="0" applyAlignment="1"/>
    <xf numFmtId="0" fontId="99" fillId="6" borderId="0" xfId="0" applyFont="1" applyFill="1" applyAlignment="1"/>
    <xf numFmtId="0" fontId="83" fillId="6" borderId="0" xfId="2" applyFont="1" applyFill="1"/>
    <xf numFmtId="0" fontId="19" fillId="6" borderId="0" xfId="2" applyFont="1" applyFill="1"/>
    <xf numFmtId="0" fontId="19" fillId="6" borderId="6" xfId="2" applyFont="1" applyFill="1" applyBorder="1"/>
    <xf numFmtId="0" fontId="128" fillId="6" borderId="9" xfId="2" applyFont="1" applyFill="1" applyBorder="1" applyAlignment="1">
      <alignment horizontal="center" vertical="center" wrapText="1"/>
    </xf>
    <xf numFmtId="0" fontId="19" fillId="6" borderId="10" xfId="2" applyFont="1" applyFill="1" applyBorder="1" applyAlignment="1">
      <alignment horizontal="center"/>
    </xf>
    <xf numFmtId="0" fontId="128" fillId="6" borderId="6" xfId="2" applyFont="1" applyFill="1" applyBorder="1" applyAlignment="1">
      <alignment horizontal="center" vertical="center" wrapText="1"/>
    </xf>
    <xf numFmtId="0" fontId="19" fillId="6" borderId="9" xfId="2" applyNumberFormat="1" applyFont="1" applyFill="1" applyBorder="1" applyAlignment="1">
      <alignment horizontal="center"/>
    </xf>
    <xf numFmtId="0" fontId="19" fillId="0" borderId="0" xfId="2" applyFont="1"/>
    <xf numFmtId="0" fontId="19" fillId="6" borderId="23" xfId="2" applyFont="1" applyFill="1" applyBorder="1"/>
    <xf numFmtId="0" fontId="128" fillId="6" borderId="1" xfId="2" applyFont="1" applyFill="1" applyBorder="1" applyAlignment="1">
      <alignment horizontal="center" vertical="center" wrapText="1"/>
    </xf>
    <xf numFmtId="0" fontId="19" fillId="6" borderId="24" xfId="2" applyFont="1" applyFill="1" applyBorder="1" applyAlignment="1">
      <alignment horizontal="center"/>
    </xf>
    <xf numFmtId="0" fontId="128" fillId="6" borderId="23" xfId="2" applyFont="1" applyFill="1" applyBorder="1" applyAlignment="1">
      <alignment horizontal="center" vertical="center" wrapText="1"/>
    </xf>
    <xf numFmtId="0" fontId="19" fillId="6" borderId="1" xfId="2" applyNumberFormat="1" applyFont="1" applyFill="1" applyBorder="1" applyAlignment="1">
      <alignment horizontal="center"/>
    </xf>
    <xf numFmtId="0" fontId="19" fillId="6" borderId="25" xfId="2" applyFont="1" applyFill="1" applyBorder="1"/>
    <xf numFmtId="0" fontId="128" fillId="6" borderId="32" xfId="2" applyFont="1" applyFill="1" applyBorder="1" applyAlignment="1">
      <alignment horizontal="center" vertical="center" wrapText="1"/>
    </xf>
    <xf numFmtId="0" fontId="19" fillId="6" borderId="49" xfId="2" applyFont="1" applyFill="1" applyBorder="1" applyAlignment="1">
      <alignment horizontal="center"/>
    </xf>
    <xf numFmtId="0" fontId="128" fillId="6" borderId="25" xfId="2" applyFont="1" applyFill="1" applyBorder="1" applyAlignment="1">
      <alignment horizontal="center" vertical="center" wrapText="1"/>
    </xf>
    <xf numFmtId="0" fontId="19" fillId="6" borderId="32" xfId="2" applyNumberFormat="1" applyFont="1" applyFill="1" applyBorder="1" applyAlignment="1">
      <alignment horizontal="center"/>
    </xf>
    <xf numFmtId="0" fontId="19" fillId="6" borderId="0" xfId="2" applyNumberFormat="1" applyFont="1" applyFill="1" applyAlignment="1">
      <alignment horizontal="center"/>
    </xf>
    <xf numFmtId="0" fontId="19" fillId="6" borderId="0" xfId="2" applyFont="1" applyFill="1" applyAlignment="1">
      <alignment horizontal="right"/>
    </xf>
    <xf numFmtId="14" fontId="19" fillId="6" borderId="0" xfId="2" applyNumberFormat="1" applyFont="1" applyFill="1" applyAlignment="1">
      <alignment horizontal="center"/>
    </xf>
    <xf numFmtId="0" fontId="158" fillId="6" borderId="0" xfId="2" applyNumberFormat="1" applyFont="1" applyFill="1" applyAlignment="1">
      <alignment horizontal="center"/>
    </xf>
    <xf numFmtId="0" fontId="159" fillId="6" borderId="0" xfId="2" applyFont="1" applyFill="1" applyAlignment="1">
      <alignment horizontal="left"/>
    </xf>
    <xf numFmtId="14" fontId="158" fillId="6" borderId="0" xfId="2" applyNumberFormat="1" applyFont="1" applyFill="1" applyAlignment="1">
      <alignment horizontal="center"/>
    </xf>
    <xf numFmtId="0" fontId="158" fillId="6" borderId="0" xfId="2" applyFont="1" applyFill="1"/>
    <xf numFmtId="0" fontId="158" fillId="0" borderId="0" xfId="2" applyFont="1"/>
    <xf numFmtId="0" fontId="158" fillId="0" borderId="0" xfId="0" applyFont="1" applyAlignment="1"/>
    <xf numFmtId="0" fontId="160" fillId="6" borderId="0" xfId="2" applyFont="1" applyFill="1"/>
    <xf numFmtId="0" fontId="161" fillId="6" borderId="0" xfId="2" applyFont="1" applyFill="1"/>
    <xf numFmtId="0" fontId="160" fillId="0" borderId="0" xfId="2" applyFont="1"/>
    <xf numFmtId="0" fontId="128" fillId="6" borderId="0" xfId="2" applyFont="1" applyFill="1" applyAlignment="1"/>
    <xf numFmtId="0" fontId="142" fillId="6" borderId="13" xfId="2" applyFont="1" applyFill="1" applyBorder="1" applyAlignment="1">
      <alignment horizontal="center" vertical="center"/>
    </xf>
    <xf numFmtId="0" fontId="142" fillId="6" borderId="13" xfId="2" applyFont="1" applyFill="1" applyBorder="1" applyAlignment="1">
      <alignment vertical="center"/>
    </xf>
    <xf numFmtId="0" fontId="142" fillId="6" borderId="5" xfId="2" applyFont="1" applyFill="1" applyBorder="1" applyAlignment="1">
      <alignment vertical="center"/>
    </xf>
    <xf numFmtId="0" fontId="142" fillId="6" borderId="3" xfId="2" applyFont="1" applyFill="1" applyBorder="1" applyAlignment="1">
      <alignment vertical="center"/>
    </xf>
    <xf numFmtId="0" fontId="142" fillId="6" borderId="54" xfId="2" applyFont="1" applyFill="1" applyBorder="1" applyAlignment="1">
      <alignment vertical="center"/>
    </xf>
    <xf numFmtId="0" fontId="128" fillId="0" borderId="0" xfId="2" applyFont="1" applyAlignment="1"/>
    <xf numFmtId="0" fontId="128" fillId="6" borderId="0" xfId="2" applyFont="1" applyFill="1"/>
    <xf numFmtId="0" fontId="142" fillId="6" borderId="2" xfId="2" applyFont="1" applyFill="1" applyBorder="1" applyAlignment="1">
      <alignment horizontal="center" vertical="center" wrapText="1"/>
    </xf>
    <xf numFmtId="0" fontId="142" fillId="6" borderId="2" xfId="2" applyFont="1" applyFill="1" applyBorder="1" applyAlignment="1">
      <alignment vertical="center" wrapText="1"/>
    </xf>
    <xf numFmtId="0" fontId="19" fillId="6" borderId="1" xfId="2" applyFont="1" applyFill="1" applyBorder="1"/>
    <xf numFmtId="0" fontId="142" fillId="6" borderId="1" xfId="2" applyFont="1" applyFill="1" applyBorder="1" applyAlignment="1">
      <alignment horizontal="center" vertical="center" wrapText="1"/>
    </xf>
    <xf numFmtId="0" fontId="128" fillId="0" borderId="0" xfId="2" applyFont="1"/>
    <xf numFmtId="0" fontId="163" fillId="6" borderId="0" xfId="2" applyFont="1" applyFill="1" applyAlignment="1">
      <alignment vertical="center"/>
    </xf>
    <xf numFmtId="0" fontId="163" fillId="6" borderId="1" xfId="2" applyFont="1" applyFill="1" applyBorder="1" applyAlignment="1">
      <alignment horizontal="left" vertical="center" wrapText="1"/>
    </xf>
    <xf numFmtId="196" fontId="163" fillId="6" borderId="1" xfId="2" applyNumberFormat="1" applyFont="1" applyFill="1" applyBorder="1" applyAlignment="1">
      <alignment horizontal="center" vertical="center" wrapText="1"/>
    </xf>
    <xf numFmtId="0" fontId="163" fillId="6" borderId="1" xfId="2" applyFont="1" applyFill="1" applyBorder="1" applyAlignment="1">
      <alignment horizontal="center" vertical="center" wrapText="1"/>
    </xf>
    <xf numFmtId="14" fontId="163" fillId="6" borderId="1" xfId="2" applyNumberFormat="1" applyFont="1" applyFill="1" applyBorder="1" applyAlignment="1">
      <alignment horizontal="center" vertical="center" wrapText="1"/>
    </xf>
    <xf numFmtId="0" fontId="163" fillId="5" borderId="0" xfId="2" applyFont="1" applyFill="1" applyAlignment="1">
      <alignment vertical="center"/>
    </xf>
    <xf numFmtId="0" fontId="164" fillId="0" borderId="0" xfId="0" applyFont="1" applyAlignment="1"/>
    <xf numFmtId="0" fontId="19" fillId="6" borderId="1" xfId="2" applyFont="1" applyFill="1" applyBorder="1" applyAlignment="1">
      <alignment horizontal="center" wrapText="1"/>
    </xf>
    <xf numFmtId="14" fontId="19" fillId="6" borderId="1" xfId="2" applyNumberFormat="1" applyFont="1" applyFill="1" applyBorder="1" applyAlignment="1">
      <alignment horizontal="center" wrapText="1"/>
    </xf>
    <xf numFmtId="179" fontId="165" fillId="6" borderId="1" xfId="2" applyNumberFormat="1" applyFont="1" applyFill="1" applyBorder="1" applyAlignment="1">
      <alignment horizontal="center"/>
    </xf>
    <xf numFmtId="14" fontId="135" fillId="6" borderId="1" xfId="2" applyNumberFormat="1" applyFont="1" applyFill="1" applyBorder="1" applyAlignment="1">
      <alignment horizontal="center" wrapText="1"/>
    </xf>
    <xf numFmtId="0" fontId="19" fillId="6" borderId="0" xfId="2" applyFont="1" applyFill="1" applyBorder="1" applyAlignment="1">
      <alignment horizontal="center" wrapText="1"/>
    </xf>
    <xf numFmtId="14" fontId="19" fillId="6" borderId="0" xfId="2" applyNumberFormat="1" applyFont="1" applyFill="1" applyBorder="1" applyAlignment="1">
      <alignment horizontal="center" wrapText="1"/>
    </xf>
    <xf numFmtId="0" fontId="144" fillId="6" borderId="87" xfId="2" applyFont="1" applyFill="1" applyBorder="1"/>
    <xf numFmtId="14" fontId="144" fillId="6" borderId="78" xfId="2" applyNumberFormat="1" applyFont="1" applyFill="1" applyBorder="1" applyAlignment="1" applyProtection="1">
      <alignment horizontal="center"/>
    </xf>
    <xf numFmtId="0" fontId="144" fillId="6" borderId="78" xfId="2" applyFont="1" applyFill="1" applyBorder="1" applyAlignment="1" applyProtection="1">
      <alignment horizontal="center"/>
    </xf>
    <xf numFmtId="10" fontId="144" fillId="6" borderId="78" xfId="2" applyNumberFormat="1" applyFont="1" applyFill="1" applyBorder="1" applyAlignment="1">
      <alignment horizontal="center"/>
    </xf>
    <xf numFmtId="0" fontId="144" fillId="0" borderId="87" xfId="2" applyFont="1" applyBorder="1"/>
    <xf numFmtId="0" fontId="112" fillId="0" borderId="87" xfId="0" applyFont="1" applyBorder="1" applyAlignment="1"/>
    <xf numFmtId="0" fontId="112" fillId="0" borderId="0" xfId="0" applyFont="1" applyAlignment="1"/>
    <xf numFmtId="0" fontId="142" fillId="6" borderId="78" xfId="2" applyFont="1" applyFill="1" applyBorder="1" applyAlignment="1">
      <alignment horizontal="center"/>
    </xf>
    <xf numFmtId="177" fontId="142" fillId="6" borderId="87" xfId="2" applyNumberFormat="1" applyFont="1" applyFill="1" applyBorder="1" applyAlignment="1">
      <alignment horizontal="center"/>
    </xf>
    <xf numFmtId="0" fontId="124" fillId="0" borderId="1" xfId="5" applyFont="1" applyFill="1" applyBorder="1" applyAlignment="1">
      <alignment horizontal="left" vertical="center"/>
    </xf>
    <xf numFmtId="0" fontId="103" fillId="0" borderId="1" xfId="0" applyNumberFormat="1" applyFont="1" applyFill="1" applyBorder="1" applyAlignment="1" applyProtection="1">
      <alignment horizontal="center" vertical="center" wrapText="1"/>
      <protection locked="0"/>
    </xf>
    <xf numFmtId="0" fontId="103" fillId="0" borderId="1" xfId="0" applyNumberFormat="1" applyFont="1" applyFill="1" applyBorder="1" applyAlignment="1" applyProtection="1">
      <alignment horizontal="left" vertical="center" wrapText="1"/>
      <protection locked="0"/>
    </xf>
    <xf numFmtId="0" fontId="103" fillId="0" borderId="5" xfId="0" applyNumberFormat="1" applyFont="1" applyFill="1" applyBorder="1" applyAlignment="1" applyProtection="1">
      <alignment horizontal="center" vertical="center" wrapText="1"/>
      <protection locked="0"/>
    </xf>
    <xf numFmtId="0" fontId="103" fillId="0" borderId="48" xfId="0" applyNumberFormat="1" applyFont="1" applyFill="1" applyBorder="1" applyAlignment="1" applyProtection="1">
      <alignment horizontal="center" vertical="center" wrapText="1"/>
      <protection locked="0"/>
    </xf>
    <xf numFmtId="0" fontId="103" fillId="0" borderId="13" xfId="0" applyNumberFormat="1" applyFont="1" applyFill="1" applyBorder="1" applyAlignment="1" applyProtection="1">
      <alignment horizontal="center" vertical="center" wrapText="1"/>
      <protection locked="0"/>
    </xf>
    <xf numFmtId="0" fontId="103" fillId="0" borderId="46" xfId="0" applyNumberFormat="1" applyFont="1" applyFill="1" applyBorder="1" applyAlignment="1" applyProtection="1">
      <alignment horizontal="center" vertical="center" wrapText="1"/>
      <protection locked="0"/>
    </xf>
    <xf numFmtId="0" fontId="103" fillId="0" borderId="59" xfId="0" applyNumberFormat="1" applyFont="1" applyFill="1" applyBorder="1" applyAlignment="1" applyProtection="1">
      <alignment horizontal="center" vertical="center" wrapText="1"/>
      <protection locked="0"/>
    </xf>
    <xf numFmtId="0" fontId="103" fillId="0" borderId="110" xfId="0" applyNumberFormat="1" applyFont="1" applyFill="1" applyBorder="1" applyAlignment="1" applyProtection="1">
      <alignment horizontal="center" vertical="center" wrapText="1"/>
      <protection locked="0"/>
    </xf>
    <xf numFmtId="0" fontId="103" fillId="0" borderId="110" xfId="0" applyNumberFormat="1" applyFont="1" applyFill="1" applyBorder="1" applyAlignment="1" applyProtection="1">
      <alignment horizontal="left" vertical="center" wrapText="1"/>
      <protection locked="0"/>
    </xf>
    <xf numFmtId="0" fontId="103" fillId="0" borderId="111" xfId="0" applyNumberFormat="1" applyFont="1" applyFill="1" applyBorder="1" applyAlignment="1" applyProtection="1">
      <alignment horizontal="center" vertical="center" wrapText="1"/>
      <protection locked="0"/>
    </xf>
    <xf numFmtId="0" fontId="103" fillId="0" borderId="112" xfId="0" applyNumberFormat="1" applyFont="1" applyFill="1" applyBorder="1" applyAlignment="1" applyProtection="1">
      <alignment horizontal="center" vertical="center" wrapText="1"/>
      <protection locked="0"/>
    </xf>
    <xf numFmtId="0" fontId="103" fillId="6" borderId="98" xfId="0" applyNumberFormat="1" applyFont="1" applyFill="1" applyBorder="1" applyAlignment="1" applyProtection="1">
      <alignment horizontal="center" vertical="center" wrapText="1"/>
    </xf>
    <xf numFmtId="0" fontId="103" fillId="0" borderId="2" xfId="0" applyNumberFormat="1" applyFont="1" applyFill="1" applyBorder="1" applyAlignment="1" applyProtection="1">
      <alignment horizontal="center" vertical="center" wrapText="1"/>
      <protection locked="0"/>
    </xf>
    <xf numFmtId="0" fontId="103" fillId="0" borderId="4" xfId="0" applyNumberFormat="1" applyFont="1" applyFill="1" applyBorder="1" applyAlignment="1" applyProtection="1">
      <alignment horizontal="center" vertical="center" wrapText="1"/>
      <protection locked="0"/>
    </xf>
    <xf numFmtId="0" fontId="103" fillId="0" borderId="58" xfId="0" applyFont="1" applyFill="1" applyBorder="1" applyAlignment="1" applyProtection="1">
      <alignment horizontal="center" vertical="center"/>
      <protection locked="0"/>
    </xf>
    <xf numFmtId="0" fontId="103" fillId="0" borderId="15" xfId="0" applyNumberFormat="1" applyFont="1" applyFill="1" applyBorder="1" applyAlignment="1" applyProtection="1">
      <alignment horizontal="center" vertical="center" wrapText="1"/>
      <protection locked="0"/>
    </xf>
    <xf numFmtId="0" fontId="103" fillId="0" borderId="15" xfId="0" applyFont="1" applyFill="1" applyBorder="1" applyAlignment="1" applyProtection="1">
      <alignment horizontal="center" vertical="center" wrapText="1"/>
      <protection locked="0"/>
    </xf>
    <xf numFmtId="9" fontId="103" fillId="0" borderId="15" xfId="0" applyNumberFormat="1" applyFont="1" applyFill="1" applyBorder="1" applyAlignment="1" applyProtection="1">
      <alignment horizontal="center" vertical="center" wrapText="1"/>
      <protection locked="0"/>
    </xf>
    <xf numFmtId="0" fontId="103" fillId="0" borderId="15" xfId="0" applyFont="1" applyFill="1" applyBorder="1" applyAlignment="1" applyProtection="1">
      <alignment horizontal="center" vertical="center"/>
      <protection locked="0"/>
    </xf>
    <xf numFmtId="0" fontId="103" fillId="0" borderId="56" xfId="0" applyFont="1" applyFill="1" applyBorder="1" applyAlignment="1" applyProtection="1">
      <alignment horizontal="center" vertical="center"/>
      <protection locked="0"/>
    </xf>
    <xf numFmtId="0" fontId="103" fillId="0" borderId="2" xfId="0" applyNumberFormat="1" applyFont="1" applyFill="1" applyBorder="1" applyAlignment="1" applyProtection="1">
      <alignment horizontal="left" vertical="center" wrapText="1"/>
      <protection locked="0"/>
    </xf>
    <xf numFmtId="0" fontId="103" fillId="6" borderId="13" xfId="0" applyNumberFormat="1" applyFont="1" applyFill="1" applyBorder="1" applyAlignment="1" applyProtection="1">
      <alignment horizontal="center" vertical="center" wrapText="1"/>
    </xf>
    <xf numFmtId="0" fontId="56" fillId="6" borderId="1" xfId="0" applyNumberFormat="1" applyFont="1" applyFill="1" applyBorder="1" applyAlignment="1" applyProtection="1">
      <alignment horizontal="right" vertical="center"/>
    </xf>
    <xf numFmtId="0" fontId="60" fillId="6" borderId="10" xfId="0" applyFont="1" applyFill="1" applyBorder="1" applyAlignment="1" applyProtection="1">
      <alignment horizontal="center" vertical="center" wrapText="1"/>
    </xf>
    <xf numFmtId="0" fontId="60" fillId="6" borderId="49" xfId="0" applyFont="1" applyFill="1" applyBorder="1" applyAlignment="1" applyProtection="1">
      <alignment horizontal="center" vertical="center" wrapText="1"/>
    </xf>
    <xf numFmtId="0" fontId="49" fillId="0" borderId="24" xfId="0" applyFont="1" applyBorder="1" applyProtection="1">
      <alignment vertical="center"/>
      <protection locked="0"/>
    </xf>
    <xf numFmtId="0" fontId="166" fillId="0" borderId="0" xfId="0" applyFont="1">
      <alignment vertical="center"/>
    </xf>
    <xf numFmtId="0" fontId="168" fillId="0" borderId="1" xfId="12" applyFont="1" applyBorder="1" applyAlignment="1" applyProtection="1">
      <alignment horizontal="left" vertical="center" wrapText="1"/>
      <protection locked="0"/>
    </xf>
    <xf numFmtId="0" fontId="172" fillId="6" borderId="1" xfId="0" applyFont="1" applyFill="1" applyBorder="1" applyAlignment="1">
      <alignment horizontal="left" vertical="center" wrapText="1"/>
    </xf>
    <xf numFmtId="9" fontId="174" fillId="0" borderId="1" xfId="0" applyNumberFormat="1" applyFont="1" applyFill="1" applyBorder="1" applyAlignment="1">
      <alignment horizontal="center" vertical="center"/>
    </xf>
    <xf numFmtId="0" fontId="102" fillId="6" borderId="9" xfId="0" applyNumberFormat="1" applyFont="1" applyFill="1" applyBorder="1" applyAlignment="1" applyProtection="1">
      <alignment horizontal="center" vertical="center" wrapText="1"/>
    </xf>
    <xf numFmtId="0" fontId="102" fillId="6" borderId="10" xfId="0" applyNumberFormat="1" applyFont="1" applyFill="1" applyBorder="1" applyAlignment="1" applyProtection="1">
      <alignment horizontal="center" vertical="center" wrapText="1"/>
    </xf>
    <xf numFmtId="10" fontId="55" fillId="6" borderId="17" xfId="0" applyNumberFormat="1" applyFont="1" applyFill="1" applyBorder="1" applyAlignment="1" applyProtection="1">
      <alignment horizontal="center" vertical="center" wrapText="1"/>
    </xf>
    <xf numFmtId="0" fontId="177" fillId="0" borderId="108" xfId="0" applyNumberFormat="1" applyFont="1" applyFill="1" applyBorder="1" applyAlignment="1" applyProtection="1">
      <alignment horizontal="center" vertical="center" wrapText="1"/>
      <protection locked="0"/>
    </xf>
    <xf numFmtId="0" fontId="177" fillId="0" borderId="18" xfId="0" applyNumberFormat="1" applyFont="1" applyFill="1" applyBorder="1" applyAlignment="1" applyProtection="1">
      <alignment horizontal="center" vertical="center" wrapText="1"/>
      <protection locked="0"/>
    </xf>
    <xf numFmtId="177" fontId="118" fillId="0" borderId="1" xfId="8" applyNumberFormat="1" applyFont="1" applyFill="1" applyBorder="1" applyAlignment="1" applyProtection="1">
      <alignment horizontal="center" vertical="center"/>
      <protection locked="0"/>
    </xf>
    <xf numFmtId="0" fontId="118" fillId="6" borderId="24" xfId="0" applyFont="1" applyFill="1" applyBorder="1" applyAlignment="1" applyProtection="1">
      <alignment horizontal="left" vertical="center"/>
    </xf>
    <xf numFmtId="0" fontId="181" fillId="0" borderId="1" xfId="0" applyFont="1" applyBorder="1" applyAlignment="1">
      <alignment horizontal="right" vertical="center"/>
    </xf>
    <xf numFmtId="0" fontId="181" fillId="0" borderId="1" xfId="0" applyFont="1" applyBorder="1" applyAlignment="1">
      <alignment horizontal="left" vertical="center" wrapText="1"/>
    </xf>
    <xf numFmtId="0" fontId="181" fillId="0" borderId="1" xfId="0" applyFont="1" applyBorder="1" applyAlignment="1">
      <alignment vertical="center"/>
    </xf>
    <xf numFmtId="0" fontId="181" fillId="0" borderId="1" xfId="0" applyFont="1" applyBorder="1" applyAlignment="1">
      <alignment horizontal="center" vertical="center"/>
    </xf>
    <xf numFmtId="0" fontId="181" fillId="0" borderId="1" xfId="0" applyFont="1" applyBorder="1" applyAlignment="1">
      <alignment vertical="center" wrapText="1"/>
    </xf>
    <xf numFmtId="0" fontId="181" fillId="0" borderId="5" xfId="0" applyFont="1" applyBorder="1" applyAlignment="1">
      <alignment vertical="center"/>
    </xf>
    <xf numFmtId="0" fontId="181" fillId="0" borderId="54" xfId="0" applyFont="1" applyBorder="1" applyAlignment="1">
      <alignment vertical="center"/>
    </xf>
    <xf numFmtId="0" fontId="181" fillId="0" borderId="3" xfId="0" applyFont="1" applyBorder="1" applyAlignment="1">
      <alignment vertical="center"/>
    </xf>
    <xf numFmtId="0" fontId="178" fillId="0" borderId="0" xfId="0" applyFont="1" applyAlignment="1">
      <alignment vertical="center"/>
    </xf>
    <xf numFmtId="0" fontId="179" fillId="0" borderId="0" xfId="0" applyFont="1" applyAlignment="1">
      <alignment vertical="center"/>
    </xf>
    <xf numFmtId="0" fontId="180" fillId="0" borderId="0" xfId="0" applyFont="1" applyAlignment="1">
      <alignment vertical="center"/>
    </xf>
    <xf numFmtId="0" fontId="172" fillId="0" borderId="1" xfId="0" applyFont="1" applyBorder="1" applyAlignment="1">
      <alignment horizontal="right" vertical="center" wrapText="1"/>
    </xf>
    <xf numFmtId="0" fontId="103" fillId="0" borderId="1" xfId="0" applyFont="1" applyBorder="1" applyAlignment="1">
      <alignment horizontal="right" vertical="center"/>
    </xf>
    <xf numFmtId="0" fontId="182" fillId="6" borderId="32" xfId="0" applyFont="1" applyFill="1" applyBorder="1" applyAlignment="1" applyProtection="1">
      <alignment horizontal="center" vertical="center"/>
    </xf>
    <xf numFmtId="0" fontId="49" fillId="6" borderId="19" xfId="0" applyFont="1" applyFill="1" applyBorder="1" applyAlignment="1" applyProtection="1">
      <alignment horizontal="center" vertical="center"/>
      <protection locked="0"/>
    </xf>
    <xf numFmtId="0" fontId="49" fillId="5" borderId="66" xfId="0" applyFont="1" applyFill="1" applyBorder="1" applyAlignment="1" applyProtection="1">
      <alignment horizontal="center" vertical="center"/>
      <protection locked="0"/>
    </xf>
    <xf numFmtId="0" fontId="49" fillId="6" borderId="54" xfId="0" applyFont="1" applyFill="1" applyBorder="1" applyAlignment="1" applyProtection="1">
      <alignment horizontal="left" vertical="center" wrapText="1"/>
    </xf>
    <xf numFmtId="0" fontId="46" fillId="6" borderId="1" xfId="0" applyFont="1" applyFill="1" applyBorder="1" applyAlignment="1" applyProtection="1">
      <alignment horizontal="center" vertical="center" wrapText="1"/>
    </xf>
    <xf numFmtId="0" fontId="49" fillId="6" borderId="1" xfId="0" applyFont="1" applyFill="1" applyBorder="1" applyAlignment="1" applyProtection="1">
      <alignment horizontal="left" vertical="center" wrapText="1"/>
    </xf>
    <xf numFmtId="0" fontId="49" fillId="6" borderId="5" xfId="0" applyFont="1" applyFill="1" applyBorder="1" applyAlignment="1" applyProtection="1">
      <alignment horizontal="left" vertical="center" wrapText="1"/>
    </xf>
    <xf numFmtId="0" fontId="49" fillId="6" borderId="5" xfId="0" applyFont="1" applyFill="1" applyBorder="1" applyAlignment="1" applyProtection="1">
      <alignment horizontal="center" vertical="center" wrapText="1"/>
    </xf>
    <xf numFmtId="0" fontId="49" fillId="6" borderId="54" xfId="0" applyFont="1" applyFill="1" applyBorder="1" applyAlignment="1" applyProtection="1">
      <alignment horizontal="center" vertical="center" wrapText="1"/>
    </xf>
    <xf numFmtId="0" fontId="46" fillId="0" borderId="1" xfId="0" applyFont="1" applyBorder="1" applyAlignment="1" applyProtection="1">
      <alignment horizontal="center" vertical="center"/>
      <protection locked="0"/>
    </xf>
    <xf numFmtId="0" fontId="49" fillId="6" borderId="3" xfId="0" applyFont="1" applyFill="1" applyBorder="1" applyAlignment="1" applyProtection="1">
      <alignment horizontal="center" vertical="center" wrapText="1"/>
    </xf>
    <xf numFmtId="0" fontId="103" fillId="6" borderId="2" xfId="0" applyFont="1" applyFill="1" applyBorder="1" applyAlignment="1" applyProtection="1">
      <alignment horizontal="center" vertical="center" wrapText="1"/>
    </xf>
    <xf numFmtId="0" fontId="103" fillId="6" borderId="1" xfId="0" applyFont="1" applyFill="1" applyBorder="1" applyAlignment="1" applyProtection="1">
      <alignment horizontal="center" vertical="center" wrapText="1"/>
    </xf>
    <xf numFmtId="0" fontId="53" fillId="6" borderId="1" xfId="0" applyFont="1" applyFill="1" applyBorder="1" applyAlignment="1" applyProtection="1">
      <alignment horizontal="center" vertical="center" wrapText="1"/>
    </xf>
    <xf numFmtId="0" fontId="53" fillId="6" borderId="1" xfId="0" applyNumberFormat="1" applyFont="1" applyFill="1" applyBorder="1" applyAlignment="1" applyProtection="1">
      <alignment horizontal="center" vertical="center"/>
    </xf>
    <xf numFmtId="0" fontId="53" fillId="6" borderId="5" xfId="0" applyFont="1" applyFill="1" applyBorder="1" applyAlignment="1" applyProtection="1">
      <alignment horizontal="center" vertical="center" wrapText="1"/>
    </xf>
    <xf numFmtId="0" fontId="53" fillId="6" borderId="15" xfId="0" applyFont="1" applyFill="1" applyBorder="1" applyAlignment="1" applyProtection="1">
      <alignment horizontal="center" vertical="center"/>
    </xf>
    <xf numFmtId="0" fontId="53" fillId="6" borderId="1" xfId="0" applyFont="1" applyFill="1" applyBorder="1" applyAlignment="1" applyProtection="1">
      <alignment horizontal="center" vertical="center"/>
    </xf>
    <xf numFmtId="0" fontId="46" fillId="6" borderId="3" xfId="0" applyFont="1" applyFill="1" applyBorder="1" applyAlignment="1" applyProtection="1">
      <alignment horizontal="center" vertical="center"/>
    </xf>
    <xf numFmtId="0" fontId="55" fillId="6" borderId="3" xfId="8" applyFont="1" applyFill="1" applyBorder="1" applyAlignment="1" applyProtection="1">
      <alignment horizontal="center" vertical="center" wrapText="1"/>
      <protection locked="0"/>
    </xf>
    <xf numFmtId="0" fontId="49" fillId="6" borderId="5" xfId="0" applyFont="1" applyFill="1" applyBorder="1" applyAlignment="1" applyProtection="1">
      <alignment horizontal="center" vertical="center"/>
    </xf>
    <xf numFmtId="0" fontId="49" fillId="6" borderId="54" xfId="0" applyFont="1" applyFill="1" applyBorder="1" applyAlignment="1" applyProtection="1">
      <alignment horizontal="center" vertical="center"/>
    </xf>
    <xf numFmtId="0" fontId="49" fillId="6" borderId="3" xfId="0" applyFont="1" applyFill="1" applyBorder="1" applyAlignment="1" applyProtection="1">
      <alignment horizontal="center" vertical="center"/>
    </xf>
    <xf numFmtId="0" fontId="60" fillId="5" borderId="0" xfId="0" applyFont="1" applyFill="1" applyAlignment="1" applyProtection="1">
      <alignment horizontal="right" vertical="center"/>
      <protection locked="0"/>
    </xf>
    <xf numFmtId="49" fontId="60" fillId="6" borderId="0" xfId="0" applyNumberFormat="1" applyFont="1" applyFill="1" applyBorder="1" applyAlignment="1" applyProtection="1">
      <alignment horizontal="center"/>
    </xf>
    <xf numFmtId="0" fontId="55" fillId="6" borderId="13" xfId="0" applyFont="1" applyFill="1" applyBorder="1" applyAlignment="1" applyProtection="1">
      <alignment vertical="center"/>
    </xf>
    <xf numFmtId="0" fontId="49" fillId="6" borderId="22" xfId="0" applyFont="1" applyFill="1" applyBorder="1" applyAlignment="1" applyProtection="1">
      <alignment vertical="center" wrapText="1"/>
    </xf>
    <xf numFmtId="0" fontId="49" fillId="6" borderId="22" xfId="0" applyFont="1" applyFill="1" applyBorder="1" applyAlignment="1" applyProtection="1">
      <alignment vertical="center"/>
    </xf>
    <xf numFmtId="0" fontId="184" fillId="6" borderId="1" xfId="0" applyFont="1" applyFill="1" applyBorder="1" applyAlignment="1" applyProtection="1">
      <alignment horizontal="right" vertical="center" wrapText="1"/>
    </xf>
    <xf numFmtId="0" fontId="118" fillId="6" borderId="15" xfId="0" applyFont="1" applyFill="1" applyBorder="1" applyAlignment="1" applyProtection="1">
      <alignment vertical="center"/>
    </xf>
    <xf numFmtId="0" fontId="49" fillId="6" borderId="118" xfId="0" applyFont="1" applyFill="1" applyBorder="1" applyAlignment="1" applyProtection="1">
      <alignment vertical="center" wrapText="1"/>
    </xf>
    <xf numFmtId="0" fontId="49" fillId="2" borderId="1" xfId="0" applyFont="1" applyFill="1" applyBorder="1" applyAlignment="1" applyProtection="1">
      <alignment horizontal="left" vertical="center" wrapText="1"/>
      <protection locked="0"/>
    </xf>
    <xf numFmtId="0" fontId="54" fillId="6" borderId="46" xfId="0" applyFont="1" applyFill="1" applyBorder="1" applyAlignment="1" applyProtection="1">
      <alignment vertical="center" wrapText="1"/>
      <protection locked="0"/>
    </xf>
    <xf numFmtId="0" fontId="49" fillId="6" borderId="1" xfId="0" applyFont="1" applyFill="1" applyBorder="1" applyAlignment="1" applyProtection="1">
      <protection locked="0"/>
    </xf>
    <xf numFmtId="0" fontId="49" fillId="6" borderId="3" xfId="0" applyFont="1" applyFill="1" applyBorder="1" applyAlignment="1" applyProtection="1">
      <alignment vertical="center" wrapText="1"/>
    </xf>
    <xf numFmtId="0" fontId="49" fillId="6" borderId="36" xfId="0" applyFont="1" applyFill="1" applyBorder="1" applyAlignment="1" applyProtection="1">
      <alignment horizontal="left" vertical="center"/>
    </xf>
    <xf numFmtId="49" fontId="66" fillId="6" borderId="60" xfId="0" applyNumberFormat="1" applyFont="1" applyFill="1" applyBorder="1" applyAlignment="1" applyProtection="1"/>
    <xf numFmtId="0" fontId="79" fillId="6" borderId="13" xfId="0" applyFont="1" applyFill="1" applyBorder="1" applyAlignment="1" applyProtection="1">
      <alignment vertical="center"/>
    </xf>
    <xf numFmtId="0" fontId="79" fillId="6" borderId="22" xfId="0" applyFont="1" applyFill="1" applyBorder="1" applyAlignment="1" applyProtection="1">
      <alignment vertical="center"/>
    </xf>
    <xf numFmtId="177" fontId="59" fillId="6" borderId="60" xfId="0" applyNumberFormat="1" applyFont="1" applyFill="1" applyBorder="1" applyAlignment="1" applyProtection="1"/>
    <xf numFmtId="49" fontId="59" fillId="2" borderId="27" xfId="0" applyNumberFormat="1" applyFont="1" applyFill="1" applyBorder="1" applyAlignment="1" applyProtection="1">
      <alignment horizontal="right"/>
      <protection locked="0"/>
    </xf>
    <xf numFmtId="0" fontId="55" fillId="6" borderId="0" xfId="0" applyFont="1" applyFill="1" applyAlignment="1" applyProtection="1">
      <alignment horizontal="center" vertical="center"/>
    </xf>
    <xf numFmtId="0" fontId="55" fillId="6" borderId="0" xfId="0" applyFont="1" applyFill="1" applyAlignment="1" applyProtection="1">
      <alignment vertical="center"/>
    </xf>
    <xf numFmtId="49" fontId="56" fillId="6" borderId="0" xfId="0" applyNumberFormat="1" applyFont="1" applyFill="1" applyBorder="1" applyAlignment="1" applyProtection="1">
      <alignment horizontal="center"/>
    </xf>
    <xf numFmtId="49" fontId="56" fillId="6" borderId="0" xfId="0" applyNumberFormat="1" applyFont="1" applyFill="1" applyBorder="1" applyAlignment="1" applyProtection="1">
      <alignment horizontal="left"/>
    </xf>
    <xf numFmtId="0" fontId="55" fillId="7" borderId="0" xfId="0" applyFont="1" applyFill="1" applyAlignment="1" applyProtection="1">
      <alignment vertical="center"/>
      <protection locked="0"/>
    </xf>
    <xf numFmtId="0" fontId="56" fillId="6" borderId="1" xfId="1" applyFont="1" applyFill="1" applyBorder="1" applyAlignment="1" applyProtection="1">
      <alignment vertical="center"/>
    </xf>
    <xf numFmtId="0" fontId="54" fillId="6" borderId="1" xfId="0" applyFont="1" applyFill="1" applyBorder="1" applyAlignment="1" applyProtection="1">
      <alignment horizontal="right" vertical="center"/>
    </xf>
    <xf numFmtId="0" fontId="55" fillId="6" borderId="0" xfId="0" applyFont="1" applyFill="1" applyBorder="1" applyAlignment="1" applyProtection="1">
      <alignment vertical="center"/>
    </xf>
    <xf numFmtId="49" fontId="55" fillId="6" borderId="0" xfId="0" applyNumberFormat="1" applyFont="1" applyFill="1" applyBorder="1" applyAlignment="1" applyProtection="1"/>
    <xf numFmtId="49" fontId="56" fillId="6" borderId="0" xfId="0" applyNumberFormat="1" applyFont="1" applyFill="1" applyBorder="1" applyAlignment="1" applyProtection="1"/>
    <xf numFmtId="0" fontId="56" fillId="6" borderId="32" xfId="1" applyFont="1" applyFill="1" applyBorder="1" applyAlignment="1" applyProtection="1">
      <alignment vertical="center"/>
    </xf>
    <xf numFmtId="0" fontId="54" fillId="6" borderId="32" xfId="0" applyFont="1" applyFill="1" applyBorder="1" applyAlignment="1" applyProtection="1">
      <alignment horizontal="right" vertical="center"/>
    </xf>
    <xf numFmtId="0" fontId="49" fillId="6" borderId="60" xfId="0" applyFont="1" applyFill="1" applyBorder="1" applyAlignment="1" applyProtection="1">
      <alignment vertical="center"/>
    </xf>
    <xf numFmtId="0" fontId="49" fillId="6" borderId="71" xfId="0" applyFont="1" applyFill="1" applyBorder="1" applyAlignment="1" applyProtection="1">
      <alignment vertical="center"/>
    </xf>
    <xf numFmtId="0" fontId="49" fillId="6" borderId="88" xfId="0" applyFont="1" applyFill="1" applyBorder="1" applyAlignment="1" applyProtection="1">
      <alignment vertical="center"/>
    </xf>
    <xf numFmtId="0" fontId="49" fillId="6" borderId="90" xfId="0" applyFont="1" applyFill="1" applyBorder="1" applyAlignment="1" applyProtection="1">
      <alignment vertical="center"/>
    </xf>
    <xf numFmtId="0" fontId="50" fillId="7" borderId="0" xfId="0" applyFont="1" applyFill="1" applyAlignment="1" applyProtection="1">
      <alignment vertical="center"/>
      <protection locked="0"/>
    </xf>
    <xf numFmtId="0" fontId="50" fillId="0" borderId="0" xfId="0" applyFont="1" applyFill="1" applyAlignment="1" applyProtection="1">
      <alignment vertical="center"/>
      <protection locked="0"/>
    </xf>
    <xf numFmtId="0" fontId="56" fillId="6" borderId="0" xfId="0" applyFont="1" applyFill="1" applyBorder="1" applyAlignment="1" applyProtection="1">
      <alignment horizontal="left" vertical="center"/>
      <protection locked="0"/>
    </xf>
    <xf numFmtId="0" fontId="62" fillId="6" borderId="0" xfId="0" applyFont="1" applyFill="1" applyBorder="1" applyAlignment="1" applyProtection="1">
      <alignment horizontal="center" vertical="center"/>
      <protection locked="0"/>
    </xf>
    <xf numFmtId="0" fontId="49" fillId="7" borderId="0" xfId="0" applyFont="1" applyFill="1" applyAlignment="1" applyProtection="1">
      <protection locked="0"/>
    </xf>
    <xf numFmtId="0" fontId="49" fillId="7" borderId="0" xfId="0" applyFont="1" applyFill="1" applyAlignment="1" applyProtection="1">
      <alignment horizontal="center"/>
      <protection locked="0"/>
    </xf>
    <xf numFmtId="0" fontId="55" fillId="7" borderId="0" xfId="0" applyFont="1" applyFill="1" applyAlignment="1" applyProtection="1">
      <alignment horizontal="left" vertical="center"/>
      <protection locked="0"/>
    </xf>
    <xf numFmtId="0" fontId="145" fillId="6" borderId="0" xfId="0" applyFont="1" applyFill="1" applyAlignment="1" applyProtection="1">
      <alignment vertical="center"/>
    </xf>
    <xf numFmtId="0" fontId="145" fillId="7" borderId="0" xfId="0" applyFont="1" applyFill="1" applyAlignment="1" applyProtection="1">
      <protection locked="0"/>
    </xf>
    <xf numFmtId="0" fontId="55" fillId="6" borderId="16" xfId="0" applyFont="1" applyFill="1" applyBorder="1" applyAlignment="1" applyProtection="1">
      <alignment horizontal="center" vertical="center"/>
    </xf>
    <xf numFmtId="0" fontId="49" fillId="6" borderId="31" xfId="0" applyFont="1" applyFill="1" applyBorder="1" applyAlignment="1" applyProtection="1"/>
    <xf numFmtId="0" fontId="145" fillId="7" borderId="63" xfId="0" applyFont="1" applyFill="1" applyBorder="1" applyAlignment="1" applyProtection="1">
      <alignment vertical="center"/>
      <protection locked="0"/>
    </xf>
    <xf numFmtId="0" fontId="55" fillId="7" borderId="64" xfId="0" applyFont="1" applyFill="1" applyBorder="1" applyAlignment="1" applyProtection="1">
      <alignment vertical="center"/>
      <protection locked="0"/>
    </xf>
    <xf numFmtId="0" fontId="55" fillId="7" borderId="65" xfId="0" applyFont="1" applyFill="1" applyBorder="1" applyAlignment="1" applyProtection="1">
      <alignment horizontal="left" vertical="center"/>
      <protection locked="0"/>
    </xf>
    <xf numFmtId="0" fontId="106" fillId="6" borderId="82" xfId="0" applyFont="1" applyFill="1" applyBorder="1" applyAlignment="1" applyProtection="1">
      <alignment horizontal="center" vertical="center"/>
    </xf>
    <xf numFmtId="0" fontId="103" fillId="6" borderId="82" xfId="0" applyFont="1" applyFill="1" applyBorder="1" applyAlignment="1" applyProtection="1">
      <alignment vertical="center" wrapText="1"/>
    </xf>
    <xf numFmtId="0" fontId="103" fillId="6" borderId="65" xfId="0" applyFont="1" applyFill="1" applyBorder="1" applyAlignment="1" applyProtection="1">
      <alignment vertical="center"/>
    </xf>
    <xf numFmtId="0" fontId="103" fillId="6" borderId="65" xfId="0" applyFont="1" applyFill="1" applyBorder="1" applyAlignment="1" applyProtection="1">
      <alignment vertical="center" wrapText="1"/>
    </xf>
    <xf numFmtId="0" fontId="55" fillId="6" borderId="6" xfId="0" applyFont="1" applyFill="1" applyBorder="1" applyAlignment="1" applyProtection="1">
      <alignment vertical="center"/>
    </xf>
    <xf numFmtId="0" fontId="55" fillId="5" borderId="10" xfId="0" applyFont="1" applyFill="1" applyBorder="1" applyAlignment="1" applyProtection="1">
      <alignment horizontal="center" vertical="center"/>
      <protection locked="0"/>
    </xf>
    <xf numFmtId="0" fontId="55" fillId="6" borderId="6" xfId="0" applyFont="1" applyFill="1" applyBorder="1" applyAlignment="1" applyProtection="1">
      <alignment horizontal="left" vertical="center"/>
      <protection locked="0"/>
    </xf>
    <xf numFmtId="0" fontId="55" fillId="6" borderId="10" xfId="0" applyFont="1" applyFill="1" applyBorder="1" applyAlignment="1" applyProtection="1">
      <alignment horizontal="center" vertical="center"/>
    </xf>
    <xf numFmtId="0" fontId="103" fillId="6" borderId="81" xfId="0" applyFont="1" applyFill="1" applyBorder="1" applyAlignment="1" applyProtection="1">
      <alignment vertical="center" wrapText="1"/>
    </xf>
    <xf numFmtId="0" fontId="103" fillId="6" borderId="43" xfId="0" applyFont="1" applyFill="1" applyBorder="1" applyAlignment="1" applyProtection="1">
      <alignment vertical="center"/>
    </xf>
    <xf numFmtId="0" fontId="103" fillId="6" borderId="43" xfId="0" applyFont="1" applyFill="1" applyBorder="1" applyAlignment="1" applyProtection="1">
      <alignment vertical="center" wrapText="1"/>
    </xf>
    <xf numFmtId="0" fontId="55" fillId="6" borderId="23" xfId="0" applyFont="1" applyFill="1" applyBorder="1" applyAlignment="1" applyProtection="1">
      <alignment vertical="center"/>
    </xf>
    <xf numFmtId="0" fontId="103" fillId="5" borderId="24" xfId="0" applyFont="1" applyFill="1" applyBorder="1" applyAlignment="1" applyProtection="1">
      <alignment horizontal="center"/>
      <protection locked="0"/>
    </xf>
    <xf numFmtId="0" fontId="103" fillId="6" borderId="23" xfId="0" applyFont="1" applyFill="1" applyBorder="1" applyAlignment="1" applyProtection="1">
      <alignment horizontal="left"/>
      <protection locked="0"/>
    </xf>
    <xf numFmtId="0" fontId="55" fillId="6" borderId="24" xfId="0" applyFont="1" applyFill="1" applyBorder="1" applyAlignment="1" applyProtection="1">
      <alignment horizontal="center" vertical="center"/>
    </xf>
    <xf numFmtId="0" fontId="55" fillId="7" borderId="0" xfId="0" applyFont="1" applyFill="1" applyBorder="1" applyAlignment="1" applyProtection="1">
      <alignment vertical="center"/>
      <protection locked="0"/>
    </xf>
    <xf numFmtId="0" fontId="55" fillId="7" borderId="24" xfId="0" applyFont="1" applyFill="1" applyBorder="1" applyAlignment="1" applyProtection="1">
      <alignment horizontal="center" vertical="center"/>
      <protection locked="0"/>
    </xf>
    <xf numFmtId="0" fontId="55" fillId="0" borderId="24" xfId="0" applyFont="1" applyFill="1" applyBorder="1" applyAlignment="1" applyProtection="1">
      <alignment horizontal="center" vertical="center"/>
      <protection locked="0"/>
    </xf>
    <xf numFmtId="0" fontId="103" fillId="6" borderId="81" xfId="0" applyFont="1" applyFill="1" applyBorder="1" applyAlignment="1" applyProtection="1">
      <alignment horizontal="right" vertical="center" wrapText="1"/>
    </xf>
    <xf numFmtId="0" fontId="103" fillId="6" borderId="24" xfId="0" applyFont="1" applyFill="1" applyBorder="1" applyAlignment="1" applyProtection="1">
      <alignment horizontal="center"/>
    </xf>
    <xf numFmtId="0" fontId="55" fillId="7" borderId="35" xfId="0" applyFont="1" applyFill="1" applyBorder="1" applyAlignment="1" applyProtection="1">
      <alignment vertical="center" wrapText="1"/>
      <protection locked="0"/>
    </xf>
    <xf numFmtId="10" fontId="103" fillId="6" borderId="43" xfId="0" applyNumberFormat="1" applyFont="1" applyFill="1" applyBorder="1" applyAlignment="1" applyProtection="1">
      <alignment vertical="center" wrapText="1"/>
    </xf>
    <xf numFmtId="49" fontId="55" fillId="6" borderId="23" xfId="0" applyNumberFormat="1" applyFont="1" applyFill="1" applyBorder="1" applyAlignment="1" applyProtection="1">
      <alignment horizontal="left" vertical="center"/>
    </xf>
    <xf numFmtId="0" fontId="55" fillId="6" borderId="24" xfId="0" applyNumberFormat="1" applyFont="1" applyFill="1" applyBorder="1" applyAlignment="1" applyProtection="1">
      <alignment horizontal="center" vertical="center"/>
    </xf>
    <xf numFmtId="0" fontId="55" fillId="6" borderId="23" xfId="0" applyFont="1" applyFill="1" applyBorder="1" applyAlignment="1" applyProtection="1">
      <alignment vertical="center"/>
      <protection locked="0"/>
    </xf>
    <xf numFmtId="195" fontId="55" fillId="6" borderId="24" xfId="0" applyNumberFormat="1" applyFont="1" applyFill="1" applyBorder="1" applyAlignment="1" applyProtection="1">
      <alignment horizontal="center" vertical="center"/>
    </xf>
    <xf numFmtId="0" fontId="55" fillId="7" borderId="7" xfId="0" applyFont="1" applyFill="1" applyBorder="1" applyAlignment="1" applyProtection="1">
      <alignment vertical="center" wrapText="1"/>
      <protection locked="0"/>
    </xf>
    <xf numFmtId="0" fontId="55" fillId="6" borderId="25" xfId="0" applyFont="1" applyFill="1" applyBorder="1" applyAlignment="1" applyProtection="1">
      <alignment vertical="center"/>
    </xf>
    <xf numFmtId="10" fontId="55" fillId="0" borderId="49" xfId="0" applyNumberFormat="1" applyFont="1" applyFill="1" applyBorder="1" applyAlignment="1" applyProtection="1">
      <alignment horizontal="center" vertical="center"/>
      <protection locked="0"/>
    </xf>
    <xf numFmtId="0" fontId="55" fillId="6" borderId="26" xfId="0" applyFont="1" applyFill="1" applyBorder="1" applyAlignment="1" applyProtection="1">
      <alignment vertical="center" wrapText="1"/>
    </xf>
    <xf numFmtId="0" fontId="55" fillId="6" borderId="48" xfId="0" applyFont="1" applyFill="1" applyBorder="1" applyAlignment="1" applyProtection="1">
      <alignment vertical="center"/>
      <protection locked="0"/>
    </xf>
    <xf numFmtId="0" fontId="118" fillId="6" borderId="0" xfId="0" applyFont="1" applyFill="1" applyAlignment="1" applyProtection="1">
      <alignment vertical="center"/>
      <protection locked="0"/>
    </xf>
    <xf numFmtId="0" fontId="118" fillId="6" borderId="47" xfId="0" applyFont="1" applyFill="1" applyBorder="1" applyAlignment="1" applyProtection="1">
      <alignment vertical="center" wrapText="1"/>
    </xf>
    <xf numFmtId="0" fontId="56" fillId="6" borderId="51" xfId="0" applyFont="1" applyFill="1" applyBorder="1" applyAlignment="1" applyProtection="1">
      <alignment horizontal="left" vertical="center" wrapText="1"/>
    </xf>
    <xf numFmtId="181" fontId="55" fillId="6" borderId="9" xfId="0" applyNumberFormat="1" applyFont="1" applyFill="1" applyBorder="1" applyAlignment="1" applyProtection="1">
      <alignment horizontal="center" vertical="center"/>
    </xf>
    <xf numFmtId="0" fontId="56" fillId="6" borderId="16" xfId="0" applyFont="1" applyFill="1" applyBorder="1" applyAlignment="1" applyProtection="1">
      <alignment horizontal="center" vertical="center"/>
    </xf>
    <xf numFmtId="0" fontId="55" fillId="5" borderId="21" xfId="0" applyFont="1" applyFill="1" applyBorder="1" applyAlignment="1" applyProtection="1">
      <alignment horizontal="center" vertical="center"/>
      <protection locked="0"/>
    </xf>
    <xf numFmtId="0" fontId="55" fillId="6" borderId="1" xfId="0" applyFont="1" applyFill="1" applyBorder="1" applyAlignment="1" applyProtection="1">
      <alignment vertical="center"/>
      <protection locked="0"/>
    </xf>
    <xf numFmtId="0" fontId="55" fillId="6" borderId="54" xfId="0" applyFont="1" applyFill="1" applyBorder="1" applyAlignment="1" applyProtection="1">
      <alignment vertical="center"/>
      <protection locked="0"/>
    </xf>
    <xf numFmtId="0" fontId="55" fillId="6" borderId="41" xfId="0" applyFont="1" applyFill="1" applyBorder="1" applyAlignment="1" applyProtection="1">
      <alignment vertical="center" wrapText="1"/>
    </xf>
    <xf numFmtId="0" fontId="55" fillId="5" borderId="0" xfId="0" applyFont="1" applyFill="1" applyBorder="1" applyAlignment="1" applyProtection="1">
      <alignment horizontal="center" vertical="center"/>
      <protection locked="0"/>
    </xf>
    <xf numFmtId="0" fontId="55" fillId="6" borderId="18" xfId="0" applyFont="1" applyFill="1" applyBorder="1" applyAlignment="1" applyProtection="1">
      <alignment vertical="center"/>
      <protection locked="0"/>
    </xf>
    <xf numFmtId="0" fontId="55" fillId="6" borderId="4" xfId="0" applyFont="1" applyFill="1" applyBorder="1" applyAlignment="1" applyProtection="1">
      <alignment vertical="center"/>
      <protection locked="0"/>
    </xf>
    <xf numFmtId="0" fontId="55" fillId="6" borderId="60" xfId="0" applyFont="1" applyFill="1" applyBorder="1" applyAlignment="1" applyProtection="1">
      <alignment vertical="center"/>
      <protection locked="0"/>
    </xf>
    <xf numFmtId="0" fontId="55" fillId="6" borderId="71" xfId="0" applyFont="1" applyFill="1" applyBorder="1" applyAlignment="1" applyProtection="1">
      <alignment vertical="center"/>
      <protection locked="0"/>
    </xf>
    <xf numFmtId="0" fontId="55" fillId="6" borderId="23" xfId="0" applyFont="1" applyFill="1" applyBorder="1" applyAlignment="1" applyProtection="1">
      <alignment vertical="center" wrapText="1"/>
    </xf>
    <xf numFmtId="0" fontId="55" fillId="6" borderId="5" xfId="0" applyFont="1" applyFill="1" applyBorder="1" applyAlignment="1" applyProtection="1">
      <alignment horizontal="center" vertical="center"/>
    </xf>
    <xf numFmtId="181" fontId="55" fillId="6" borderId="5" xfId="0" applyNumberFormat="1" applyFont="1" applyFill="1" applyBorder="1" applyAlignment="1" applyProtection="1">
      <alignment horizontal="center" vertical="center"/>
    </xf>
    <xf numFmtId="49" fontId="56" fillId="6" borderId="25" xfId="0" applyNumberFormat="1" applyFont="1" applyFill="1" applyBorder="1" applyAlignment="1" applyProtection="1">
      <alignment horizontal="left" vertical="center"/>
    </xf>
    <xf numFmtId="0" fontId="55" fillId="6" borderId="49" xfId="0" applyFont="1" applyFill="1" applyBorder="1" applyAlignment="1" applyProtection="1">
      <alignment horizontal="center" vertical="center"/>
    </xf>
    <xf numFmtId="0" fontId="56" fillId="6" borderId="25" xfId="0" applyFont="1" applyFill="1" applyBorder="1" applyAlignment="1" applyProtection="1">
      <alignment horizontal="center" vertical="center"/>
    </xf>
    <xf numFmtId="0" fontId="55" fillId="6" borderId="0" xfId="0" applyFont="1" applyFill="1" applyAlignment="1" applyProtection="1">
      <alignment vertical="center"/>
      <protection locked="0"/>
    </xf>
    <xf numFmtId="0" fontId="55" fillId="6" borderId="1" xfId="0" applyFont="1" applyFill="1" applyBorder="1" applyAlignment="1"/>
    <xf numFmtId="0" fontId="55" fillId="6" borderId="1" xfId="0" applyFont="1" applyFill="1" applyBorder="1" applyAlignment="1">
      <alignment horizontal="center"/>
    </xf>
    <xf numFmtId="0" fontId="55" fillId="6" borderId="1" xfId="0" applyFont="1" applyFill="1" applyBorder="1" applyAlignment="1" applyProtection="1">
      <alignment horizontal="center" vertical="center"/>
      <protection locked="0"/>
    </xf>
    <xf numFmtId="9" fontId="55" fillId="6" borderId="1" xfId="0" applyNumberFormat="1" applyFont="1" applyFill="1" applyBorder="1" applyAlignment="1" applyProtection="1">
      <alignment horizontal="center" vertical="center"/>
      <protection locked="0"/>
    </xf>
    <xf numFmtId="195" fontId="103" fillId="6" borderId="43" xfId="0" applyNumberFormat="1" applyFont="1" applyFill="1" applyBorder="1" applyAlignment="1" applyProtection="1">
      <alignment vertical="center" wrapText="1"/>
    </xf>
    <xf numFmtId="0" fontId="172" fillId="6" borderId="43" xfId="0" applyFont="1" applyFill="1" applyBorder="1" applyAlignment="1" applyProtection="1">
      <alignment vertical="center"/>
    </xf>
    <xf numFmtId="0" fontId="55" fillId="0" borderId="0" xfId="0" applyFont="1" applyFill="1" applyAlignment="1" applyProtection="1">
      <alignment horizontal="left" vertical="center"/>
      <protection locked="0"/>
    </xf>
    <xf numFmtId="0" fontId="49" fillId="6" borderId="1" xfId="0" applyFont="1" applyFill="1" applyBorder="1" applyAlignment="1" applyProtection="1">
      <alignment horizontal="center"/>
    </xf>
    <xf numFmtId="49" fontId="64" fillId="2" borderId="27" xfId="0" applyNumberFormat="1" applyFont="1" applyFill="1" applyBorder="1" applyAlignment="1" applyProtection="1">
      <alignment horizontal="right"/>
      <protection locked="0"/>
    </xf>
    <xf numFmtId="0" fontId="56" fillId="6" borderId="0" xfId="0" applyFont="1" applyFill="1" applyBorder="1" applyAlignment="1" applyProtection="1">
      <alignment vertical="center"/>
    </xf>
    <xf numFmtId="0" fontId="49" fillId="6" borderId="0" xfId="0" applyFont="1" applyFill="1" applyAlignment="1" applyProtection="1"/>
    <xf numFmtId="0" fontId="49" fillId="6" borderId="0" xfId="0" applyFont="1" applyFill="1" applyAlignment="1" applyProtection="1">
      <protection locked="0"/>
    </xf>
    <xf numFmtId="0" fontId="184" fillId="6" borderId="3" xfId="0" applyFont="1" applyFill="1" applyBorder="1" applyAlignment="1" applyProtection="1">
      <alignment horizontal="right" vertical="center" wrapText="1"/>
    </xf>
    <xf numFmtId="0" fontId="199" fillId="0" borderId="0" xfId="5" applyFont="1">
      <alignment vertical="center"/>
    </xf>
    <xf numFmtId="0" fontId="98" fillId="0" borderId="0" xfId="0" applyFont="1" applyProtection="1">
      <alignment vertical="center"/>
      <protection locked="0"/>
    </xf>
    <xf numFmtId="0" fontId="208" fillId="0" borderId="0" xfId="0" applyFont="1" applyBorder="1" applyAlignment="1">
      <alignment horizontal="center" vertical="center"/>
    </xf>
    <xf numFmtId="0" fontId="102" fillId="0" borderId="0" xfId="0" applyFont="1">
      <alignment vertical="center"/>
    </xf>
    <xf numFmtId="0" fontId="102" fillId="0" borderId="0" xfId="0" applyFont="1" applyBorder="1">
      <alignment vertical="center"/>
    </xf>
    <xf numFmtId="0" fontId="209" fillId="0" borderId="0" xfId="0" applyFont="1" applyAlignment="1">
      <alignment vertical="center"/>
    </xf>
    <xf numFmtId="0" fontId="136" fillId="0" borderId="0" xfId="0" applyFont="1" applyAlignment="1">
      <alignment vertical="center" wrapText="1"/>
    </xf>
    <xf numFmtId="0" fontId="210" fillId="0" borderId="0" xfId="0" applyFont="1">
      <alignment vertical="center"/>
    </xf>
    <xf numFmtId="0" fontId="211" fillId="0" borderId="0" xfId="0" applyFont="1">
      <alignment vertical="center"/>
    </xf>
    <xf numFmtId="0" fontId="212" fillId="0" borderId="0" xfId="0" applyFont="1" applyAlignment="1" applyProtection="1">
      <alignment vertical="center" wrapText="1"/>
      <protection locked="0"/>
    </xf>
    <xf numFmtId="0" fontId="136" fillId="0" borderId="0" xfId="0" applyFont="1" applyFill="1" applyAlignment="1">
      <alignment vertical="center" wrapText="1"/>
    </xf>
    <xf numFmtId="0" fontId="209" fillId="0" borderId="0" xfId="0" applyFont="1">
      <alignment vertical="center"/>
    </xf>
    <xf numFmtId="184" fontId="136" fillId="0" borderId="0" xfId="0" applyNumberFormat="1" applyFont="1" applyAlignment="1">
      <alignment horizontal="left" vertical="center"/>
    </xf>
    <xf numFmtId="0" fontId="136" fillId="0" borderId="0" xfId="0" applyFont="1">
      <alignment vertical="center"/>
    </xf>
    <xf numFmtId="0" fontId="213" fillId="5" borderId="0" xfId="0" applyFont="1" applyFill="1" applyProtection="1">
      <alignment vertical="center"/>
      <protection locked="0"/>
    </xf>
    <xf numFmtId="0" fontId="102" fillId="0" borderId="0" xfId="0" applyFont="1" applyProtection="1">
      <alignment vertical="center"/>
      <protection locked="0"/>
    </xf>
    <xf numFmtId="0" fontId="209" fillId="0" borderId="0" xfId="7" applyFont="1" applyProtection="1">
      <alignment vertical="center"/>
    </xf>
    <xf numFmtId="0" fontId="102" fillId="0" borderId="0" xfId="7" applyFont="1" applyProtection="1">
      <alignment vertical="center"/>
    </xf>
    <xf numFmtId="0" fontId="102" fillId="0" borderId="0" xfId="7" applyFont="1">
      <alignment vertical="center"/>
    </xf>
    <xf numFmtId="0" fontId="209" fillId="0" borderId="0" xfId="7" applyFont="1" applyAlignment="1" applyProtection="1">
      <alignment horizontal="center" vertical="center"/>
    </xf>
    <xf numFmtId="0" fontId="130" fillId="0" borderId="2" xfId="7" applyFont="1" applyFill="1" applyBorder="1" applyAlignment="1" applyProtection="1">
      <alignment horizontal="left" vertical="center" wrapText="1"/>
    </xf>
    <xf numFmtId="0" fontId="131" fillId="0" borderId="1" xfId="7" applyFont="1" applyFill="1" applyBorder="1" applyAlignment="1" applyProtection="1">
      <alignment horizontal="left" vertical="center" wrapText="1"/>
    </xf>
    <xf numFmtId="0" fontId="216" fillId="0" borderId="1" xfId="7" applyFont="1" applyFill="1" applyBorder="1" applyAlignment="1" applyProtection="1">
      <alignment horizontal="left" vertical="center" wrapText="1"/>
    </xf>
    <xf numFmtId="0" fontId="63" fillId="0" borderId="5" xfId="7" applyFont="1" applyFill="1" applyBorder="1" applyAlignment="1" applyProtection="1">
      <alignment vertical="center" wrapText="1"/>
    </xf>
    <xf numFmtId="0" fontId="108" fillId="0" borderId="1" xfId="7" applyFont="1" applyFill="1" applyBorder="1" applyAlignment="1" applyProtection="1">
      <alignment horizontal="left" vertical="center" wrapText="1"/>
    </xf>
    <xf numFmtId="0" fontId="130" fillId="0" borderId="1" xfId="7" applyFont="1" applyFill="1" applyBorder="1" applyAlignment="1" applyProtection="1">
      <alignment horizontal="left" vertical="center" wrapText="1"/>
    </xf>
    <xf numFmtId="0" fontId="217" fillId="0" borderId="1" xfId="7" applyFont="1" applyBorder="1" applyAlignment="1">
      <alignment horizontal="center" vertical="center"/>
    </xf>
    <xf numFmtId="0" fontId="131" fillId="0" borderId="78" xfId="7" applyFont="1" applyFill="1" applyBorder="1" applyAlignment="1" applyProtection="1">
      <alignment horizontal="left" vertical="center" wrapText="1"/>
    </xf>
    <xf numFmtId="0" fontId="103" fillId="0" borderId="0" xfId="7" applyFont="1" applyProtection="1">
      <alignment vertical="center"/>
    </xf>
    <xf numFmtId="0" fontId="102" fillId="0" borderId="0" xfId="7" applyFont="1" applyProtection="1">
      <alignment vertical="center"/>
      <protection locked="0"/>
    </xf>
    <xf numFmtId="0" fontId="136" fillId="0" borderId="0" xfId="7" applyFont="1" applyProtection="1">
      <alignment vertical="center"/>
      <protection locked="0"/>
    </xf>
    <xf numFmtId="0" fontId="63" fillId="0" borderId="1" xfId="0" applyFont="1" applyFill="1" applyBorder="1" applyAlignment="1" applyProtection="1">
      <alignment horizontal="left" vertical="center" wrapText="1"/>
    </xf>
    <xf numFmtId="0" fontId="136" fillId="0" borderId="0" xfId="0" applyFont="1" applyProtection="1">
      <alignment vertical="center"/>
      <protection locked="0"/>
    </xf>
    <xf numFmtId="0" fontId="98" fillId="0" borderId="0" xfId="0" applyFont="1" applyProtection="1">
      <alignment vertical="center"/>
    </xf>
    <xf numFmtId="0" fontId="206" fillId="0" borderId="0" xfId="0" applyFont="1" applyBorder="1" applyAlignment="1" applyProtection="1">
      <alignment horizontal="left" vertical="center"/>
    </xf>
    <xf numFmtId="0" fontId="224" fillId="0" borderId="0" xfId="0" applyFont="1" applyBorder="1" applyAlignment="1" applyProtection="1">
      <alignment horizontal="center" vertical="center" wrapText="1"/>
    </xf>
    <xf numFmtId="14" fontId="136" fillId="0" borderId="0" xfId="0" applyNumberFormat="1" applyFont="1" applyFill="1" applyBorder="1" applyAlignment="1" applyProtection="1">
      <alignment horizontal="center" vertical="center" wrapText="1"/>
    </xf>
    <xf numFmtId="0" fontId="136" fillId="0" borderId="0" xfId="0" applyFont="1" applyBorder="1" applyAlignment="1" applyProtection="1">
      <alignment horizontal="center" vertical="center" wrapText="1"/>
    </xf>
    <xf numFmtId="0" fontId="224" fillId="0" borderId="60" xfId="0" applyFont="1" applyBorder="1" applyAlignment="1" applyProtection="1">
      <alignment horizontal="justify" vertical="center" wrapText="1"/>
    </xf>
    <xf numFmtId="0" fontId="224" fillId="0" borderId="0" xfId="0" applyFont="1" applyBorder="1" applyAlignment="1" applyProtection="1">
      <alignment horizontal="right" vertical="center" wrapText="1"/>
    </xf>
    <xf numFmtId="0" fontId="224" fillId="0" borderId="54" xfId="0" applyFont="1" applyBorder="1" applyAlignment="1" applyProtection="1">
      <alignment horizontal="justify" vertical="center" wrapText="1"/>
    </xf>
    <xf numFmtId="0" fontId="225" fillId="0" borderId="0" xfId="0" applyFont="1" applyBorder="1" applyAlignment="1" applyProtection="1">
      <alignment horizontal="center" vertical="center" wrapText="1"/>
      <protection locked="0"/>
    </xf>
    <xf numFmtId="0" fontId="209" fillId="0" borderId="0" xfId="0" applyFont="1" applyBorder="1" applyAlignment="1" applyProtection="1">
      <alignment horizontal="left" vertical="center"/>
    </xf>
    <xf numFmtId="0" fontId="102" fillId="0" borderId="0" xfId="0" applyFont="1" applyAlignment="1" applyProtection="1">
      <alignment vertical="center" wrapText="1"/>
      <protection locked="0"/>
    </xf>
    <xf numFmtId="0" fontId="136" fillId="0" borderId="0" xfId="0" applyFont="1" applyAlignment="1">
      <alignment horizontal="right" vertical="center"/>
    </xf>
    <xf numFmtId="0" fontId="98" fillId="0" borderId="0" xfId="0" applyFont="1" applyBorder="1" applyProtection="1">
      <alignment vertical="center"/>
      <protection locked="0"/>
    </xf>
    <xf numFmtId="0" fontId="207" fillId="0" borderId="0" xfId="0" applyFont="1" applyBorder="1" applyProtection="1">
      <alignment vertical="center"/>
      <protection locked="0"/>
    </xf>
    <xf numFmtId="0" fontId="228" fillId="0" borderId="0" xfId="0" applyFont="1" applyProtection="1">
      <alignment vertical="center"/>
    </xf>
    <xf numFmtId="0" fontId="207" fillId="0" borderId="0" xfId="0" applyFont="1" applyProtection="1">
      <alignment vertical="center"/>
    </xf>
    <xf numFmtId="0" fontId="215"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215" fillId="0" borderId="0" xfId="0" applyFont="1" applyProtection="1">
      <alignment vertical="center"/>
    </xf>
    <xf numFmtId="0" fontId="215" fillId="2" borderId="1" xfId="0" applyFont="1" applyFill="1" applyBorder="1" applyAlignment="1" applyProtection="1">
      <alignment horizontal="center" vertical="center" wrapText="1"/>
    </xf>
    <xf numFmtId="0" fontId="215" fillId="6" borderId="1" xfId="0" applyFont="1" applyFill="1" applyBorder="1" applyAlignment="1" applyProtection="1">
      <alignment horizontal="center" vertical="center" wrapText="1"/>
    </xf>
    <xf numFmtId="0" fontId="231" fillId="4" borderId="1" xfId="0" applyFont="1" applyFill="1" applyBorder="1" applyAlignment="1" applyProtection="1">
      <alignment horizontal="center" vertical="center"/>
    </xf>
    <xf numFmtId="0" fontId="232" fillId="0" borderId="1" xfId="0" applyFont="1" applyFill="1" applyBorder="1" applyAlignment="1" applyProtection="1">
      <alignment horizontal="center" vertical="center"/>
    </xf>
    <xf numFmtId="0" fontId="230" fillId="0" borderId="0" xfId="0" applyFont="1" applyProtection="1">
      <alignment vertical="center"/>
    </xf>
    <xf numFmtId="0" fontId="122" fillId="0" borderId="1" xfId="0" applyFont="1" applyBorder="1" applyAlignment="1" applyProtection="1">
      <alignment horizontal="center" vertical="center"/>
    </xf>
    <xf numFmtId="0" fontId="98" fillId="0" borderId="1" xfId="0" applyFont="1" applyBorder="1" applyAlignment="1" applyProtection="1">
      <alignment horizontal="left" vertical="center"/>
    </xf>
    <xf numFmtId="0" fontId="98" fillId="8" borderId="5" xfId="0" applyFont="1" applyFill="1" applyBorder="1" applyAlignment="1" applyProtection="1">
      <alignment vertical="center"/>
    </xf>
    <xf numFmtId="0" fontId="98" fillId="7" borderId="54" xfId="0" applyFont="1" applyFill="1" applyBorder="1" applyAlignment="1" applyProtection="1">
      <alignment vertical="center"/>
    </xf>
    <xf numFmtId="0" fontId="98" fillId="7" borderId="3" xfId="0" applyFont="1" applyFill="1" applyBorder="1" applyAlignment="1" applyProtection="1">
      <alignment vertical="center"/>
    </xf>
    <xf numFmtId="0" fontId="233" fillId="0" borderId="0" xfId="0" applyFont="1" applyProtection="1">
      <alignment vertical="center"/>
    </xf>
    <xf numFmtId="0" fontId="230" fillId="0" borderId="0" xfId="0" applyFont="1" applyAlignment="1" applyProtection="1">
      <alignment horizontal="left" vertical="center"/>
    </xf>
    <xf numFmtId="176" fontId="230" fillId="0" borderId="0" xfId="0" applyNumberFormat="1" applyFont="1" applyAlignment="1" applyProtection="1">
      <alignment horizontal="left" vertical="center"/>
    </xf>
    <xf numFmtId="0" fontId="230" fillId="6" borderId="35" xfId="0" applyFont="1" applyFill="1" applyBorder="1" applyAlignment="1" applyProtection="1">
      <alignment horizontal="center" vertical="center" wrapText="1"/>
    </xf>
    <xf numFmtId="0" fontId="98" fillId="6" borderId="15" xfId="0" applyFont="1" applyFill="1" applyBorder="1" applyAlignment="1" applyProtection="1">
      <alignment horizontal="center" vertical="center" wrapText="1"/>
    </xf>
    <xf numFmtId="0" fontId="98" fillId="6" borderId="0" xfId="0" applyFont="1" applyFill="1" applyBorder="1" applyAlignment="1" applyProtection="1">
      <alignment horizontal="center" vertical="center" wrapText="1"/>
    </xf>
    <xf numFmtId="0" fontId="98" fillId="6" borderId="0" xfId="0" applyFont="1" applyFill="1" applyAlignment="1" applyProtection="1">
      <alignment horizontal="center" vertical="center" wrapText="1"/>
    </xf>
    <xf numFmtId="0" fontId="230" fillId="6" borderId="0" xfId="0" applyFont="1" applyFill="1" applyAlignment="1" applyProtection="1">
      <alignment horizontal="center" vertical="center" wrapText="1"/>
    </xf>
    <xf numFmtId="0" fontId="230" fillId="6" borderId="0" xfId="0" applyNumberFormat="1" applyFont="1" applyFill="1" applyBorder="1" applyAlignment="1" applyProtection="1">
      <alignment horizontal="center" vertical="center" wrapText="1"/>
    </xf>
    <xf numFmtId="0" fontId="98" fillId="0" borderId="0" xfId="0" applyFont="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6" borderId="0" xfId="0" applyFont="1" applyFill="1" applyBorder="1" applyAlignment="1" applyProtection="1">
      <alignment horizontal="center" vertical="center"/>
      <protection locked="0"/>
    </xf>
    <xf numFmtId="0" fontId="98" fillId="6" borderId="0" xfId="0" applyFont="1" applyFill="1" applyAlignment="1" applyProtection="1">
      <alignment horizontal="center" vertical="center"/>
    </xf>
    <xf numFmtId="0" fontId="230" fillId="0" borderId="1" xfId="0" applyFont="1" applyBorder="1" applyAlignment="1" applyProtection="1">
      <alignment horizontal="left" vertical="center"/>
      <protection locked="0"/>
    </xf>
    <xf numFmtId="0" fontId="98" fillId="6" borderId="0" xfId="0" applyFont="1" applyFill="1" applyAlignment="1" applyProtection="1">
      <alignment horizontal="center" vertical="center"/>
      <protection locked="0"/>
    </xf>
    <xf numFmtId="0" fontId="98" fillId="6" borderId="0" xfId="0" applyFont="1" applyFill="1" applyProtection="1">
      <alignment vertical="center"/>
    </xf>
    <xf numFmtId="0" fontId="230" fillId="6" borderId="0" xfId="0" applyFont="1" applyFill="1" applyBorder="1" applyAlignment="1" applyProtection="1">
      <alignment horizontal="center" vertical="center"/>
      <protection locked="0"/>
    </xf>
    <xf numFmtId="0" fontId="98" fillId="6" borderId="0" xfId="0" applyFont="1" applyFill="1" applyBorder="1" applyAlignment="1" applyProtection="1">
      <alignment horizontal="left" vertical="center"/>
    </xf>
    <xf numFmtId="0" fontId="98" fillId="6" borderId="0" xfId="0" applyFont="1" applyFill="1" applyAlignment="1" applyProtection="1">
      <alignment horizontal="left" vertical="center"/>
    </xf>
    <xf numFmtId="0" fontId="98" fillId="6" borderId="0" xfId="0" applyFont="1" applyFill="1" applyBorder="1" applyAlignment="1" applyProtection="1">
      <alignment horizontal="center" vertical="center"/>
    </xf>
    <xf numFmtId="0" fontId="98" fillId="0" borderId="0" xfId="0" applyFont="1" applyBorder="1" applyAlignment="1" applyProtection="1">
      <alignment horizontal="center" vertical="center"/>
    </xf>
    <xf numFmtId="0" fontId="46" fillId="6" borderId="0" xfId="0" applyFont="1" applyFill="1" applyAlignment="1" applyProtection="1">
      <alignment vertical="center" wrapText="1"/>
    </xf>
    <xf numFmtId="0" fontId="46" fillId="6" borderId="0" xfId="0" applyFont="1" applyFill="1" applyAlignment="1" applyProtection="1">
      <alignment horizontal="center" vertical="center" wrapText="1"/>
    </xf>
    <xf numFmtId="0" fontId="46" fillId="0" borderId="0" xfId="0" applyFont="1" applyAlignment="1" applyProtection="1">
      <alignment vertical="center"/>
    </xf>
    <xf numFmtId="0" fontId="46" fillId="0" borderId="0" xfId="0" applyFont="1" applyAlignment="1" applyProtection="1">
      <alignment vertical="center" wrapText="1"/>
    </xf>
    <xf numFmtId="0" fontId="63" fillId="5" borderId="13" xfId="0" applyFont="1" applyFill="1" applyBorder="1" applyAlignment="1" applyProtection="1">
      <alignment horizontal="center" vertical="center" wrapText="1"/>
      <protection locked="0"/>
    </xf>
    <xf numFmtId="0" fontId="46" fillId="6" borderId="1" xfId="0" applyFont="1" applyFill="1" applyBorder="1" applyAlignment="1" applyProtection="1">
      <alignment vertical="center" wrapText="1"/>
    </xf>
    <xf numFmtId="0" fontId="49" fillId="5" borderId="15" xfId="0" applyFont="1" applyFill="1" applyBorder="1" applyAlignment="1" applyProtection="1">
      <alignment horizontal="center" vertical="center" wrapText="1"/>
      <protection locked="0"/>
    </xf>
    <xf numFmtId="0" fontId="49" fillId="6" borderId="74" xfId="0" applyFont="1" applyFill="1" applyBorder="1" applyAlignment="1" applyProtection="1">
      <alignment horizontal="center" vertical="center" wrapText="1"/>
    </xf>
    <xf numFmtId="0" fontId="49" fillId="5" borderId="74" xfId="0" applyFont="1" applyFill="1" applyBorder="1" applyAlignment="1" applyProtection="1">
      <alignment horizontal="center" vertical="center" wrapText="1"/>
      <protection locked="0"/>
    </xf>
    <xf numFmtId="0" fontId="118" fillId="6" borderId="74" xfId="0" applyFont="1" applyFill="1" applyBorder="1" applyAlignment="1" applyProtection="1">
      <alignment vertical="center" wrapText="1"/>
    </xf>
    <xf numFmtId="0" fontId="49" fillId="5" borderId="76" xfId="0" applyFont="1" applyFill="1" applyBorder="1" applyAlignment="1" applyProtection="1">
      <alignment horizontal="center" vertical="center" wrapText="1"/>
      <protection locked="0"/>
    </xf>
    <xf numFmtId="0" fontId="177" fillId="0" borderId="23" xfId="0" applyFont="1" applyBorder="1" applyAlignment="1" applyProtection="1">
      <alignment vertical="center" wrapText="1"/>
      <protection locked="0"/>
    </xf>
    <xf numFmtId="0" fontId="49" fillId="6" borderId="58" xfId="0" applyFont="1" applyFill="1" applyBorder="1" applyAlignment="1" applyProtection="1">
      <alignment horizontal="center" vertical="center" wrapText="1"/>
    </xf>
    <xf numFmtId="0" fontId="49" fillId="0" borderId="1" xfId="0" applyFont="1" applyBorder="1" applyAlignment="1" applyProtection="1">
      <alignment vertical="center" wrapText="1"/>
      <protection locked="0"/>
    </xf>
    <xf numFmtId="0" fontId="46" fillId="0" borderId="5" xfId="0" applyFont="1" applyBorder="1" applyAlignment="1" applyProtection="1">
      <alignment horizontal="center" vertical="center" wrapText="1"/>
      <protection locked="0"/>
    </xf>
    <xf numFmtId="0" fontId="46" fillId="0" borderId="0" xfId="0" applyFont="1" applyAlignment="1" applyProtection="1">
      <alignment vertical="center" wrapText="1"/>
      <protection locked="0"/>
    </xf>
    <xf numFmtId="0" fontId="46" fillId="0" borderId="0" xfId="0" applyFont="1" applyAlignment="1" applyProtection="1">
      <alignment horizontal="center" vertical="center" wrapText="1"/>
    </xf>
    <xf numFmtId="0" fontId="107" fillId="6" borderId="0" xfId="0" applyFont="1" applyFill="1" applyAlignment="1" applyProtection="1">
      <alignment horizontal="left" vertical="center"/>
    </xf>
    <xf numFmtId="0" fontId="105" fillId="6" borderId="0" xfId="0" applyFont="1" applyFill="1" applyAlignment="1" applyProtection="1">
      <alignment horizontal="left" vertical="center"/>
    </xf>
    <xf numFmtId="0" fontId="49" fillId="6" borderId="0" xfId="0" applyFont="1" applyFill="1" applyAlignment="1" applyProtection="1">
      <alignment horizontal="center" vertical="center" wrapText="1"/>
    </xf>
    <xf numFmtId="0" fontId="49" fillId="6" borderId="0" xfId="0" applyFont="1" applyFill="1" applyBorder="1" applyAlignment="1" applyProtection="1">
      <alignment horizontal="center" vertical="center"/>
    </xf>
    <xf numFmtId="0" fontId="49" fillId="6" borderId="0" xfId="0" applyFont="1" applyFill="1" applyBorder="1" applyAlignment="1" applyProtection="1">
      <alignment horizontal="center" vertical="center" wrapText="1"/>
    </xf>
    <xf numFmtId="0" fontId="49" fillId="0" borderId="0" xfId="0" applyFont="1" applyAlignment="1" applyProtection="1">
      <alignment horizontal="center" vertical="center" wrapText="1"/>
    </xf>
    <xf numFmtId="0" fontId="49" fillId="2" borderId="1" xfId="0" applyFont="1" applyFill="1" applyBorder="1" applyAlignment="1" applyProtection="1">
      <alignment horizontal="center" vertical="center" wrapText="1"/>
      <protection locked="0"/>
    </xf>
    <xf numFmtId="0" fontId="50" fillId="6" borderId="4" xfId="0" applyFont="1" applyFill="1" applyBorder="1" applyAlignment="1" applyProtection="1">
      <alignment horizontal="left" vertical="center"/>
    </xf>
    <xf numFmtId="179" fontId="49" fillId="6" borderId="0" xfId="0" applyNumberFormat="1" applyFont="1" applyFill="1" applyBorder="1" applyAlignment="1" applyProtection="1">
      <alignment horizontal="center" vertical="center" wrapText="1"/>
    </xf>
    <xf numFmtId="179" fontId="50" fillId="6" borderId="0" xfId="0" applyNumberFormat="1" applyFont="1" applyFill="1" applyBorder="1" applyAlignment="1" applyProtection="1">
      <alignment horizontal="center" vertical="center" wrapText="1"/>
    </xf>
    <xf numFmtId="176" fontId="49" fillId="6" borderId="0" xfId="0" applyNumberFormat="1" applyFont="1" applyFill="1" applyAlignment="1" applyProtection="1">
      <alignment horizontal="center" vertical="center" wrapText="1"/>
    </xf>
    <xf numFmtId="0" fontId="49" fillId="0" borderId="0" xfId="0" applyFont="1" applyFill="1" applyAlignment="1" applyProtection="1">
      <alignment horizontal="center" vertical="center" wrapText="1"/>
    </xf>
    <xf numFmtId="176" fontId="49" fillId="6" borderId="54" xfId="0" applyNumberFormat="1" applyFont="1" applyFill="1" applyBorder="1" applyAlignment="1" applyProtection="1">
      <alignment horizontal="center" vertical="center" wrapText="1"/>
    </xf>
    <xf numFmtId="176" fontId="49" fillId="6" borderId="3" xfId="0" applyNumberFormat="1" applyFont="1" applyFill="1" applyBorder="1" applyAlignment="1" applyProtection="1">
      <alignment horizontal="center" vertical="center" wrapText="1"/>
    </xf>
    <xf numFmtId="176" fontId="49" fillId="6" borderId="5" xfId="0" applyNumberFormat="1" applyFont="1" applyFill="1" applyBorder="1" applyAlignment="1" applyProtection="1">
      <alignment horizontal="center" vertical="center" wrapText="1"/>
    </xf>
    <xf numFmtId="176" fontId="49" fillId="0" borderId="0" xfId="0" applyNumberFormat="1" applyFont="1" applyAlignment="1" applyProtection="1">
      <alignment horizontal="center" vertical="center" wrapText="1"/>
    </xf>
    <xf numFmtId="0" fontId="49" fillId="6" borderId="46" xfId="0" applyFont="1" applyFill="1" applyBorder="1" applyAlignment="1" applyProtection="1">
      <alignment horizontal="left" vertical="center"/>
    </xf>
    <xf numFmtId="0" fontId="49" fillId="6" borderId="36" xfId="0" applyFont="1" applyFill="1" applyBorder="1" applyAlignment="1" applyProtection="1">
      <alignment horizontal="center" vertical="center" wrapText="1"/>
    </xf>
    <xf numFmtId="0" fontId="49" fillId="6" borderId="36" xfId="0" applyFont="1" applyFill="1" applyBorder="1" applyAlignment="1" applyProtection="1">
      <alignment horizontal="center" vertical="center"/>
    </xf>
    <xf numFmtId="0" fontId="49" fillId="6" borderId="59" xfId="0" applyFont="1" applyFill="1" applyBorder="1" applyAlignment="1" applyProtection="1">
      <alignment horizontal="center" vertical="center" wrapText="1"/>
    </xf>
    <xf numFmtId="0" fontId="49" fillId="6" borderId="58" xfId="0" applyFont="1" applyFill="1" applyBorder="1" applyAlignment="1" applyProtection="1">
      <alignment horizontal="center" vertical="center"/>
    </xf>
    <xf numFmtId="0" fontId="49" fillId="6" borderId="46" xfId="0" applyFont="1" applyFill="1" applyBorder="1" applyAlignment="1" applyProtection="1">
      <alignment horizontal="center" vertical="center"/>
    </xf>
    <xf numFmtId="179" fontId="49" fillId="6" borderId="5" xfId="0" applyNumberFormat="1" applyFont="1" applyFill="1" applyBorder="1" applyAlignment="1" applyProtection="1">
      <alignment horizontal="left" vertical="center"/>
    </xf>
    <xf numFmtId="0" fontId="50" fillId="6" borderId="54" xfId="0" applyFont="1" applyFill="1" applyBorder="1" applyAlignment="1" applyProtection="1">
      <alignment horizontal="center" vertical="center"/>
    </xf>
    <xf numFmtId="179" fontId="49" fillId="6" borderId="54" xfId="0" applyNumberFormat="1" applyFont="1" applyFill="1" applyBorder="1" applyAlignment="1" applyProtection="1">
      <alignment horizontal="center" vertical="center"/>
    </xf>
    <xf numFmtId="179" fontId="49" fillId="6" borderId="3" xfId="0" applyNumberFormat="1" applyFont="1" applyFill="1" applyBorder="1" applyAlignment="1" applyProtection="1">
      <alignment horizontal="center" vertical="center"/>
    </xf>
    <xf numFmtId="0" fontId="50" fillId="6" borderId="36" xfId="0" applyFont="1" applyFill="1" applyBorder="1" applyAlignment="1" applyProtection="1">
      <alignment horizontal="center" vertical="center"/>
    </xf>
    <xf numFmtId="0" fontId="49" fillId="0" borderId="0" xfId="0" applyFont="1" applyAlignment="1" applyProtection="1">
      <alignment horizontal="center" vertical="center"/>
    </xf>
    <xf numFmtId="179" fontId="49" fillId="6" borderId="0" xfId="0" applyNumberFormat="1" applyFont="1" applyFill="1" applyBorder="1" applyAlignment="1" applyProtection="1">
      <alignment horizontal="center" vertical="center"/>
    </xf>
    <xf numFmtId="0" fontId="49" fillId="2" borderId="4" xfId="0" applyFont="1" applyFill="1" applyBorder="1" applyAlignment="1" applyProtection="1">
      <alignment horizontal="left" vertical="center"/>
      <protection locked="0"/>
    </xf>
    <xf numFmtId="0" fontId="50" fillId="6" borderId="54" xfId="0" applyFont="1" applyFill="1" applyBorder="1" applyAlignment="1" applyProtection="1">
      <alignment horizontal="left" vertical="center"/>
    </xf>
    <xf numFmtId="0" fontId="49" fillId="6" borderId="7" xfId="0" applyFont="1" applyFill="1" applyBorder="1" applyAlignment="1" applyProtection="1">
      <alignment horizontal="left" vertical="center"/>
    </xf>
    <xf numFmtId="179" fontId="49" fillId="6" borderId="4" xfId="0" applyNumberFormat="1" applyFont="1" applyFill="1" applyBorder="1" applyAlignment="1" applyProtection="1">
      <alignment horizontal="center" vertical="center"/>
    </xf>
    <xf numFmtId="0" fontId="50" fillId="6" borderId="60" xfId="0" applyFont="1" applyFill="1" applyBorder="1" applyAlignment="1" applyProtection="1">
      <alignment horizontal="center" vertical="center"/>
    </xf>
    <xf numFmtId="179" fontId="49" fillId="6" borderId="7" xfId="0" applyNumberFormat="1" applyFont="1" applyFill="1" applyBorder="1" applyAlignment="1" applyProtection="1">
      <alignment horizontal="center" vertical="center"/>
    </xf>
    <xf numFmtId="0" fontId="49" fillId="2" borderId="5" xfId="0" applyFont="1" applyFill="1" applyBorder="1" applyAlignment="1" applyProtection="1">
      <alignment horizontal="left" vertical="center"/>
      <protection locked="0"/>
    </xf>
    <xf numFmtId="0" fontId="49" fillId="6" borderId="3" xfId="0" applyFont="1" applyFill="1" applyBorder="1" applyAlignment="1" applyProtection="1">
      <alignment horizontal="right" vertical="center"/>
    </xf>
    <xf numFmtId="179" fontId="49" fillId="6" borderId="35" xfId="0" applyNumberFormat="1" applyFont="1" applyFill="1" applyBorder="1" applyAlignment="1" applyProtection="1">
      <alignment horizontal="center" vertical="center"/>
    </xf>
    <xf numFmtId="0" fontId="49" fillId="6" borderId="7" xfId="0" applyFont="1" applyFill="1" applyBorder="1" applyAlignment="1" applyProtection="1">
      <alignment horizontal="center" vertical="center"/>
    </xf>
    <xf numFmtId="0" fontId="49" fillId="6" borderId="8" xfId="0" applyFont="1" applyFill="1" applyBorder="1" applyAlignment="1" applyProtection="1">
      <alignment horizontal="center" vertical="center"/>
    </xf>
    <xf numFmtId="0" fontId="49" fillId="2" borderId="54" xfId="0" applyFont="1" applyFill="1" applyBorder="1" applyAlignment="1" applyProtection="1">
      <alignment horizontal="left" vertical="center"/>
      <protection locked="0"/>
    </xf>
    <xf numFmtId="0" fontId="50" fillId="6" borderId="3" xfId="0" applyFont="1" applyFill="1" applyBorder="1" applyAlignment="1" applyProtection="1">
      <alignment horizontal="left" vertical="center"/>
    </xf>
    <xf numFmtId="0" fontId="118" fillId="6" borderId="5" xfId="0" applyFont="1" applyFill="1" applyBorder="1" applyAlignment="1" applyProtection="1">
      <alignment horizontal="left" vertical="center"/>
    </xf>
    <xf numFmtId="0" fontId="236" fillId="6" borderId="3" xfId="0" applyFont="1" applyFill="1" applyBorder="1" applyAlignment="1" applyProtection="1">
      <alignment horizontal="right" vertical="center"/>
    </xf>
    <xf numFmtId="0" fontId="49" fillId="6" borderId="61" xfId="0" applyFont="1" applyFill="1" applyBorder="1" applyAlignment="1" applyProtection="1">
      <alignment horizontal="center" vertical="center"/>
    </xf>
    <xf numFmtId="0" fontId="49" fillId="6" borderId="4" xfId="0" applyFont="1" applyFill="1" applyBorder="1" applyAlignment="1" applyProtection="1">
      <alignment horizontal="center" vertical="center" wrapText="1"/>
    </xf>
    <xf numFmtId="179" fontId="49" fillId="6" borderId="7" xfId="0" applyNumberFormat="1" applyFont="1" applyFill="1" applyBorder="1" applyAlignment="1" applyProtection="1">
      <alignment horizontal="center" vertical="center" wrapText="1"/>
    </xf>
    <xf numFmtId="179" fontId="49" fillId="6" borderId="2" xfId="0" applyNumberFormat="1" applyFont="1" applyFill="1" applyBorder="1" applyAlignment="1" applyProtection="1">
      <alignment horizontal="center" vertical="center" wrapText="1"/>
    </xf>
    <xf numFmtId="179" fontId="49" fillId="6" borderId="4" xfId="0" applyNumberFormat="1" applyFont="1" applyFill="1" applyBorder="1" applyAlignment="1" applyProtection="1">
      <alignment horizontal="center" vertical="center" wrapText="1"/>
    </xf>
    <xf numFmtId="0" fontId="49" fillId="6" borderId="35" xfId="0" applyFont="1" applyFill="1" applyBorder="1" applyAlignment="1" applyProtection="1">
      <alignment horizontal="center" vertical="center" wrapText="1"/>
    </xf>
    <xf numFmtId="179" fontId="49" fillId="6" borderId="1" xfId="0" applyNumberFormat="1" applyFont="1" applyFill="1" applyBorder="1" applyAlignment="1" applyProtection="1">
      <alignment horizontal="center" vertical="center"/>
    </xf>
    <xf numFmtId="0" fontId="49" fillId="2" borderId="2" xfId="0" applyFont="1" applyFill="1" applyBorder="1" applyAlignment="1" applyProtection="1">
      <alignment horizontal="center" vertical="center" wrapText="1"/>
      <protection locked="0"/>
    </xf>
    <xf numFmtId="176" fontId="49" fillId="0" borderId="1" xfId="0" applyNumberFormat="1" applyFont="1" applyBorder="1" applyAlignment="1" applyProtection="1">
      <alignment vertical="center" wrapText="1"/>
      <protection locked="0"/>
    </xf>
    <xf numFmtId="176" fontId="49" fillId="0" borderId="1" xfId="0" applyNumberFormat="1" applyFont="1" applyBorder="1" applyAlignment="1" applyProtection="1">
      <alignment horizontal="center" vertical="center" wrapText="1"/>
      <protection locked="0"/>
    </xf>
    <xf numFmtId="176" fontId="49" fillId="0" borderId="2" xfId="0" applyNumberFormat="1" applyFont="1" applyBorder="1" applyAlignment="1" applyProtection="1">
      <alignment horizontal="center" vertical="center" wrapText="1"/>
      <protection locked="0"/>
    </xf>
    <xf numFmtId="0" fontId="49" fillId="0" borderId="4" xfId="0" applyFont="1" applyBorder="1" applyAlignment="1" applyProtection="1">
      <alignment horizontal="center" vertical="center" wrapText="1"/>
      <protection locked="0"/>
    </xf>
    <xf numFmtId="0" fontId="46" fillId="5" borderId="2" xfId="0" applyFont="1" applyFill="1" applyBorder="1" applyAlignment="1" applyProtection="1">
      <alignment horizontal="center" vertical="center" wrapText="1"/>
      <protection locked="0"/>
    </xf>
    <xf numFmtId="0" fontId="46" fillId="0" borderId="4" xfId="0" applyFont="1" applyBorder="1" applyAlignment="1" applyProtection="1">
      <alignment horizontal="center" vertical="center" wrapText="1"/>
      <protection locked="0"/>
    </xf>
    <xf numFmtId="0" fontId="46" fillId="0" borderId="0" xfId="0" applyFont="1" applyFill="1" applyBorder="1" applyAlignment="1" applyProtection="1">
      <alignment horizontal="center" vertical="center" wrapText="1"/>
    </xf>
    <xf numFmtId="176" fontId="46" fillId="0" borderId="0"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wrapText="1"/>
    </xf>
    <xf numFmtId="0" fontId="51" fillId="0" borderId="0" xfId="0" applyFont="1" applyAlignment="1" applyProtection="1">
      <alignment horizontal="center" vertical="center" wrapText="1"/>
    </xf>
    <xf numFmtId="0" fontId="51" fillId="0" borderId="0" xfId="0" applyFont="1" applyAlignment="1" applyProtection="1">
      <alignment horizontal="center" vertical="center"/>
    </xf>
    <xf numFmtId="0" fontId="107" fillId="6" borderId="0" xfId="0" applyFont="1" applyFill="1" applyProtection="1">
      <alignment vertical="center"/>
    </xf>
    <xf numFmtId="0" fontId="46" fillId="0" borderId="0" xfId="0" applyFont="1" applyProtection="1">
      <alignment vertical="center"/>
      <protection locked="0"/>
    </xf>
    <xf numFmtId="176" fontId="52" fillId="6" borderId="1" xfId="1" applyNumberFormat="1" applyFont="1" applyFill="1" applyBorder="1" applyAlignment="1" applyProtection="1">
      <alignment horizontal="center" vertical="center"/>
    </xf>
    <xf numFmtId="0" fontId="46" fillId="6" borderId="5" xfId="0" applyFont="1" applyFill="1" applyBorder="1" applyProtection="1">
      <alignment vertical="center"/>
    </xf>
    <xf numFmtId="0" fontId="48" fillId="6" borderId="9" xfId="0" applyFont="1" applyFill="1" applyBorder="1" applyAlignment="1" applyProtection="1">
      <alignment horizontal="center" vertical="center"/>
    </xf>
    <xf numFmtId="176" fontId="52" fillId="6" borderId="10" xfId="1" applyNumberFormat="1" applyFont="1" applyFill="1" applyBorder="1" applyAlignment="1" applyProtection="1">
      <alignment horizontal="center" vertical="center"/>
    </xf>
    <xf numFmtId="0" fontId="46" fillId="6" borderId="2" xfId="0" applyFont="1" applyFill="1" applyBorder="1" applyProtection="1">
      <alignment vertical="center"/>
    </xf>
    <xf numFmtId="0" fontId="46" fillId="6" borderId="12" xfId="0" applyFont="1" applyFill="1" applyBorder="1" applyAlignment="1" applyProtection="1">
      <alignment vertical="center"/>
    </xf>
    <xf numFmtId="176" fontId="48" fillId="6" borderId="10" xfId="1" applyNumberFormat="1" applyFont="1" applyFill="1" applyBorder="1" applyAlignment="1" applyProtection="1">
      <alignment horizontal="center" vertical="center"/>
    </xf>
    <xf numFmtId="0" fontId="46" fillId="6" borderId="14" xfId="0" applyFont="1" applyFill="1" applyBorder="1" applyAlignment="1" applyProtection="1">
      <alignment vertical="center"/>
    </xf>
    <xf numFmtId="0" fontId="46" fillId="6" borderId="15" xfId="0" applyFont="1" applyFill="1" applyBorder="1" applyAlignment="1" applyProtection="1">
      <alignment vertical="center"/>
    </xf>
    <xf numFmtId="0" fontId="48" fillId="6" borderId="51" xfId="0" applyFont="1" applyFill="1" applyBorder="1" applyProtection="1">
      <alignment vertical="center"/>
    </xf>
    <xf numFmtId="0" fontId="46" fillId="6" borderId="21" xfId="0" applyFont="1" applyFill="1" applyBorder="1" applyProtection="1">
      <alignment vertical="center"/>
    </xf>
    <xf numFmtId="0" fontId="46" fillId="6" borderId="16" xfId="0" applyFont="1" applyFill="1" applyBorder="1" applyAlignment="1" applyProtection="1">
      <alignment vertical="center"/>
    </xf>
    <xf numFmtId="0" fontId="46" fillId="6" borderId="17" xfId="0" applyFont="1" applyFill="1" applyBorder="1" applyProtection="1">
      <alignment vertical="center"/>
    </xf>
    <xf numFmtId="0" fontId="46" fillId="6" borderId="19" xfId="0" applyFont="1" applyFill="1" applyBorder="1" applyAlignment="1" applyProtection="1">
      <alignment vertical="center"/>
    </xf>
    <xf numFmtId="0" fontId="48" fillId="6" borderId="17" xfId="0" applyFont="1" applyFill="1" applyBorder="1" applyAlignment="1" applyProtection="1">
      <alignment horizontal="center" vertical="center"/>
    </xf>
    <xf numFmtId="176" fontId="52" fillId="6" borderId="29" xfId="1" applyNumberFormat="1" applyFont="1" applyFill="1" applyBorder="1" applyAlignment="1" applyProtection="1">
      <alignment horizontal="center" vertical="center"/>
    </xf>
    <xf numFmtId="176" fontId="52" fillId="6" borderId="20" xfId="1" applyNumberFormat="1" applyFont="1" applyFill="1" applyBorder="1" applyAlignment="1" applyProtection="1">
      <alignment horizontal="center" vertical="center"/>
    </xf>
    <xf numFmtId="176" fontId="52" fillId="6" borderId="21" xfId="1" applyNumberFormat="1" applyFont="1" applyFill="1" applyBorder="1" applyAlignment="1" applyProtection="1">
      <alignment horizontal="center" vertical="center"/>
    </xf>
    <xf numFmtId="0" fontId="48" fillId="6" borderId="55" xfId="0" applyFont="1" applyFill="1" applyBorder="1" applyAlignment="1" applyProtection="1">
      <alignment horizontal="right" vertical="center"/>
    </xf>
    <xf numFmtId="179" fontId="48" fillId="2" borderId="24" xfId="0" applyNumberFormat="1" applyFont="1" applyFill="1" applyBorder="1" applyAlignment="1" applyProtection="1">
      <alignment horizontal="center" vertical="center"/>
      <protection locked="0"/>
    </xf>
    <xf numFmtId="0" fontId="46" fillId="6" borderId="2" xfId="0" applyFont="1" applyFill="1" applyBorder="1" applyAlignment="1" applyProtection="1">
      <alignment vertical="center"/>
    </xf>
    <xf numFmtId="0" fontId="46" fillId="6" borderId="0" xfId="0" applyFont="1" applyFill="1" applyBorder="1" applyAlignment="1" applyProtection="1">
      <alignment vertical="center"/>
    </xf>
    <xf numFmtId="0" fontId="48" fillId="6" borderId="2" xfId="0" applyFont="1" applyFill="1" applyBorder="1" applyAlignment="1" applyProtection="1">
      <alignment horizontal="center" vertical="center"/>
    </xf>
    <xf numFmtId="176" fontId="53" fillId="6" borderId="2" xfId="1" applyNumberFormat="1" applyFont="1" applyFill="1" applyBorder="1" applyAlignment="1" applyProtection="1">
      <alignment horizontal="center" vertical="center"/>
    </xf>
    <xf numFmtId="0" fontId="46" fillId="6" borderId="7" xfId="0" applyFont="1" applyFill="1" applyBorder="1" applyAlignment="1" applyProtection="1">
      <alignment horizontal="center" vertical="center"/>
    </xf>
    <xf numFmtId="0" fontId="46" fillId="6" borderId="8" xfId="0" applyFont="1" applyFill="1" applyBorder="1" applyAlignment="1" applyProtection="1">
      <alignment horizontal="center" vertical="center"/>
    </xf>
    <xf numFmtId="179" fontId="46" fillId="6" borderId="24" xfId="0" applyNumberFormat="1" applyFont="1" applyFill="1" applyBorder="1" applyAlignment="1" applyProtection="1">
      <alignment horizontal="center" vertical="center"/>
    </xf>
    <xf numFmtId="0" fontId="46" fillId="6" borderId="1" xfId="0" applyFont="1" applyFill="1" applyBorder="1" applyAlignment="1" applyProtection="1">
      <alignment horizontal="left" vertical="center"/>
    </xf>
    <xf numFmtId="0" fontId="46" fillId="6" borderId="18" xfId="0" applyFont="1" applyFill="1" applyBorder="1" applyProtection="1">
      <alignment vertical="center"/>
    </xf>
    <xf numFmtId="0" fontId="46" fillId="0" borderId="23" xfId="0" applyFont="1" applyBorder="1" applyProtection="1">
      <alignment vertical="center"/>
      <protection locked="0"/>
    </xf>
    <xf numFmtId="0" fontId="46" fillId="0" borderId="1" xfId="0" applyFont="1" applyBorder="1" applyProtection="1">
      <alignment vertical="center"/>
      <protection locked="0"/>
    </xf>
    <xf numFmtId="0" fontId="46" fillId="6" borderId="18" xfId="0" applyFont="1" applyFill="1" applyBorder="1" applyAlignment="1" applyProtection="1">
      <alignment vertical="center"/>
    </xf>
    <xf numFmtId="0" fontId="46" fillId="0" borderId="11" xfId="0" applyFont="1" applyBorder="1" applyProtection="1">
      <alignment vertical="center"/>
      <protection locked="0"/>
    </xf>
    <xf numFmtId="0" fontId="46" fillId="0" borderId="13" xfId="0" applyFont="1" applyBorder="1" applyProtection="1">
      <alignment vertical="center"/>
      <protection locked="0"/>
    </xf>
    <xf numFmtId="0" fontId="48" fillId="6" borderId="3" xfId="0" applyFont="1" applyFill="1" applyBorder="1" applyAlignment="1" applyProtection="1">
      <alignment horizontal="left" vertical="center"/>
    </xf>
    <xf numFmtId="0" fontId="46" fillId="6" borderId="3" xfId="0" applyFont="1" applyFill="1" applyBorder="1" applyAlignment="1" applyProtection="1">
      <alignment horizontal="left" vertical="center"/>
    </xf>
    <xf numFmtId="0" fontId="48" fillId="6" borderId="22" xfId="0" applyFont="1" applyFill="1" applyBorder="1" applyAlignment="1" applyProtection="1">
      <alignment horizontal="left" vertical="center"/>
    </xf>
    <xf numFmtId="0" fontId="46" fillId="6" borderId="42" xfId="0" applyFont="1" applyFill="1" applyBorder="1" applyAlignment="1" applyProtection="1">
      <alignment vertical="center"/>
    </xf>
    <xf numFmtId="0" fontId="46" fillId="6" borderId="33" xfId="0" applyFont="1" applyFill="1" applyBorder="1" applyProtection="1">
      <alignment vertical="center"/>
    </xf>
    <xf numFmtId="176" fontId="46" fillId="0" borderId="0" xfId="0" applyNumberFormat="1" applyFont="1" applyProtection="1">
      <alignment vertical="center"/>
      <protection locked="0"/>
    </xf>
    <xf numFmtId="0" fontId="107" fillId="6" borderId="0" xfId="0" applyFont="1" applyFill="1" applyAlignment="1" applyProtection="1">
      <alignment vertical="center" wrapText="1"/>
    </xf>
    <xf numFmtId="179" fontId="49" fillId="6" borderId="0" xfId="0" applyNumberFormat="1" applyFont="1" applyFill="1" applyAlignment="1" applyProtection="1">
      <alignment vertical="center"/>
      <protection locked="0"/>
    </xf>
    <xf numFmtId="0" fontId="49" fillId="0" borderId="0" xfId="0" applyFont="1" applyAlignment="1" applyProtection="1">
      <alignment vertical="center"/>
      <protection locked="0"/>
    </xf>
    <xf numFmtId="0" fontId="49" fillId="0" borderId="0" xfId="0" applyFont="1" applyAlignment="1" applyProtection="1">
      <alignment vertical="center"/>
    </xf>
    <xf numFmtId="0" fontId="48" fillId="6" borderId="26" xfId="0" applyFont="1" applyFill="1" applyBorder="1" applyAlignment="1" applyProtection="1">
      <alignment vertical="center" wrapText="1"/>
    </xf>
    <xf numFmtId="0" fontId="46" fillId="6" borderId="0" xfId="0" applyFont="1" applyFill="1" applyAlignment="1" applyProtection="1">
      <alignment vertical="center"/>
      <protection locked="0"/>
    </xf>
    <xf numFmtId="179" fontId="46" fillId="6" borderId="0" xfId="0" applyNumberFormat="1" applyFont="1" applyFill="1" applyAlignment="1" applyProtection="1">
      <alignment vertical="center"/>
      <protection locked="0"/>
    </xf>
    <xf numFmtId="0" fontId="46" fillId="0" borderId="0" xfId="0" applyFont="1" applyAlignment="1" applyProtection="1">
      <alignment vertical="center"/>
      <protection locked="0"/>
    </xf>
    <xf numFmtId="0" fontId="46" fillId="6" borderId="0" xfId="0" applyFont="1" applyFill="1" applyAlignment="1" applyProtection="1">
      <alignment vertical="center"/>
    </xf>
    <xf numFmtId="0" fontId="46" fillId="6" borderId="63" xfId="0" applyFont="1" applyFill="1" applyBorder="1" applyAlignment="1" applyProtection="1">
      <alignment vertical="center"/>
    </xf>
    <xf numFmtId="0" fontId="46" fillId="6" borderId="64" xfId="0" applyFont="1" applyFill="1" applyBorder="1" applyAlignment="1" applyProtection="1">
      <alignment vertical="center"/>
    </xf>
    <xf numFmtId="179" fontId="46" fillId="6" borderId="64" xfId="0" applyNumberFormat="1" applyFont="1" applyFill="1" applyBorder="1" applyAlignment="1" applyProtection="1">
      <alignment vertical="center"/>
    </xf>
    <xf numFmtId="0" fontId="46" fillId="6" borderId="65" xfId="0" applyFont="1" applyFill="1" applyBorder="1" applyAlignment="1" applyProtection="1">
      <alignment vertical="center"/>
    </xf>
    <xf numFmtId="0" fontId="46" fillId="6" borderId="63" xfId="0" applyFont="1" applyFill="1" applyBorder="1" applyAlignment="1" applyProtection="1">
      <alignment horizontal="center" vertical="center"/>
    </xf>
    <xf numFmtId="0" fontId="46" fillId="6" borderId="64" xfId="0" applyFont="1" applyFill="1" applyBorder="1" applyAlignment="1" applyProtection="1">
      <alignment horizontal="center" vertical="center"/>
    </xf>
    <xf numFmtId="0" fontId="46" fillId="6" borderId="31" xfId="0" applyFont="1" applyFill="1" applyBorder="1" applyAlignment="1" applyProtection="1">
      <alignment vertical="center"/>
    </xf>
    <xf numFmtId="0" fontId="46" fillId="6" borderId="6" xfId="1" applyFont="1" applyFill="1" applyBorder="1" applyAlignment="1" applyProtection="1">
      <alignment vertical="center" wrapText="1"/>
    </xf>
    <xf numFmtId="0" fontId="46" fillId="6" borderId="9" xfId="1" applyFont="1" applyFill="1" applyBorder="1" applyAlignment="1" applyProtection="1">
      <alignment vertical="center" wrapText="1"/>
    </xf>
    <xf numFmtId="0" fontId="46" fillId="6" borderId="28" xfId="1" applyFont="1" applyFill="1" applyBorder="1" applyAlignment="1" applyProtection="1">
      <alignment vertical="center" wrapText="1"/>
    </xf>
    <xf numFmtId="180" fontId="53" fillId="6" borderId="6" xfId="1" applyNumberFormat="1" applyFont="1" applyFill="1" applyBorder="1" applyAlignment="1" applyProtection="1">
      <alignment horizontal="center" vertical="center" wrapText="1"/>
    </xf>
    <xf numFmtId="179" fontId="46" fillId="6" borderId="9" xfId="0" applyNumberFormat="1" applyFont="1" applyFill="1" applyBorder="1" applyAlignment="1" applyProtection="1">
      <alignment horizontal="center" vertical="center" wrapText="1"/>
    </xf>
    <xf numFmtId="0" fontId="102" fillId="6" borderId="10" xfId="0" applyFont="1" applyFill="1" applyBorder="1" applyAlignment="1" applyProtection="1">
      <alignment horizontal="center" vertical="center" wrapText="1"/>
    </xf>
    <xf numFmtId="177" fontId="46" fillId="6" borderId="6" xfId="1" applyNumberFormat="1" applyFont="1" applyFill="1" applyBorder="1" applyAlignment="1" applyProtection="1">
      <alignment horizontal="center" vertical="center" wrapText="1"/>
    </xf>
    <xf numFmtId="0" fontId="46" fillId="6" borderId="9" xfId="1" applyFont="1" applyFill="1" applyBorder="1" applyAlignment="1" applyProtection="1">
      <alignment horizontal="center" vertical="center" wrapText="1"/>
    </xf>
    <xf numFmtId="179" fontId="46" fillId="6" borderId="9" xfId="1" applyNumberFormat="1" applyFont="1" applyFill="1" applyBorder="1" applyAlignment="1" applyProtection="1">
      <alignment horizontal="center" vertical="center" wrapText="1"/>
    </xf>
    <xf numFmtId="0" fontId="46" fillId="5" borderId="9" xfId="1" applyFont="1" applyFill="1" applyBorder="1" applyAlignment="1" applyProtection="1">
      <alignment horizontal="center" vertical="center" wrapText="1"/>
      <protection locked="0"/>
    </xf>
    <xf numFmtId="0" fontId="46" fillId="6" borderId="28" xfId="1" applyFont="1" applyFill="1" applyBorder="1" applyAlignment="1" applyProtection="1">
      <alignment horizontal="center" vertical="center" wrapText="1"/>
    </xf>
    <xf numFmtId="0" fontId="46" fillId="6" borderId="6" xfId="1" applyFont="1" applyFill="1" applyBorder="1" applyAlignment="1" applyProtection="1">
      <alignment horizontal="center" vertical="center" wrapText="1"/>
    </xf>
    <xf numFmtId="0" fontId="46" fillId="6" borderId="19" xfId="1" applyFont="1" applyFill="1" applyBorder="1" applyAlignment="1" applyProtection="1">
      <alignment horizontal="center" vertical="center" wrapText="1"/>
    </xf>
    <xf numFmtId="0" fontId="46" fillId="6" borderId="62" xfId="1" applyFont="1" applyFill="1" applyBorder="1" applyAlignment="1" applyProtection="1">
      <alignment horizontal="center" vertical="center" wrapText="1"/>
    </xf>
    <xf numFmtId="0" fontId="46" fillId="6" borderId="30" xfId="0" applyFont="1" applyFill="1" applyBorder="1" applyAlignment="1" applyProtection="1">
      <alignment horizontal="center" vertical="center" wrapText="1"/>
    </xf>
    <xf numFmtId="0" fontId="46" fillId="6" borderId="3" xfId="0" applyFont="1" applyFill="1" applyBorder="1" applyAlignment="1" applyProtection="1">
      <alignment horizontal="center" vertical="center" wrapText="1"/>
      <protection locked="0"/>
    </xf>
    <xf numFmtId="0" fontId="46" fillId="6" borderId="1" xfId="1" applyFont="1" applyFill="1" applyBorder="1" applyAlignment="1" applyProtection="1">
      <alignment horizontal="center" vertical="center" wrapText="1"/>
    </xf>
    <xf numFmtId="177" fontId="49" fillId="6" borderId="23" xfId="1" applyNumberFormat="1" applyFont="1" applyFill="1" applyBorder="1" applyAlignment="1" applyProtection="1">
      <alignment horizontal="left" vertical="center"/>
    </xf>
    <xf numFmtId="177" fontId="46" fillId="6" borderId="1" xfId="1" applyNumberFormat="1" applyFont="1" applyFill="1" applyBorder="1" applyAlignment="1" applyProtection="1">
      <alignment vertical="center"/>
    </xf>
    <xf numFmtId="177" fontId="46" fillId="2" borderId="5" xfId="1" applyNumberFormat="1" applyFont="1" applyFill="1" applyBorder="1" applyAlignment="1" applyProtection="1">
      <alignment vertical="center"/>
      <protection locked="0"/>
    </xf>
    <xf numFmtId="0" fontId="102" fillId="2" borderId="3" xfId="0" applyFont="1" applyFill="1" applyBorder="1" applyAlignment="1" applyProtection="1">
      <alignment horizontal="center" vertical="center"/>
      <protection locked="0"/>
    </xf>
    <xf numFmtId="0" fontId="46" fillId="6" borderId="1" xfId="0" applyFont="1" applyFill="1" applyBorder="1" applyAlignment="1" applyProtection="1">
      <alignment horizontal="right" vertical="center"/>
    </xf>
    <xf numFmtId="177" fontId="46" fillId="6" borderId="23" xfId="1" applyNumberFormat="1" applyFont="1" applyFill="1" applyBorder="1" applyAlignment="1" applyProtection="1">
      <alignment horizontal="left" vertical="center" wrapText="1"/>
      <protection locked="0"/>
    </xf>
    <xf numFmtId="177" fontId="46" fillId="6" borderId="5" xfId="1" applyNumberFormat="1" applyFont="1" applyFill="1" applyBorder="1" applyAlignment="1" applyProtection="1">
      <alignment vertical="center"/>
    </xf>
    <xf numFmtId="0" fontId="48" fillId="6" borderId="25" xfId="1" applyFont="1" applyFill="1" applyBorder="1" applyAlignment="1" applyProtection="1">
      <alignment vertical="center" wrapText="1"/>
    </xf>
    <xf numFmtId="0" fontId="48" fillId="6" borderId="25" xfId="1" applyFont="1" applyFill="1" applyBorder="1" applyAlignment="1" applyProtection="1">
      <alignment vertical="center"/>
    </xf>
    <xf numFmtId="0" fontId="54" fillId="6" borderId="0" xfId="0" applyFont="1" applyFill="1" applyAlignment="1" applyProtection="1">
      <alignment vertical="center" wrapText="1"/>
    </xf>
    <xf numFmtId="176" fontId="53" fillId="6" borderId="6" xfId="1" applyNumberFormat="1" applyFont="1" applyFill="1" applyBorder="1" applyAlignment="1" applyProtection="1">
      <alignment vertical="center" wrapText="1"/>
    </xf>
    <xf numFmtId="176" fontId="53" fillId="6" borderId="23" xfId="1" applyNumberFormat="1" applyFont="1" applyFill="1" applyBorder="1" applyAlignment="1" applyProtection="1">
      <alignment vertical="center" wrapText="1"/>
    </xf>
    <xf numFmtId="176" fontId="46" fillId="6" borderId="23" xfId="1" applyNumberFormat="1" applyFont="1" applyFill="1" applyBorder="1" applyAlignment="1" applyProtection="1">
      <alignment vertical="center" wrapText="1"/>
    </xf>
    <xf numFmtId="176" fontId="53" fillId="6" borderId="25" xfId="1" applyNumberFormat="1" applyFont="1" applyFill="1" applyBorder="1" applyAlignment="1" applyProtection="1">
      <alignment vertical="center" wrapText="1"/>
    </xf>
    <xf numFmtId="0" fontId="46" fillId="6" borderId="34" xfId="0" applyFont="1" applyFill="1" applyBorder="1" applyAlignment="1" applyProtection="1">
      <alignment horizontal="center" vertical="center"/>
    </xf>
    <xf numFmtId="0" fontId="46" fillId="6" borderId="6" xfId="0" applyFont="1" applyFill="1" applyBorder="1" applyAlignment="1" applyProtection="1">
      <alignment vertical="center" wrapText="1"/>
    </xf>
    <xf numFmtId="0" fontId="49" fillId="0" borderId="0" xfId="0" applyFont="1" applyFill="1" applyAlignment="1" applyProtection="1">
      <alignment vertical="center"/>
    </xf>
    <xf numFmtId="0" fontId="46" fillId="6" borderId="23" xfId="0" applyFont="1" applyFill="1" applyBorder="1" applyAlignment="1" applyProtection="1">
      <alignment vertical="center" wrapText="1"/>
    </xf>
    <xf numFmtId="0" fontId="46" fillId="6" borderId="25" xfId="0" applyFont="1" applyFill="1" applyBorder="1" applyAlignment="1" applyProtection="1">
      <alignment vertical="center" wrapText="1"/>
    </xf>
    <xf numFmtId="0" fontId="46" fillId="6" borderId="41" xfId="0" applyFont="1" applyFill="1" applyBorder="1" applyAlignment="1" applyProtection="1">
      <alignment vertical="center" wrapText="1"/>
    </xf>
    <xf numFmtId="0" fontId="46" fillId="6" borderId="11" xfId="0" applyFont="1" applyFill="1" applyBorder="1" applyAlignment="1" applyProtection="1">
      <alignment vertical="center" wrapText="1"/>
    </xf>
    <xf numFmtId="0" fontId="46" fillId="6" borderId="11" xfId="0" applyFont="1" applyFill="1" applyBorder="1" applyAlignment="1" applyProtection="1">
      <alignment horizontal="left" vertical="center" wrapText="1"/>
    </xf>
    <xf numFmtId="0" fontId="46" fillId="6" borderId="11" xfId="0" applyFont="1" applyFill="1" applyBorder="1" applyAlignment="1" applyProtection="1">
      <alignment horizontal="right" vertical="center" wrapText="1"/>
    </xf>
    <xf numFmtId="0" fontId="46" fillId="6" borderId="25" xfId="0" applyFont="1" applyFill="1" applyBorder="1" applyAlignment="1" applyProtection="1">
      <alignment horizontal="right" vertical="center" wrapText="1"/>
    </xf>
    <xf numFmtId="0" fontId="46" fillId="6" borderId="14" xfId="0" applyFont="1" applyFill="1" applyBorder="1" applyAlignment="1" applyProtection="1">
      <alignment vertical="center" wrapText="1"/>
    </xf>
    <xf numFmtId="0" fontId="46" fillId="6" borderId="40" xfId="0" applyFont="1" applyFill="1" applyBorder="1" applyAlignment="1" applyProtection="1">
      <alignment vertical="center" wrapText="1"/>
    </xf>
    <xf numFmtId="0" fontId="46" fillId="2" borderId="24" xfId="0" applyFont="1" applyFill="1" applyBorder="1" applyAlignment="1" applyProtection="1">
      <alignment horizontal="center" vertical="center"/>
      <protection locked="0"/>
    </xf>
    <xf numFmtId="0" fontId="46" fillId="0" borderId="23" xfId="0" applyFont="1" applyBorder="1" applyAlignment="1" applyProtection="1">
      <alignment horizontal="right" vertical="center" wrapText="1"/>
      <protection locked="0"/>
    </xf>
    <xf numFmtId="0" fontId="46" fillId="0" borderId="25" xfId="0" applyFont="1" applyBorder="1" applyAlignment="1" applyProtection="1">
      <alignment horizontal="right" vertical="center" wrapText="1"/>
      <protection locked="0"/>
    </xf>
    <xf numFmtId="0" fontId="49" fillId="7" borderId="0" xfId="0" applyFont="1" applyFill="1" applyAlignment="1" applyProtection="1">
      <alignment vertical="center" wrapText="1"/>
      <protection locked="0"/>
    </xf>
    <xf numFmtId="179" fontId="49" fillId="7" borderId="0" xfId="0" applyNumberFormat="1" applyFont="1" applyFill="1" applyAlignment="1" applyProtection="1">
      <alignment vertical="center"/>
      <protection locked="0"/>
    </xf>
    <xf numFmtId="0" fontId="49" fillId="0" borderId="0" xfId="0" applyFont="1" applyAlignment="1" applyProtection="1">
      <alignment vertical="center" wrapText="1"/>
      <protection locked="0"/>
    </xf>
    <xf numFmtId="179" fontId="49" fillId="0" borderId="0" xfId="0" applyNumberFormat="1" applyFont="1" applyAlignment="1" applyProtection="1">
      <alignment vertical="center"/>
      <protection locked="0"/>
    </xf>
    <xf numFmtId="0" fontId="49" fillId="0" borderId="0" xfId="0" applyFont="1" applyAlignment="1" applyProtection="1">
      <alignment vertical="center" wrapText="1"/>
    </xf>
    <xf numFmtId="179" fontId="49" fillId="0" borderId="0" xfId="0" applyNumberFormat="1" applyFont="1" applyAlignment="1" applyProtection="1">
      <alignment vertical="center"/>
    </xf>
    <xf numFmtId="0" fontId="49" fillId="6" borderId="0" xfId="0" applyFont="1" applyFill="1" applyProtection="1">
      <alignment vertical="center"/>
    </xf>
    <xf numFmtId="0" fontId="49" fillId="5" borderId="0" xfId="0" applyFont="1" applyFill="1" applyProtection="1">
      <alignment vertical="center"/>
      <protection locked="0"/>
    </xf>
    <xf numFmtId="0" fontId="63" fillId="6" borderId="13" xfId="0" applyFont="1" applyFill="1" applyBorder="1" applyProtection="1">
      <alignment vertical="center"/>
    </xf>
    <xf numFmtId="0" fontId="63" fillId="6" borderId="13" xfId="0" applyNumberFormat="1" applyFont="1" applyFill="1" applyBorder="1" applyProtection="1">
      <alignment vertical="center"/>
    </xf>
    <xf numFmtId="0" fontId="63" fillId="5" borderId="13" xfId="0" applyFont="1" applyFill="1" applyBorder="1" applyAlignment="1" applyProtection="1">
      <alignment horizontal="center" vertical="center"/>
      <protection locked="0"/>
    </xf>
    <xf numFmtId="0" fontId="49" fillId="7" borderId="0" xfId="0" applyFont="1" applyFill="1" applyProtection="1">
      <alignment vertical="center"/>
    </xf>
    <xf numFmtId="0" fontId="49" fillId="0" borderId="0" xfId="0" applyFont="1" applyProtection="1">
      <alignment vertical="center"/>
    </xf>
    <xf numFmtId="0" fontId="46" fillId="6" borderId="13" xfId="0" applyFont="1" applyFill="1" applyBorder="1" applyAlignment="1" applyProtection="1">
      <alignment vertical="center" wrapText="1"/>
    </xf>
    <xf numFmtId="0" fontId="46" fillId="6" borderId="13" xfId="0" applyFont="1" applyFill="1" applyBorder="1" applyAlignment="1" applyProtection="1">
      <alignment horizontal="center" vertical="center" wrapText="1"/>
    </xf>
    <xf numFmtId="0" fontId="102" fillId="2" borderId="13" xfId="0" applyFont="1" applyFill="1" applyBorder="1" applyAlignment="1" applyProtection="1">
      <alignment horizontal="center" vertical="center"/>
      <protection locked="0"/>
    </xf>
    <xf numFmtId="0" fontId="49" fillId="6" borderId="54" xfId="0" applyFont="1" applyFill="1" applyBorder="1" applyAlignment="1" applyProtection="1">
      <alignment vertical="center" wrapText="1"/>
    </xf>
    <xf numFmtId="0" fontId="48" fillId="6" borderId="5" xfId="0" applyFont="1" applyFill="1" applyBorder="1" applyAlignment="1" applyProtection="1">
      <alignment horizontal="right" vertical="center"/>
    </xf>
    <xf numFmtId="0" fontId="48" fillId="6" borderId="58" xfId="0" applyFont="1" applyFill="1" applyBorder="1" applyAlignment="1" applyProtection="1">
      <alignment horizontal="right" vertical="center"/>
    </xf>
    <xf numFmtId="0" fontId="46" fillId="6" borderId="0" xfId="0" applyFont="1" applyFill="1" applyProtection="1">
      <alignment vertical="center"/>
    </xf>
    <xf numFmtId="0" fontId="48" fillId="6" borderId="16" xfId="0" applyFont="1" applyFill="1" applyBorder="1" applyAlignment="1" applyProtection="1">
      <alignment vertical="center"/>
    </xf>
    <xf numFmtId="0" fontId="46" fillId="6" borderId="9" xfId="0" applyFont="1" applyFill="1" applyBorder="1" applyAlignment="1" applyProtection="1">
      <alignment vertical="center"/>
    </xf>
    <xf numFmtId="0" fontId="49" fillId="6" borderId="21" xfId="0" applyFont="1" applyFill="1" applyBorder="1" applyAlignment="1" applyProtection="1">
      <alignment vertical="center"/>
    </xf>
    <xf numFmtId="0" fontId="48" fillId="6" borderId="18" xfId="0" applyFont="1" applyFill="1" applyBorder="1" applyAlignment="1" applyProtection="1">
      <alignment vertical="center"/>
    </xf>
    <xf numFmtId="0" fontId="46" fillId="6" borderId="32" xfId="0" applyFont="1" applyFill="1" applyBorder="1" applyProtection="1">
      <alignment vertical="center"/>
    </xf>
    <xf numFmtId="0" fontId="49" fillId="6" borderId="68" xfId="0" applyFont="1" applyFill="1" applyBorder="1" applyAlignment="1" applyProtection="1">
      <alignment vertical="center"/>
    </xf>
    <xf numFmtId="0" fontId="46" fillId="6" borderId="70" xfId="0" applyFont="1" applyFill="1" applyBorder="1" applyProtection="1">
      <alignment vertical="center"/>
    </xf>
    <xf numFmtId="0" fontId="46" fillId="6" borderId="34" xfId="0" applyFont="1" applyFill="1" applyBorder="1" applyProtection="1">
      <alignment vertical="center"/>
    </xf>
    <xf numFmtId="0" fontId="46" fillId="6" borderId="21" xfId="0" applyFont="1" applyFill="1" applyBorder="1" applyAlignment="1" applyProtection="1">
      <alignment horizontal="center" vertical="center"/>
    </xf>
    <xf numFmtId="0" fontId="46" fillId="6" borderId="48" xfId="0" applyFont="1" applyFill="1" applyBorder="1" applyAlignment="1" applyProtection="1">
      <alignment horizontal="center" vertical="center"/>
    </xf>
    <xf numFmtId="0" fontId="104" fillId="0" borderId="23" xfId="0" applyFont="1" applyBorder="1" applyAlignment="1" applyProtection="1">
      <alignment horizontal="center" vertical="center"/>
      <protection locked="0"/>
    </xf>
    <xf numFmtId="0" fontId="49" fillId="0" borderId="0" xfId="0" applyFont="1" applyFill="1" applyProtection="1">
      <alignment vertical="center"/>
    </xf>
    <xf numFmtId="0" fontId="48" fillId="6" borderId="16" xfId="0" applyFont="1" applyFill="1" applyBorder="1" applyAlignment="1" applyProtection="1">
      <alignment horizontal="left" vertical="center"/>
    </xf>
    <xf numFmtId="0" fontId="46" fillId="6" borderId="19" xfId="0" applyFont="1" applyFill="1" applyBorder="1" applyProtection="1">
      <alignment vertical="center"/>
    </xf>
    <xf numFmtId="0" fontId="48" fillId="5" borderId="62" xfId="0" applyFont="1" applyFill="1" applyBorder="1" applyAlignment="1" applyProtection="1">
      <alignment horizontal="right" vertical="center"/>
      <protection locked="0"/>
    </xf>
    <xf numFmtId="0" fontId="49" fillId="6" borderId="5" xfId="0" applyFont="1" applyFill="1" applyBorder="1" applyProtection="1">
      <alignment vertical="center"/>
    </xf>
    <xf numFmtId="0" fontId="48" fillId="5" borderId="1" xfId="0" applyFont="1" applyFill="1" applyBorder="1" applyAlignment="1" applyProtection="1">
      <alignment horizontal="center" vertical="center"/>
      <protection locked="0"/>
    </xf>
    <xf numFmtId="0" fontId="217" fillId="2" borderId="24" xfId="0" applyFont="1" applyFill="1" applyBorder="1" applyAlignment="1" applyProtection="1">
      <alignment horizontal="center" vertical="center"/>
      <protection locked="0"/>
    </xf>
    <xf numFmtId="0" fontId="49" fillId="6" borderId="30" xfId="0" applyFont="1" applyFill="1" applyBorder="1" applyProtection="1">
      <alignment vertical="center"/>
    </xf>
    <xf numFmtId="0" fontId="49" fillId="6" borderId="10" xfId="0" applyFont="1" applyFill="1" applyBorder="1" applyAlignment="1" applyProtection="1">
      <alignment horizontal="center" vertical="center"/>
    </xf>
    <xf numFmtId="0" fontId="48" fillId="6" borderId="69" xfId="0" applyFont="1" applyFill="1" applyBorder="1" applyAlignment="1" applyProtection="1">
      <alignment horizontal="left" vertical="center"/>
    </xf>
    <xf numFmtId="0" fontId="46" fillId="6" borderId="7" xfId="0" applyFont="1" applyFill="1" applyBorder="1" applyAlignment="1" applyProtection="1">
      <alignment horizontal="right" vertical="center"/>
    </xf>
    <xf numFmtId="0" fontId="49" fillId="6" borderId="3" xfId="0" applyFont="1" applyFill="1" applyBorder="1" applyProtection="1">
      <alignment vertical="center"/>
    </xf>
    <xf numFmtId="0" fontId="48" fillId="6" borderId="38" xfId="0" applyFont="1" applyFill="1" applyBorder="1" applyAlignment="1" applyProtection="1">
      <alignment horizontal="left" vertical="center"/>
    </xf>
    <xf numFmtId="0" fontId="46" fillId="6" borderId="66" xfId="0" applyFont="1" applyFill="1" applyBorder="1" applyAlignment="1" applyProtection="1">
      <alignment horizontal="right" vertical="center"/>
    </xf>
    <xf numFmtId="0" fontId="49" fillId="6" borderId="66" xfId="0" applyFont="1" applyFill="1" applyBorder="1" applyProtection="1">
      <alignment vertical="center"/>
    </xf>
    <xf numFmtId="0" fontId="46" fillId="6" borderId="30" xfId="0" applyFont="1" applyFill="1" applyBorder="1" applyAlignment="1" applyProtection="1">
      <alignment horizontal="left" vertical="center"/>
    </xf>
    <xf numFmtId="0" fontId="46" fillId="5" borderId="63" xfId="0" applyFont="1" applyFill="1" applyBorder="1" applyProtection="1">
      <alignment vertical="center"/>
      <protection locked="0"/>
    </xf>
    <xf numFmtId="0" fontId="46" fillId="6" borderId="65" xfId="0" applyFont="1" applyFill="1" applyBorder="1" applyProtection="1">
      <alignment vertical="center"/>
    </xf>
    <xf numFmtId="0" fontId="46" fillId="6" borderId="0" xfId="0" applyFont="1" applyFill="1" applyBorder="1" applyAlignment="1" applyProtection="1">
      <alignment horizontal="left" vertical="center"/>
      <protection locked="0"/>
    </xf>
    <xf numFmtId="0" fontId="46" fillId="6" borderId="66" xfId="0" applyFont="1" applyFill="1" applyBorder="1" applyAlignment="1" applyProtection="1">
      <alignment horizontal="left" vertical="center"/>
    </xf>
    <xf numFmtId="0" fontId="46" fillId="0" borderId="65" xfId="0" applyFont="1" applyFill="1" applyBorder="1" applyProtection="1">
      <alignment vertical="center"/>
      <protection locked="0"/>
    </xf>
    <xf numFmtId="0" fontId="104" fillId="0" borderId="6" xfId="0" applyFont="1" applyFill="1" applyBorder="1" applyAlignment="1" applyProtection="1">
      <alignment horizontal="center" vertical="center"/>
      <protection locked="0"/>
    </xf>
    <xf numFmtId="0" fontId="104" fillId="0" borderId="9" xfId="0" applyFont="1" applyFill="1" applyBorder="1" applyAlignment="1" applyProtection="1">
      <alignment horizontal="center" vertical="center"/>
      <protection locked="0"/>
    </xf>
    <xf numFmtId="0" fontId="104" fillId="0" borderId="10" xfId="0" applyFont="1" applyFill="1" applyBorder="1" applyAlignment="1" applyProtection="1">
      <alignment horizontal="center" vertical="center"/>
      <protection locked="0"/>
    </xf>
    <xf numFmtId="0" fontId="49" fillId="6" borderId="18" xfId="0" applyFont="1" applyFill="1" applyBorder="1" applyProtection="1">
      <alignment vertical="center"/>
    </xf>
    <xf numFmtId="0" fontId="49" fillId="6" borderId="42" xfId="0" applyFont="1" applyFill="1" applyBorder="1" applyProtection="1">
      <alignment vertical="center"/>
    </xf>
    <xf numFmtId="0" fontId="118" fillId="6" borderId="0" xfId="0" applyFont="1" applyFill="1" applyBorder="1" applyAlignment="1" applyProtection="1">
      <alignment horizontal="center" vertical="center"/>
    </xf>
    <xf numFmtId="0" fontId="118" fillId="6" borderId="0" xfId="0" applyFont="1" applyFill="1" applyProtection="1">
      <alignment vertical="center"/>
    </xf>
    <xf numFmtId="0" fontId="107" fillId="6" borderId="0" xfId="0" applyFont="1" applyFill="1" applyBorder="1" applyAlignment="1" applyProtection="1">
      <alignment horizontal="left" vertical="center"/>
    </xf>
    <xf numFmtId="0" fontId="218" fillId="6" borderId="0" xfId="0" applyFont="1" applyFill="1" applyBorder="1" applyAlignment="1" applyProtection="1">
      <alignment horizontal="left" vertical="center"/>
    </xf>
    <xf numFmtId="0" fontId="238" fillId="6" borderId="0" xfId="0" applyFont="1" applyFill="1" applyBorder="1" applyAlignment="1" applyProtection="1">
      <alignment vertical="center"/>
    </xf>
    <xf numFmtId="0" fontId="238" fillId="6" borderId="0" xfId="0" applyFont="1" applyFill="1" applyBorder="1" applyAlignment="1" applyProtection="1">
      <alignment horizontal="center" vertical="center"/>
    </xf>
    <xf numFmtId="0" fontId="106" fillId="6" borderId="0" xfId="0" applyFont="1" applyFill="1" applyBorder="1" applyAlignment="1" applyProtection="1">
      <alignment horizontal="left" vertical="center"/>
    </xf>
    <xf numFmtId="0" fontId="102" fillId="6" borderId="0" xfId="0" applyFont="1" applyFill="1" applyBorder="1" applyProtection="1">
      <alignment vertical="center"/>
    </xf>
    <xf numFmtId="9" fontId="49" fillId="6" borderId="0" xfId="0" applyNumberFormat="1" applyFont="1" applyFill="1" applyAlignment="1" applyProtection="1">
      <alignment horizontal="center" vertical="center"/>
      <protection locked="0"/>
    </xf>
    <xf numFmtId="10" fontId="49" fillId="6" borderId="0" xfId="0" applyNumberFormat="1" applyFont="1" applyFill="1" applyAlignment="1" applyProtection="1">
      <alignment horizontal="center" vertical="center"/>
      <protection locked="0"/>
    </xf>
    <xf numFmtId="0" fontId="49" fillId="6" borderId="0" xfId="0" applyFont="1" applyFill="1" applyBorder="1" applyAlignment="1" applyProtection="1">
      <alignment horizontal="center" vertical="center" wrapText="1"/>
      <protection locked="0"/>
    </xf>
    <xf numFmtId="0" fontId="49" fillId="6" borderId="0" xfId="0" applyFont="1" applyFill="1" applyBorder="1" applyAlignment="1" applyProtection="1">
      <alignment horizontal="left" vertical="center" wrapText="1"/>
    </xf>
    <xf numFmtId="0" fontId="49" fillId="6" borderId="0" xfId="0" applyFont="1" applyFill="1" applyBorder="1" applyAlignment="1" applyProtection="1">
      <alignment horizontal="center" vertical="center"/>
      <protection locked="0"/>
    </xf>
    <xf numFmtId="49" fontId="54" fillId="6" borderId="18" xfId="0" applyNumberFormat="1" applyFont="1" applyFill="1" applyBorder="1" applyAlignment="1" applyProtection="1">
      <alignment horizontal="left" vertical="center" wrapText="1"/>
    </xf>
    <xf numFmtId="0" fontId="56" fillId="6" borderId="0" xfId="0" applyFont="1" applyFill="1" applyBorder="1" applyAlignment="1" applyProtection="1">
      <alignment horizontal="left" vertical="center" wrapText="1"/>
    </xf>
    <xf numFmtId="177" fontId="56" fillId="6" borderId="0" xfId="0" applyNumberFormat="1" applyFont="1" applyFill="1" applyBorder="1" applyAlignment="1" applyProtection="1">
      <alignment horizontal="center" vertical="center" wrapText="1"/>
    </xf>
    <xf numFmtId="10" fontId="55" fillId="6" borderId="0" xfId="0" applyNumberFormat="1" applyFont="1" applyFill="1" applyBorder="1" applyAlignment="1" applyProtection="1">
      <alignment horizontal="center" vertical="center" wrapText="1"/>
    </xf>
    <xf numFmtId="0" fontId="49" fillId="6" borderId="0" xfId="0" applyFont="1" applyFill="1" applyBorder="1" applyAlignment="1" applyProtection="1">
      <alignment horizontal="left" vertical="center"/>
    </xf>
    <xf numFmtId="0" fontId="49" fillId="6" borderId="0" xfId="2" applyFont="1" applyFill="1" applyBorder="1" applyAlignment="1" applyProtection="1">
      <alignment horizontal="left" vertical="center" wrapText="1"/>
    </xf>
    <xf numFmtId="0" fontId="102" fillId="0" borderId="0" xfId="0" applyFont="1" applyFill="1" applyProtection="1">
      <alignment vertical="center"/>
    </xf>
    <xf numFmtId="0" fontId="102" fillId="7" borderId="0" xfId="0" applyFont="1" applyFill="1" applyProtection="1">
      <alignment vertical="center"/>
      <protection locked="0"/>
    </xf>
    <xf numFmtId="0" fontId="102" fillId="7" borderId="0" xfId="0" applyFont="1" applyFill="1" applyProtection="1">
      <alignment vertical="center"/>
    </xf>
    <xf numFmtId="0" fontId="102" fillId="6" borderId="0" xfId="2" applyFont="1" applyFill="1" applyAlignment="1" applyProtection="1">
      <alignment vertical="center" wrapText="1"/>
      <protection locked="0"/>
    </xf>
    <xf numFmtId="0" fontId="102" fillId="6" borderId="0" xfId="0" applyFont="1" applyFill="1" applyProtection="1">
      <alignment vertical="center"/>
      <protection locked="0"/>
    </xf>
    <xf numFmtId="0" fontId="49" fillId="2" borderId="54" xfId="0" applyFont="1" applyFill="1" applyBorder="1" applyAlignment="1" applyProtection="1">
      <alignment horizontal="left" vertical="center" wrapText="1"/>
      <protection locked="0"/>
    </xf>
    <xf numFmtId="0" fontId="102" fillId="6" borderId="0" xfId="2" applyFont="1" applyFill="1" applyProtection="1">
      <protection locked="0"/>
    </xf>
    <xf numFmtId="10" fontId="49" fillId="2" borderId="48" xfId="0" applyNumberFormat="1" applyFont="1" applyFill="1" applyBorder="1" applyAlignment="1" applyProtection="1">
      <alignment horizontal="left" vertical="center" wrapText="1"/>
      <protection locked="0"/>
    </xf>
    <xf numFmtId="10" fontId="49" fillId="5" borderId="48" xfId="0" applyNumberFormat="1" applyFont="1" applyFill="1" applyBorder="1" applyAlignment="1" applyProtection="1">
      <alignment horizontal="left" vertical="center" wrapText="1"/>
      <protection locked="0"/>
    </xf>
    <xf numFmtId="0" fontId="102" fillId="0" borderId="23" xfId="0" applyFont="1" applyFill="1" applyBorder="1" applyProtection="1">
      <alignment vertical="center"/>
      <protection locked="0"/>
    </xf>
    <xf numFmtId="0" fontId="131" fillId="6" borderId="1" xfId="0" applyFont="1" applyFill="1" applyBorder="1" applyAlignment="1" applyProtection="1">
      <alignment vertical="center" wrapText="1"/>
    </xf>
    <xf numFmtId="0" fontId="108" fillId="6" borderId="1" xfId="0" applyFont="1" applyFill="1" applyBorder="1" applyAlignment="1" applyProtection="1">
      <alignment vertical="center" wrapText="1"/>
    </xf>
    <xf numFmtId="0" fontId="46" fillId="6" borderId="23" xfId="0" applyFont="1" applyFill="1" applyBorder="1" applyAlignment="1" applyProtection="1">
      <alignment horizontal="left" vertical="center"/>
    </xf>
    <xf numFmtId="0" fontId="131" fillId="6" borderId="32" xfId="0" applyFont="1" applyFill="1" applyBorder="1" applyAlignment="1" applyProtection="1">
      <alignment vertical="center" wrapText="1"/>
    </xf>
    <xf numFmtId="0" fontId="137" fillId="0" borderId="46" xfId="0" applyFont="1" applyBorder="1" applyAlignment="1" applyProtection="1">
      <alignment horizontal="left" vertical="center"/>
    </xf>
    <xf numFmtId="0" fontId="49" fillId="0" borderId="36" xfId="0" applyFont="1" applyBorder="1" applyAlignment="1" applyProtection="1">
      <alignment horizontal="left" vertical="center" wrapText="1"/>
    </xf>
    <xf numFmtId="0" fontId="58" fillId="5" borderId="36" xfId="0" applyFont="1" applyFill="1" applyBorder="1" applyAlignment="1" applyProtection="1">
      <alignment horizontal="left" vertical="center" wrapText="1"/>
      <protection locked="0"/>
    </xf>
    <xf numFmtId="0" fontId="49" fillId="7" borderId="36" xfId="0" applyFont="1" applyFill="1" applyBorder="1" applyAlignment="1" applyProtection="1">
      <alignment horizontal="center" vertical="center" wrapText="1"/>
    </xf>
    <xf numFmtId="0" fontId="49" fillId="7" borderId="36" xfId="0" applyFont="1" applyFill="1" applyBorder="1" applyAlignment="1" applyProtection="1">
      <alignment horizontal="center" vertical="center"/>
    </xf>
    <xf numFmtId="0" fontId="49" fillId="7" borderId="22" xfId="0" applyFont="1" applyFill="1" applyBorder="1" applyProtection="1">
      <alignment vertical="center"/>
    </xf>
    <xf numFmtId="0" fontId="49" fillId="7" borderId="58" xfId="0" applyFont="1" applyFill="1" applyBorder="1" applyAlignment="1" applyProtection="1">
      <alignment horizontal="left" vertical="center" wrapText="1"/>
      <protection locked="0"/>
    </xf>
    <xf numFmtId="0" fontId="49" fillId="7" borderId="0" xfId="0" applyFont="1" applyFill="1" applyBorder="1" applyAlignment="1" applyProtection="1">
      <alignment horizontal="left" vertical="center" wrapText="1"/>
      <protection locked="0"/>
    </xf>
    <xf numFmtId="0" fontId="49" fillId="7" borderId="0" xfId="0" applyFont="1" applyFill="1" applyBorder="1" applyAlignment="1" applyProtection="1">
      <alignment horizontal="center" vertical="center" wrapText="1"/>
      <protection locked="0"/>
    </xf>
    <xf numFmtId="0" fontId="49" fillId="7" borderId="0" xfId="0" applyFont="1" applyFill="1" applyBorder="1" applyAlignment="1" applyProtection="1">
      <alignment horizontal="center" vertical="center"/>
      <protection locked="0"/>
    </xf>
    <xf numFmtId="0" fontId="49" fillId="7" borderId="35" xfId="0" applyFont="1" applyFill="1" applyBorder="1" applyProtection="1">
      <alignment vertical="center"/>
      <protection locked="0"/>
    </xf>
    <xf numFmtId="0" fontId="49" fillId="7" borderId="4" xfId="0" applyFont="1" applyFill="1" applyBorder="1" applyAlignment="1" applyProtection="1">
      <alignment horizontal="left" vertical="center" wrapText="1"/>
      <protection locked="0"/>
    </xf>
    <xf numFmtId="0" fontId="49" fillId="7" borderId="60" xfId="0" applyFont="1" applyFill="1" applyBorder="1" applyAlignment="1" applyProtection="1">
      <alignment horizontal="left" vertical="center" wrapText="1"/>
      <protection locked="0"/>
    </xf>
    <xf numFmtId="0" fontId="49" fillId="7" borderId="60" xfId="0" applyFont="1" applyFill="1" applyBorder="1" applyAlignment="1" applyProtection="1">
      <alignment horizontal="center" vertical="center" wrapText="1"/>
      <protection locked="0"/>
    </xf>
    <xf numFmtId="0" fontId="49" fillId="7" borderId="60" xfId="0" applyFont="1" applyFill="1" applyBorder="1" applyAlignment="1" applyProtection="1">
      <alignment horizontal="center" vertical="center"/>
      <protection locked="0"/>
    </xf>
    <xf numFmtId="0" fontId="49" fillId="7" borderId="7" xfId="0" applyFont="1" applyFill="1" applyBorder="1" applyProtection="1">
      <alignment vertical="center"/>
      <protection locked="0"/>
    </xf>
    <xf numFmtId="0" fontId="54" fillId="7" borderId="60" xfId="0" applyFont="1" applyFill="1" applyBorder="1" applyAlignment="1" applyProtection="1">
      <alignment horizontal="left" vertical="center"/>
      <protection locked="0"/>
    </xf>
    <xf numFmtId="0" fontId="49" fillId="7" borderId="60" xfId="0" applyFont="1" applyFill="1" applyBorder="1" applyProtection="1">
      <alignment vertical="center"/>
      <protection locked="0"/>
    </xf>
    <xf numFmtId="0" fontId="49" fillId="7" borderId="60" xfId="0" applyFont="1" applyFill="1" applyBorder="1" applyAlignment="1" applyProtection="1">
      <alignment horizontal="right" vertical="center"/>
      <protection locked="0"/>
    </xf>
    <xf numFmtId="0" fontId="54" fillId="7" borderId="0" xfId="0" applyFont="1" applyFill="1" applyAlignment="1" applyProtection="1">
      <alignment horizontal="left" vertical="center"/>
      <protection locked="0"/>
    </xf>
    <xf numFmtId="2" fontId="49" fillId="7" borderId="0" xfId="0" applyNumberFormat="1" applyFont="1" applyFill="1" applyAlignment="1" applyProtection="1">
      <alignment vertical="center" wrapText="1"/>
      <protection locked="0"/>
    </xf>
    <xf numFmtId="0" fontId="54" fillId="7" borderId="0" xfId="0" applyFont="1" applyFill="1" applyAlignment="1" applyProtection="1">
      <alignment vertical="center" wrapText="1"/>
      <protection locked="0"/>
    </xf>
    <xf numFmtId="0" fontId="56" fillId="5" borderId="5" xfId="1" applyFont="1" applyFill="1" applyBorder="1" applyAlignment="1" applyProtection="1">
      <alignment vertical="center"/>
      <protection locked="0"/>
    </xf>
    <xf numFmtId="0" fontId="59" fillId="6" borderId="3" xfId="1" applyFont="1" applyFill="1" applyBorder="1" applyAlignment="1" applyProtection="1">
      <alignment vertical="center"/>
    </xf>
    <xf numFmtId="0" fontId="59" fillId="5" borderId="1" xfId="1" applyFont="1" applyFill="1" applyBorder="1" applyAlignment="1" applyProtection="1">
      <alignment vertical="center"/>
      <protection locked="0"/>
    </xf>
    <xf numFmtId="0" fontId="56" fillId="5" borderId="24" xfId="1" applyFont="1" applyFill="1" applyBorder="1" applyAlignment="1" applyProtection="1">
      <alignment horizontal="left" vertical="center"/>
      <protection locked="0"/>
    </xf>
    <xf numFmtId="0" fontId="137" fillId="6" borderId="19" xfId="1" applyFont="1" applyFill="1" applyBorder="1" applyAlignment="1" applyProtection="1">
      <alignment vertical="center"/>
    </xf>
    <xf numFmtId="186" fontId="49" fillId="5" borderId="1" xfId="0" applyNumberFormat="1" applyFont="1" applyFill="1" applyBorder="1" applyAlignment="1" applyProtection="1">
      <alignment horizontal="center" vertical="center" wrapText="1"/>
      <protection locked="0"/>
    </xf>
    <xf numFmtId="49" fontId="49" fillId="6" borderId="11" xfId="0" applyNumberFormat="1" applyFont="1" applyFill="1" applyBorder="1" applyAlignment="1" applyProtection="1">
      <alignment horizontal="center" vertical="center"/>
    </xf>
    <xf numFmtId="0" fontId="145" fillId="5" borderId="5" xfId="1" applyFont="1" applyFill="1" applyBorder="1" applyAlignment="1" applyProtection="1">
      <alignment horizontal="right" vertical="center"/>
      <protection locked="0"/>
    </xf>
    <xf numFmtId="0" fontId="54" fillId="6" borderId="54" xfId="0" applyFont="1" applyFill="1" applyBorder="1" applyAlignment="1" applyProtection="1">
      <alignment vertical="center"/>
    </xf>
    <xf numFmtId="0" fontId="49" fillId="6" borderId="5" xfId="0" applyFont="1" applyFill="1" applyBorder="1" applyAlignment="1" applyProtection="1"/>
    <xf numFmtId="0" fontId="48" fillId="6" borderId="1" xfId="1" applyFont="1" applyFill="1" applyBorder="1" applyAlignment="1" applyProtection="1">
      <alignment vertical="center" wrapText="1"/>
    </xf>
    <xf numFmtId="49" fontId="49" fillId="6" borderId="25" xfId="0" applyNumberFormat="1" applyFont="1" applyFill="1" applyBorder="1" applyAlignment="1" applyProtection="1">
      <alignment horizontal="center" vertical="center"/>
    </xf>
    <xf numFmtId="49" fontId="105" fillId="6" borderId="51" xfId="0" applyNumberFormat="1" applyFont="1" applyFill="1" applyBorder="1" applyAlignment="1" applyProtection="1"/>
    <xf numFmtId="0" fontId="102" fillId="6" borderId="19" xfId="0" applyFont="1" applyFill="1" applyBorder="1">
      <alignment vertical="center"/>
    </xf>
    <xf numFmtId="0" fontId="102" fillId="6" borderId="31" xfId="0" applyFont="1" applyFill="1" applyBorder="1">
      <alignment vertical="center"/>
    </xf>
    <xf numFmtId="0" fontId="59" fillId="6" borderId="23" xfId="1" applyFont="1" applyFill="1" applyBorder="1" applyAlignment="1" applyProtection="1">
      <alignment vertical="center"/>
    </xf>
    <xf numFmtId="0" fontId="102" fillId="6" borderId="5" xfId="0" applyFont="1" applyFill="1" applyBorder="1">
      <alignment vertical="center"/>
    </xf>
    <xf numFmtId="0" fontId="102" fillId="6" borderId="3" xfId="0" applyFont="1" applyFill="1" applyBorder="1">
      <alignment vertical="center"/>
    </xf>
    <xf numFmtId="0" fontId="217" fillId="6" borderId="1" xfId="0" applyFont="1" applyFill="1" applyBorder="1">
      <alignment vertical="center"/>
    </xf>
    <xf numFmtId="0" fontId="217" fillId="6" borderId="5" xfId="0" applyFont="1" applyFill="1" applyBorder="1" applyAlignment="1" applyProtection="1">
      <alignment horizontal="center" vertical="center"/>
    </xf>
    <xf numFmtId="0" fontId="102" fillId="6" borderId="1" xfId="0" applyFont="1" applyFill="1" applyBorder="1" applyAlignment="1">
      <alignment horizontal="center" vertical="center"/>
    </xf>
    <xf numFmtId="0" fontId="102" fillId="5" borderId="1" xfId="0" applyFont="1" applyFill="1" applyBorder="1" applyAlignment="1" applyProtection="1">
      <alignment horizontal="center" vertical="center"/>
      <protection locked="0"/>
    </xf>
    <xf numFmtId="0" fontId="102" fillId="6" borderId="66" xfId="0" applyFont="1" applyFill="1" applyBorder="1">
      <alignment vertical="center"/>
    </xf>
    <xf numFmtId="0" fontId="64" fillId="6" borderId="85" xfId="0" applyFont="1" applyFill="1" applyBorder="1" applyAlignment="1" applyProtection="1">
      <alignment horizontal="right" vertical="center"/>
    </xf>
    <xf numFmtId="0" fontId="64" fillId="5" borderId="78" xfId="0" applyFont="1" applyFill="1" applyBorder="1" applyAlignment="1" applyProtection="1">
      <alignment horizontal="center" vertical="center"/>
      <protection locked="0"/>
    </xf>
    <xf numFmtId="0" fontId="64" fillId="6" borderId="89" xfId="0" applyFont="1" applyFill="1" applyBorder="1" applyAlignment="1" applyProtection="1">
      <alignment horizontal="center" vertical="center"/>
    </xf>
    <xf numFmtId="0" fontId="56" fillId="5" borderId="4" xfId="1" applyFont="1" applyFill="1" applyBorder="1" applyAlignment="1" applyProtection="1">
      <alignment vertical="center"/>
      <protection locked="0"/>
    </xf>
    <xf numFmtId="0" fontId="59" fillId="6" borderId="7" xfId="1" applyFont="1" applyFill="1" applyBorder="1" applyAlignment="1" applyProtection="1">
      <alignment vertical="center"/>
      <protection locked="0"/>
    </xf>
    <xf numFmtId="0" fontId="59" fillId="5" borderId="2" xfId="1" applyFont="1" applyFill="1" applyBorder="1" applyAlignment="1" applyProtection="1">
      <alignment vertical="center"/>
      <protection locked="0"/>
    </xf>
    <xf numFmtId="189" fontId="59" fillId="6" borderId="0" xfId="0" applyNumberFormat="1" applyFont="1" applyFill="1" applyBorder="1" applyAlignment="1" applyProtection="1">
      <alignment horizontal="center" vertical="center"/>
      <protection locked="0"/>
    </xf>
    <xf numFmtId="0" fontId="59" fillId="6" borderId="18" xfId="0" applyFont="1" applyFill="1" applyBorder="1" applyAlignment="1" applyProtection="1">
      <alignment horizontal="center" vertical="center"/>
    </xf>
    <xf numFmtId="0" fontId="59" fillId="6" borderId="0" xfId="0" applyFont="1" applyFill="1" applyBorder="1" applyAlignment="1" applyProtection="1">
      <alignment horizontal="center" vertical="center"/>
    </xf>
    <xf numFmtId="0" fontId="60" fillId="6" borderId="0" xfId="0" applyFont="1" applyFill="1" applyBorder="1" applyAlignment="1" applyProtection="1">
      <alignment horizontal="center" vertical="center"/>
    </xf>
    <xf numFmtId="0" fontId="243" fillId="6" borderId="0" xfId="0" applyFont="1" applyFill="1" applyBorder="1" applyAlignment="1" applyProtection="1">
      <alignment vertical="center"/>
      <protection locked="0"/>
    </xf>
    <xf numFmtId="189" fontId="46" fillId="6" borderId="21" xfId="0" applyNumberFormat="1" applyFont="1" applyFill="1" applyBorder="1" applyAlignment="1" applyProtection="1">
      <alignment horizontal="center" vertical="center" wrapText="1"/>
    </xf>
    <xf numFmtId="189" fontId="46" fillId="6" borderId="48" xfId="0" applyNumberFormat="1" applyFont="1" applyFill="1" applyBorder="1" applyAlignment="1" applyProtection="1">
      <alignment horizontal="center" vertical="center" wrapText="1"/>
    </xf>
    <xf numFmtId="0" fontId="46" fillId="6" borderId="48" xfId="0" applyNumberFormat="1" applyFont="1" applyFill="1" applyBorder="1" applyAlignment="1" applyProtection="1">
      <alignment horizontal="center" vertical="center" wrapText="1"/>
    </xf>
    <xf numFmtId="49" fontId="46" fillId="2" borderId="70" xfId="0" applyNumberFormat="1" applyFont="1" applyFill="1" applyBorder="1" applyAlignment="1" applyProtection="1">
      <alignment horizontal="center" vertical="center" wrapText="1"/>
      <protection locked="0"/>
    </xf>
    <xf numFmtId="0" fontId="46" fillId="0" borderId="46" xfId="0" applyFont="1" applyFill="1" applyBorder="1" applyAlignment="1" applyProtection="1">
      <alignment horizontal="center" vertical="center" wrapText="1"/>
      <protection locked="0"/>
    </xf>
    <xf numFmtId="0" fontId="60" fillId="6" borderId="48" xfId="0" applyNumberFormat="1" applyFont="1" applyFill="1" applyBorder="1" applyAlignment="1" applyProtection="1">
      <alignment horizontal="center" vertical="center" wrapText="1"/>
    </xf>
    <xf numFmtId="0" fontId="46" fillId="0" borderId="33" xfId="0" applyFont="1" applyFill="1" applyBorder="1" applyAlignment="1" applyProtection="1">
      <alignment horizontal="center" vertical="center" wrapText="1"/>
      <protection locked="0"/>
    </xf>
    <xf numFmtId="49" fontId="53" fillId="6" borderId="40" xfId="0" applyNumberFormat="1" applyFont="1" applyFill="1" applyBorder="1" applyAlignment="1" applyProtection="1">
      <alignment horizontal="center" vertical="center" wrapText="1"/>
    </xf>
    <xf numFmtId="49" fontId="53" fillId="2" borderId="41" xfId="0" applyNumberFormat="1" applyFont="1" applyFill="1" applyBorder="1" applyAlignment="1" applyProtection="1">
      <alignment horizontal="center" vertical="center" wrapText="1"/>
      <protection locked="0"/>
    </xf>
    <xf numFmtId="49" fontId="53" fillId="2" borderId="7" xfId="0" applyNumberFormat="1" applyFont="1" applyFill="1" applyBorder="1" applyAlignment="1" applyProtection="1">
      <alignment horizontal="center" vertical="center" wrapText="1"/>
      <protection locked="0"/>
    </xf>
    <xf numFmtId="0" fontId="60" fillId="6" borderId="50" xfId="0" applyNumberFormat="1" applyFont="1" applyFill="1" applyBorder="1" applyAlignment="1" applyProtection="1">
      <alignment horizontal="center" vertical="center" wrapText="1"/>
    </xf>
    <xf numFmtId="0" fontId="53" fillId="6" borderId="11" xfId="0" applyNumberFormat="1" applyFont="1" applyFill="1" applyBorder="1" applyAlignment="1" applyProtection="1">
      <alignment horizontal="center" vertical="center" wrapText="1"/>
    </xf>
    <xf numFmtId="0" fontId="53" fillId="2" borderId="14" xfId="0" applyNumberFormat="1" applyFont="1" applyFill="1" applyBorder="1" applyAlignment="1" applyProtection="1">
      <alignment horizontal="center" vertical="center" wrapText="1"/>
      <protection locked="0"/>
    </xf>
    <xf numFmtId="49" fontId="53" fillId="2" borderId="14" xfId="0" applyNumberFormat="1" applyFont="1" applyFill="1" applyBorder="1" applyAlignment="1" applyProtection="1">
      <alignment horizontal="center" vertical="center" wrapText="1"/>
      <protection locked="0"/>
    </xf>
    <xf numFmtId="49" fontId="53" fillId="2" borderId="35" xfId="0" applyNumberFormat="1" applyFont="1" applyFill="1" applyBorder="1" applyAlignment="1" applyProtection="1">
      <alignment horizontal="center" vertical="center" wrapText="1"/>
      <protection locked="0"/>
    </xf>
    <xf numFmtId="0" fontId="53" fillId="2" borderId="7" xfId="0" applyNumberFormat="1" applyFont="1" applyFill="1" applyBorder="1" applyAlignment="1" applyProtection="1">
      <alignment horizontal="center" vertical="center" wrapText="1"/>
      <protection locked="0"/>
    </xf>
    <xf numFmtId="0" fontId="60" fillId="6" borderId="80" xfId="0" applyNumberFormat="1" applyFont="1" applyFill="1" applyBorder="1" applyAlignment="1" applyProtection="1">
      <alignment horizontal="center" vertical="center" wrapText="1"/>
    </xf>
    <xf numFmtId="49" fontId="53" fillId="2" borderId="23" xfId="0" applyNumberFormat="1" applyFont="1" applyFill="1" applyBorder="1" applyAlignment="1" applyProtection="1">
      <alignment horizontal="center" vertical="center" wrapText="1"/>
      <protection locked="0"/>
    </xf>
    <xf numFmtId="49" fontId="53" fillId="2" borderId="3" xfId="0" applyNumberFormat="1" applyFont="1" applyFill="1" applyBorder="1" applyAlignment="1" applyProtection="1">
      <alignment horizontal="center" vertical="center" wrapText="1"/>
      <protection locked="0"/>
    </xf>
    <xf numFmtId="0" fontId="53" fillId="0" borderId="54" xfId="0" applyNumberFormat="1" applyFont="1" applyFill="1" applyBorder="1" applyAlignment="1" applyProtection="1">
      <alignment horizontal="center" vertical="center" wrapText="1"/>
      <protection locked="0"/>
    </xf>
    <xf numFmtId="0" fontId="53" fillId="0" borderId="52" xfId="0" applyNumberFormat="1" applyFont="1" applyFill="1" applyBorder="1" applyAlignment="1" applyProtection="1">
      <alignment horizontal="center" vertical="center" wrapText="1"/>
      <protection locked="0"/>
    </xf>
    <xf numFmtId="0" fontId="53" fillId="2" borderId="6" xfId="0" applyFont="1" applyFill="1" applyBorder="1" applyAlignment="1" applyProtection="1">
      <alignment horizontal="center" vertical="center" wrapText="1"/>
      <protection locked="0"/>
    </xf>
    <xf numFmtId="0" fontId="53" fillId="2" borderId="30" xfId="0" applyFont="1" applyFill="1" applyBorder="1" applyAlignment="1" applyProtection="1">
      <alignment horizontal="center" vertical="center" wrapText="1"/>
      <protection locked="0"/>
    </xf>
    <xf numFmtId="0" fontId="53" fillId="2" borderId="23" xfId="0" applyFont="1" applyFill="1" applyBorder="1" applyAlignment="1" applyProtection="1">
      <alignment horizontal="center" vertical="center" wrapText="1"/>
      <protection locked="0"/>
    </xf>
    <xf numFmtId="0" fontId="53" fillId="2" borderId="3" xfId="0" applyFont="1" applyFill="1" applyBorder="1" applyAlignment="1" applyProtection="1">
      <alignment horizontal="center" vertical="center" wrapText="1"/>
      <protection locked="0"/>
    </xf>
    <xf numFmtId="189" fontId="53" fillId="6" borderId="48" xfId="0" applyNumberFormat="1" applyFont="1" applyFill="1" applyBorder="1" applyAlignment="1" applyProtection="1">
      <alignment horizontal="center" vertical="center"/>
    </xf>
    <xf numFmtId="189" fontId="53" fillId="6" borderId="49" xfId="0" applyNumberFormat="1" applyFont="1" applyFill="1" applyBorder="1" applyAlignment="1" applyProtection="1">
      <alignment horizontal="center" vertical="center" wrapText="1"/>
    </xf>
    <xf numFmtId="0" fontId="53" fillId="0" borderId="18" xfId="0" applyFont="1" applyFill="1" applyBorder="1" applyAlignment="1" applyProtection="1">
      <alignment horizontal="center" vertical="center"/>
      <protection locked="0"/>
    </xf>
    <xf numFmtId="0" fontId="70" fillId="0" borderId="18" xfId="0" applyFont="1" applyFill="1" applyBorder="1" applyAlignment="1" applyProtection="1">
      <alignment horizontal="center" vertical="center"/>
      <protection locked="0"/>
    </xf>
    <xf numFmtId="0" fontId="53" fillId="0" borderId="18" xfId="0" applyFont="1" applyBorder="1" applyAlignment="1" applyProtection="1">
      <protection locked="0"/>
    </xf>
    <xf numFmtId="0" fontId="48" fillId="6" borderId="0" xfId="0" applyNumberFormat="1" applyFont="1" applyFill="1" applyBorder="1" applyAlignment="1" applyProtection="1">
      <alignment vertical="center" wrapText="1"/>
    </xf>
    <xf numFmtId="9" fontId="46" fillId="0" borderId="18" xfId="0" applyNumberFormat="1" applyFont="1" applyFill="1" applyBorder="1" applyAlignment="1" applyProtection="1">
      <alignment horizontal="center" vertical="center" wrapText="1"/>
      <protection locked="0"/>
    </xf>
    <xf numFmtId="0" fontId="102" fillId="0" borderId="18" xfId="0" applyFont="1" applyFill="1" applyBorder="1" applyAlignment="1" applyProtection="1">
      <alignment vertical="center"/>
      <protection locked="0"/>
    </xf>
    <xf numFmtId="0" fontId="46" fillId="0" borderId="18" xfId="0" applyFont="1" applyFill="1" applyBorder="1" applyAlignment="1" applyProtection="1">
      <alignment horizontal="center" vertical="center" wrapText="1"/>
      <protection locked="0"/>
    </xf>
    <xf numFmtId="0" fontId="51" fillId="0" borderId="18" xfId="0" applyFont="1" applyFill="1" applyBorder="1" applyAlignment="1" applyProtection="1">
      <alignment horizontal="center" vertical="center" wrapText="1"/>
      <protection locked="0"/>
    </xf>
    <xf numFmtId="0" fontId="51" fillId="0" borderId="18" xfId="0" applyFont="1" applyFill="1" applyBorder="1" applyAlignment="1" applyProtection="1">
      <alignment horizontal="center" vertical="center"/>
      <protection locked="0"/>
    </xf>
    <xf numFmtId="0" fontId="51" fillId="0" borderId="18" xfId="0" applyFont="1" applyFill="1" applyBorder="1" applyAlignment="1" applyProtection="1">
      <alignment vertical="center" wrapText="1"/>
      <protection locked="0"/>
    </xf>
    <xf numFmtId="0" fontId="46" fillId="0" borderId="18" xfId="0" applyFont="1" applyFill="1" applyBorder="1" applyAlignment="1" applyProtection="1">
      <alignment vertical="center" wrapText="1"/>
      <protection locked="0"/>
    </xf>
    <xf numFmtId="0" fontId="46" fillId="0" borderId="83" xfId="0" applyNumberFormat="1" applyFont="1" applyFill="1" applyBorder="1" applyAlignment="1" applyProtection="1">
      <alignment horizontal="center" vertical="center"/>
      <protection locked="0"/>
    </xf>
    <xf numFmtId="0" fontId="52" fillId="6" borderId="12" xfId="0" applyNumberFormat="1" applyFont="1" applyFill="1" applyBorder="1" applyAlignment="1" applyProtection="1">
      <alignment vertical="center" wrapText="1"/>
    </xf>
    <xf numFmtId="0" fontId="104" fillId="0" borderId="0" xfId="0" applyFont="1" applyFill="1" applyAlignment="1" applyProtection="1">
      <alignment horizontal="left" vertical="center"/>
      <protection locked="0"/>
    </xf>
    <xf numFmtId="0" fontId="102" fillId="6" borderId="16" xfId="0" applyFont="1" applyFill="1" applyBorder="1" applyAlignment="1" applyProtection="1">
      <alignment horizontal="center" vertical="center"/>
    </xf>
    <xf numFmtId="0" fontId="60" fillId="6" borderId="19" xfId="0" applyFont="1" applyFill="1" applyBorder="1" applyAlignment="1" applyProtection="1">
      <alignment horizontal="center" vertical="center"/>
    </xf>
    <xf numFmtId="0" fontId="53" fillId="6" borderId="19" xfId="0" applyFont="1" applyFill="1" applyBorder="1" applyAlignment="1" applyProtection="1">
      <alignment horizontal="center" vertical="center"/>
    </xf>
    <xf numFmtId="0" fontId="53" fillId="6" borderId="31" xfId="0" applyFont="1" applyFill="1" applyBorder="1" applyAlignment="1" applyProtection="1">
      <alignment horizontal="center" vertical="center"/>
    </xf>
    <xf numFmtId="0" fontId="102" fillId="6" borderId="19" xfId="0" applyFont="1" applyFill="1" applyBorder="1" applyAlignment="1" applyProtection="1">
      <alignment horizontal="center" vertical="center"/>
    </xf>
    <xf numFmtId="0" fontId="60" fillId="6" borderId="31" xfId="0" applyFont="1" applyFill="1" applyBorder="1" applyAlignment="1" applyProtection="1">
      <alignment horizontal="center" vertical="center"/>
    </xf>
    <xf numFmtId="0" fontId="60" fillId="6" borderId="69" xfId="0" applyFont="1" applyFill="1" applyBorder="1" applyProtection="1">
      <alignment vertical="center"/>
    </xf>
    <xf numFmtId="0" fontId="102" fillId="6" borderId="5" xfId="0" applyFont="1" applyFill="1" applyBorder="1" applyAlignment="1" applyProtection="1">
      <alignment horizontal="center" vertical="center"/>
    </xf>
    <xf numFmtId="0" fontId="102" fillId="6" borderId="92" xfId="0" applyFont="1" applyFill="1" applyBorder="1" applyAlignment="1" applyProtection="1">
      <alignment horizontal="center" vertical="center"/>
    </xf>
    <xf numFmtId="0" fontId="60" fillId="6" borderId="60" xfId="0" applyFont="1" applyFill="1" applyBorder="1" applyAlignment="1" applyProtection="1">
      <alignment horizontal="center" vertical="center"/>
    </xf>
    <xf numFmtId="0" fontId="102" fillId="0" borderId="2" xfId="0" applyFont="1" applyBorder="1" applyAlignment="1" applyProtection="1">
      <alignment horizontal="center" vertical="center"/>
      <protection locked="0"/>
    </xf>
    <xf numFmtId="0" fontId="102" fillId="6" borderId="7" xfId="0" applyFont="1" applyFill="1" applyBorder="1" applyAlignment="1" applyProtection="1">
      <alignment horizontal="center" vertical="center"/>
    </xf>
    <xf numFmtId="0" fontId="102" fillId="6" borderId="3" xfId="0" applyFont="1" applyFill="1" applyBorder="1" applyAlignment="1" applyProtection="1">
      <alignment horizontal="center" vertical="center"/>
    </xf>
    <xf numFmtId="0" fontId="102" fillId="0" borderId="1" xfId="0" applyFont="1" applyBorder="1" applyAlignment="1" applyProtection="1">
      <alignment horizontal="center" vertical="center"/>
      <protection locked="0"/>
    </xf>
    <xf numFmtId="0" fontId="102" fillId="6" borderId="25" xfId="0" applyFont="1" applyFill="1" applyBorder="1" applyAlignment="1" applyProtection="1">
      <alignment horizontal="center" vertical="center"/>
    </xf>
    <xf numFmtId="0" fontId="60" fillId="6" borderId="94" xfId="0" applyFont="1" applyFill="1" applyBorder="1" applyAlignment="1" applyProtection="1">
      <alignment horizontal="left" vertical="center"/>
    </xf>
    <xf numFmtId="0" fontId="53" fillId="6" borderId="47" xfId="0" applyFont="1" applyFill="1" applyBorder="1" applyAlignment="1" applyProtection="1">
      <alignment horizontal="center" vertical="center"/>
    </xf>
    <xf numFmtId="0" fontId="53" fillId="6" borderId="43" xfId="0" applyFont="1" applyFill="1" applyBorder="1" applyAlignment="1" applyProtection="1">
      <alignment horizontal="center" vertical="center"/>
    </xf>
    <xf numFmtId="0" fontId="102" fillId="6" borderId="66" xfId="0" applyFont="1" applyFill="1" applyBorder="1" applyAlignment="1" applyProtection="1">
      <alignment horizontal="center" vertical="center"/>
    </xf>
    <xf numFmtId="0" fontId="64" fillId="6" borderId="89" xfId="0" applyFont="1" applyFill="1" applyBorder="1" applyAlignment="1" applyProtection="1">
      <alignment horizontal="center" vertical="center"/>
      <protection locked="0"/>
    </xf>
    <xf numFmtId="0" fontId="64" fillId="6" borderId="87" xfId="0" applyFont="1" applyFill="1" applyBorder="1" applyAlignment="1" applyProtection="1">
      <alignment horizontal="center" vertical="center"/>
      <protection locked="0"/>
    </xf>
    <xf numFmtId="0" fontId="65" fillId="6" borderId="87" xfId="0" applyFont="1" applyFill="1" applyBorder="1" applyAlignment="1" applyProtection="1">
      <alignment horizontal="center" vertical="center"/>
      <protection locked="0"/>
    </xf>
    <xf numFmtId="0" fontId="64" fillId="6" borderId="18" xfId="0" applyFont="1" applyFill="1" applyBorder="1" applyAlignment="1" applyProtection="1">
      <alignment horizontal="center" vertical="center"/>
      <protection locked="0"/>
    </xf>
    <xf numFmtId="0" fontId="65" fillId="6" borderId="0" xfId="0" applyFont="1" applyFill="1" applyBorder="1" applyAlignment="1" applyProtection="1">
      <alignment horizontal="center" vertical="center"/>
      <protection locked="0"/>
    </xf>
    <xf numFmtId="0" fontId="65" fillId="6" borderId="0" xfId="0" applyFont="1" applyFill="1" applyAlignment="1" applyProtection="1">
      <alignment horizontal="center" vertical="center"/>
      <protection locked="0"/>
    </xf>
    <xf numFmtId="49" fontId="53" fillId="6" borderId="11" xfId="0" applyNumberFormat="1" applyFont="1" applyFill="1" applyBorder="1" applyAlignment="1" applyProtection="1">
      <alignment horizontal="center" vertical="center" wrapText="1"/>
    </xf>
    <xf numFmtId="0" fontId="46" fillId="2" borderId="41" xfId="0" applyNumberFormat="1" applyFont="1" applyFill="1" applyBorder="1" applyAlignment="1" applyProtection="1">
      <alignment horizontal="center" vertical="center" wrapText="1"/>
      <protection locked="0"/>
    </xf>
    <xf numFmtId="0" fontId="64" fillId="6" borderId="88" xfId="0" applyFont="1" applyFill="1" applyBorder="1" applyAlignment="1" applyProtection="1">
      <alignment horizontal="right" vertical="center"/>
    </xf>
    <xf numFmtId="0" fontId="53" fillId="6" borderId="17" xfId="0" applyFont="1" applyFill="1" applyBorder="1" applyAlignment="1" applyProtection="1">
      <alignment horizontal="center" vertical="center"/>
    </xf>
    <xf numFmtId="0" fontId="46" fillId="6" borderId="24" xfId="0" applyNumberFormat="1" applyFont="1" applyFill="1" applyBorder="1" applyAlignment="1" applyProtection="1">
      <alignment horizontal="center" vertical="center"/>
    </xf>
    <xf numFmtId="0" fontId="46" fillId="0" borderId="7" xfId="0" applyNumberFormat="1" applyFont="1" applyFill="1" applyBorder="1" applyAlignment="1" applyProtection="1">
      <alignment horizontal="center" vertical="center" wrapText="1"/>
      <protection locked="0"/>
    </xf>
    <xf numFmtId="49" fontId="53" fillId="6" borderId="39" xfId="0" applyNumberFormat="1" applyFont="1" applyFill="1" applyBorder="1" applyAlignment="1" applyProtection="1">
      <alignment horizontal="center" vertical="center" wrapText="1"/>
    </xf>
    <xf numFmtId="0" fontId="53" fillId="6" borderId="24" xfId="0" applyNumberFormat="1" applyFont="1" applyFill="1" applyBorder="1" applyAlignment="1" applyProtection="1">
      <alignment horizontal="center" vertical="center"/>
    </xf>
    <xf numFmtId="0" fontId="53" fillId="6" borderId="22" xfId="0" applyNumberFormat="1" applyFont="1" applyFill="1" applyBorder="1" applyAlignment="1" applyProtection="1">
      <alignment horizontal="center" vertical="center" wrapText="1"/>
    </xf>
    <xf numFmtId="0" fontId="53" fillId="2" borderId="35"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0" borderId="24" xfId="0" applyFont="1" applyFill="1" applyBorder="1" applyAlignment="1" applyProtection="1">
      <alignment horizontal="center" vertical="center" wrapText="1"/>
      <protection locked="0"/>
    </xf>
    <xf numFmtId="0" fontId="53" fillId="2" borderId="6" xfId="0" applyNumberFormat="1" applyFont="1" applyFill="1" applyBorder="1" applyAlignment="1" applyProtection="1">
      <alignment horizontal="center" vertical="center" wrapText="1"/>
      <protection locked="0"/>
    </xf>
    <xf numFmtId="0" fontId="53" fillId="0" borderId="44" xfId="0" applyNumberFormat="1" applyFont="1" applyFill="1" applyBorder="1" applyAlignment="1" applyProtection="1">
      <alignment horizontal="left" vertical="center" wrapText="1"/>
      <protection locked="0"/>
    </xf>
    <xf numFmtId="0" fontId="53" fillId="0" borderId="45" xfId="0" applyNumberFormat="1" applyFont="1" applyFill="1" applyBorder="1" applyAlignment="1" applyProtection="1">
      <alignment horizontal="center" vertical="center" wrapText="1"/>
      <protection locked="0"/>
    </xf>
    <xf numFmtId="0" fontId="46" fillId="0" borderId="54" xfId="0" applyNumberFormat="1" applyFont="1" applyFill="1" applyBorder="1" applyAlignment="1" applyProtection="1">
      <alignment horizontal="center" vertical="center" wrapText="1"/>
      <protection locked="0"/>
    </xf>
    <xf numFmtId="0" fontId="53" fillId="6" borderId="40" xfId="0" applyNumberFormat="1" applyFont="1" applyFill="1" applyBorder="1" applyAlignment="1" applyProtection="1">
      <alignment horizontal="center" vertical="center" wrapText="1"/>
    </xf>
    <xf numFmtId="0" fontId="53" fillId="6" borderId="41" xfId="0" applyNumberFormat="1" applyFont="1" applyFill="1" applyBorder="1" applyAlignment="1" applyProtection="1">
      <alignment horizontal="center" vertical="center" wrapText="1"/>
    </xf>
    <xf numFmtId="49" fontId="52" fillId="5" borderId="20" xfId="0" applyNumberFormat="1" applyFont="1" applyFill="1" applyBorder="1" applyAlignment="1" applyProtection="1">
      <alignment vertical="center"/>
      <protection locked="0"/>
    </xf>
    <xf numFmtId="184" fontId="46" fillId="0" borderId="26" xfId="0" applyNumberFormat="1" applyFont="1" applyFill="1" applyBorder="1" applyAlignment="1" applyProtection="1">
      <alignment horizontal="center" vertical="center" wrapText="1"/>
      <protection locked="0"/>
    </xf>
    <xf numFmtId="0" fontId="46" fillId="0" borderId="38" xfId="0" applyNumberFormat="1" applyFont="1" applyFill="1" applyBorder="1" applyAlignment="1" applyProtection="1">
      <alignment horizontal="center" vertical="center" wrapText="1"/>
      <protection locked="0"/>
    </xf>
    <xf numFmtId="0" fontId="53" fillId="0" borderId="55" xfId="0" applyNumberFormat="1" applyFont="1" applyFill="1" applyBorder="1" applyAlignment="1" applyProtection="1">
      <alignment horizontal="center" vertical="center" wrapText="1"/>
      <protection locked="0"/>
    </xf>
    <xf numFmtId="0" fontId="46" fillId="2" borderId="51" xfId="0" applyNumberFormat="1" applyFont="1" applyFill="1" applyBorder="1" applyAlignment="1" applyProtection="1">
      <alignment horizontal="center" vertical="center" wrapText="1"/>
      <protection locked="0"/>
    </xf>
    <xf numFmtId="0" fontId="46" fillId="2" borderId="69" xfId="0" applyNumberFormat="1" applyFont="1" applyFill="1" applyBorder="1" applyAlignment="1" applyProtection="1">
      <alignment horizontal="center" vertical="center" wrapText="1"/>
      <protection locked="0"/>
    </xf>
    <xf numFmtId="0" fontId="46" fillId="2" borderId="60" xfId="0" applyNumberFormat="1" applyFont="1" applyFill="1" applyBorder="1" applyAlignment="1" applyProtection="1">
      <alignment horizontal="center" vertical="center" wrapText="1"/>
      <protection locked="0"/>
    </xf>
    <xf numFmtId="9" fontId="46" fillId="2" borderId="37" xfId="0" applyNumberFormat="1" applyFont="1" applyFill="1" applyBorder="1" applyAlignment="1" applyProtection="1">
      <alignment horizontal="center" vertical="center" wrapText="1"/>
      <protection locked="0"/>
    </xf>
    <xf numFmtId="0" fontId="51" fillId="0" borderId="38" xfId="0" applyNumberFormat="1" applyFont="1" applyFill="1" applyBorder="1" applyAlignment="1" applyProtection="1">
      <alignment horizontal="center" vertical="center" wrapText="1"/>
      <protection locked="0"/>
    </xf>
    <xf numFmtId="49" fontId="52" fillId="2" borderId="10" xfId="0" applyNumberFormat="1" applyFont="1" applyFill="1" applyBorder="1" applyAlignment="1" applyProtection="1">
      <alignment vertical="center"/>
      <protection locked="0"/>
    </xf>
    <xf numFmtId="0" fontId="53" fillId="5" borderId="9" xfId="0" applyFont="1" applyFill="1" applyBorder="1" applyAlignment="1" applyProtection="1">
      <alignment horizontal="center" vertical="center"/>
      <protection locked="0"/>
    </xf>
    <xf numFmtId="0" fontId="53" fillId="6" borderId="19" xfId="0" applyFont="1" applyFill="1" applyBorder="1" applyAlignment="1" applyProtection="1">
      <alignment horizontal="center" vertical="center" wrapText="1"/>
      <protection locked="0"/>
    </xf>
    <xf numFmtId="0" fontId="104" fillId="6" borderId="0" xfId="0" applyFont="1" applyFill="1" applyAlignment="1" applyProtection="1">
      <alignment horizontal="left" vertical="center"/>
      <protection locked="0"/>
    </xf>
    <xf numFmtId="0" fontId="103" fillId="6" borderId="23" xfId="0" applyFont="1" applyFill="1" applyBorder="1" applyAlignment="1" applyProtection="1">
      <alignment horizontal="center" vertical="center"/>
    </xf>
    <xf numFmtId="0" fontId="103" fillId="6" borderId="25" xfId="0" applyFont="1" applyFill="1" applyBorder="1" applyAlignment="1" applyProtection="1">
      <alignment horizontal="center" vertical="center"/>
    </xf>
    <xf numFmtId="0" fontId="48" fillId="6" borderId="16" xfId="0" applyNumberFormat="1" applyFont="1" applyFill="1" applyBorder="1" applyAlignment="1" applyProtection="1">
      <alignment vertical="center"/>
    </xf>
    <xf numFmtId="0" fontId="53" fillId="6" borderId="14" xfId="0" applyNumberFormat="1" applyFont="1" applyFill="1" applyBorder="1" applyAlignment="1" applyProtection="1">
      <alignment horizontal="center" vertical="center" wrapText="1"/>
    </xf>
    <xf numFmtId="0" fontId="53" fillId="0" borderId="24" xfId="0" applyFont="1" applyFill="1" applyBorder="1" applyAlignment="1" applyProtection="1">
      <alignment horizontal="center" vertical="center"/>
      <protection locked="0"/>
    </xf>
    <xf numFmtId="0" fontId="102" fillId="0" borderId="49" xfId="0" applyFont="1" applyFill="1" applyBorder="1" applyAlignment="1" applyProtection="1">
      <alignment horizontal="center" vertical="center"/>
      <protection locked="0"/>
    </xf>
    <xf numFmtId="0" fontId="48" fillId="6" borderId="37" xfId="0" applyNumberFormat="1" applyFont="1" applyFill="1" applyBorder="1" applyAlignment="1" applyProtection="1">
      <alignment horizontal="center" vertical="center" wrapText="1"/>
    </xf>
    <xf numFmtId="0" fontId="55" fillId="6" borderId="0" xfId="0" applyFont="1" applyFill="1" applyAlignment="1" applyProtection="1">
      <alignment vertical="center" wrapText="1"/>
    </xf>
    <xf numFmtId="0" fontId="102" fillId="6" borderId="6" xfId="0" applyNumberFormat="1" applyFont="1" applyFill="1" applyBorder="1" applyAlignment="1" applyProtection="1">
      <alignment horizontal="center" vertical="center"/>
    </xf>
    <xf numFmtId="0" fontId="55" fillId="0" borderId="0" xfId="0" applyFont="1" applyAlignment="1" applyProtection="1">
      <alignment vertical="center" wrapText="1"/>
      <protection locked="0"/>
    </xf>
    <xf numFmtId="0" fontId="55" fillId="0" borderId="0" xfId="0" applyFont="1" applyAlignment="1" applyProtection="1">
      <alignment vertical="center" wrapText="1"/>
    </xf>
    <xf numFmtId="0" fontId="59" fillId="6" borderId="5" xfId="1" applyFont="1" applyFill="1" applyBorder="1" applyAlignment="1" applyProtection="1">
      <alignment vertical="center"/>
    </xf>
    <xf numFmtId="0" fontId="55" fillId="6" borderId="1" xfId="0" applyNumberFormat="1" applyFont="1" applyFill="1" applyBorder="1" applyAlignment="1" applyProtection="1">
      <alignment horizontal="left" vertical="center" wrapText="1"/>
    </xf>
    <xf numFmtId="0" fontId="55" fillId="5" borderId="1" xfId="0" applyNumberFormat="1" applyFont="1" applyFill="1" applyBorder="1" applyAlignment="1" applyProtection="1">
      <alignment horizontal="center" vertical="center" wrapText="1"/>
      <protection locked="0"/>
    </xf>
    <xf numFmtId="0" fontId="55" fillId="6" borderId="1" xfId="0" applyNumberFormat="1" applyFont="1" applyFill="1" applyBorder="1" applyAlignment="1" applyProtection="1">
      <alignment horizontal="center" vertical="center" wrapText="1"/>
    </xf>
    <xf numFmtId="0" fontId="55" fillId="6" borderId="0" xfId="0" applyNumberFormat="1" applyFont="1" applyFill="1" applyAlignment="1" applyProtection="1">
      <alignment vertical="center" wrapText="1"/>
    </xf>
    <xf numFmtId="0" fontId="102" fillId="6" borderId="23" xfId="0" applyNumberFormat="1" applyFont="1" applyFill="1" applyBorder="1" applyAlignment="1" applyProtection="1">
      <alignment horizontal="center" vertical="center"/>
    </xf>
    <xf numFmtId="0" fontId="55" fillId="5" borderId="1" xfId="0" applyNumberFormat="1" applyFont="1" applyFill="1" applyBorder="1" applyAlignment="1" applyProtection="1">
      <alignment vertical="center" wrapText="1"/>
      <protection locked="0"/>
    </xf>
    <xf numFmtId="0" fontId="55" fillId="5" borderId="1" xfId="0" applyFont="1" applyFill="1" applyBorder="1" applyAlignment="1" applyProtection="1">
      <alignment horizontal="left" vertical="center"/>
      <protection locked="0"/>
    </xf>
    <xf numFmtId="49" fontId="52" fillId="6" borderId="13" xfId="0" applyNumberFormat="1" applyFont="1" applyFill="1" applyBorder="1" applyAlignment="1" applyProtection="1">
      <alignment horizontal="left" vertical="center" wrapText="1"/>
    </xf>
    <xf numFmtId="0" fontId="52" fillId="6" borderId="13" xfId="0" applyFont="1" applyFill="1" applyBorder="1" applyAlignment="1" applyProtection="1">
      <alignment horizontal="left" vertical="center" wrapText="1"/>
    </xf>
    <xf numFmtId="0" fontId="52" fillId="6" borderId="36" xfId="0" applyFont="1" applyFill="1" applyBorder="1" applyAlignment="1" applyProtection="1">
      <alignment vertical="center" wrapText="1"/>
    </xf>
    <xf numFmtId="0" fontId="53" fillId="6" borderId="36" xfId="0" applyFont="1" applyFill="1" applyBorder="1" applyAlignment="1" applyProtection="1">
      <alignment vertical="center" wrapText="1"/>
    </xf>
    <xf numFmtId="0" fontId="53" fillId="6" borderId="22" xfId="0" applyFont="1" applyFill="1" applyBorder="1" applyAlignment="1" applyProtection="1">
      <alignment vertical="center" wrapText="1"/>
    </xf>
    <xf numFmtId="0" fontId="53" fillId="7" borderId="0" xfId="0" applyFont="1" applyFill="1" applyAlignment="1" applyProtection="1">
      <alignment vertical="center"/>
      <protection locked="0"/>
    </xf>
    <xf numFmtId="0" fontId="53" fillId="6" borderId="0" xfId="8" applyFont="1" applyFill="1" applyAlignment="1" applyProtection="1">
      <alignment horizontal="center" vertical="center" wrapText="1"/>
      <protection locked="0"/>
    </xf>
    <xf numFmtId="0" fontId="53" fillId="7" borderId="0" xfId="8" applyFont="1" applyFill="1" applyAlignment="1" applyProtection="1">
      <alignment horizontal="center" vertical="center" wrapText="1"/>
    </xf>
    <xf numFmtId="0" fontId="53" fillId="0" borderId="0" xfId="8" applyFont="1" applyAlignment="1" applyProtection="1">
      <alignment horizontal="center" vertical="center" wrapText="1"/>
    </xf>
    <xf numFmtId="0" fontId="53" fillId="0" borderId="0" xfId="0" applyFont="1" applyAlignment="1" applyProtection="1">
      <alignment vertical="center" wrapText="1"/>
    </xf>
    <xf numFmtId="49" fontId="56" fillId="6" borderId="26" xfId="0" applyNumberFormat="1" applyFont="1" applyFill="1" applyBorder="1" applyAlignment="1" applyProtection="1">
      <alignment horizontal="center" vertical="center" wrapText="1"/>
    </xf>
    <xf numFmtId="0" fontId="56" fillId="6" borderId="64" xfId="0" applyFont="1" applyFill="1" applyBorder="1" applyAlignment="1" applyProtection="1">
      <alignment horizontal="left" vertical="center" wrapText="1"/>
    </xf>
    <xf numFmtId="0" fontId="118" fillId="6" borderId="34" xfId="0" applyFont="1" applyFill="1" applyBorder="1" applyAlignment="1" applyProtection="1">
      <alignment vertical="center"/>
    </xf>
    <xf numFmtId="0" fontId="56" fillId="6" borderId="64" xfId="0" applyFont="1" applyFill="1" applyBorder="1" applyAlignment="1" applyProtection="1">
      <alignment horizontal="center" vertical="center" wrapText="1"/>
    </xf>
    <xf numFmtId="0" fontId="55" fillId="6" borderId="64" xfId="0" applyFont="1" applyFill="1" applyBorder="1" applyAlignment="1" applyProtection="1">
      <alignment vertical="center" wrapText="1"/>
    </xf>
    <xf numFmtId="0" fontId="55" fillId="6" borderId="65" xfId="0" applyFont="1" applyFill="1" applyBorder="1" applyAlignment="1" applyProtection="1">
      <alignment vertical="center" wrapText="1"/>
    </xf>
    <xf numFmtId="0" fontId="56" fillId="6" borderId="9" xfId="0" applyFont="1" applyFill="1" applyBorder="1" applyAlignment="1" applyProtection="1">
      <alignment horizontal="left" vertical="center" wrapText="1"/>
    </xf>
    <xf numFmtId="0" fontId="55" fillId="6" borderId="9" xfId="0" applyFont="1" applyFill="1" applyBorder="1" applyAlignment="1" applyProtection="1">
      <alignment horizontal="center" vertical="center" wrapText="1"/>
    </xf>
    <xf numFmtId="0" fontId="55" fillId="6" borderId="19" xfId="0" applyFont="1" applyFill="1" applyBorder="1" applyAlignment="1" applyProtection="1">
      <alignment horizontal="center" vertical="center" wrapText="1"/>
    </xf>
    <xf numFmtId="0" fontId="55" fillId="6" borderId="19" xfId="0" applyFont="1" applyFill="1" applyBorder="1" applyAlignment="1" applyProtection="1">
      <alignment vertical="center" wrapText="1"/>
    </xf>
    <xf numFmtId="0" fontId="55" fillId="6" borderId="31" xfId="0" applyFont="1" applyFill="1" applyBorder="1" applyAlignment="1" applyProtection="1">
      <alignment vertical="center" wrapText="1"/>
    </xf>
    <xf numFmtId="0" fontId="55" fillId="5" borderId="1" xfId="0" applyFont="1" applyFill="1" applyBorder="1" applyAlignment="1" applyProtection="1">
      <alignment horizontal="center" vertical="center" wrapText="1"/>
      <protection locked="0"/>
    </xf>
    <xf numFmtId="0" fontId="55" fillId="6" borderId="5" xfId="0" applyFont="1" applyFill="1" applyBorder="1" applyAlignment="1" applyProtection="1">
      <alignment vertical="center"/>
    </xf>
    <xf numFmtId="0" fontId="55" fillId="6" borderId="54" xfId="0" applyFont="1" applyFill="1" applyBorder="1" applyAlignment="1" applyProtection="1">
      <alignment vertical="center" wrapText="1"/>
    </xf>
    <xf numFmtId="0" fontId="55" fillId="6" borderId="48" xfId="0" applyFont="1" applyFill="1" applyBorder="1" applyAlignment="1" applyProtection="1">
      <alignment vertical="center" wrapText="1"/>
    </xf>
    <xf numFmtId="0" fontId="55" fillId="6" borderId="13" xfId="0" applyFont="1" applyFill="1" applyBorder="1" applyAlignment="1" applyProtection="1">
      <alignment horizontal="left" vertical="center" wrapText="1"/>
    </xf>
    <xf numFmtId="0" fontId="55" fillId="6" borderId="46" xfId="0" applyFont="1" applyFill="1" applyBorder="1" applyAlignment="1" applyProtection="1">
      <alignment vertical="center"/>
    </xf>
    <xf numFmtId="0" fontId="55" fillId="6" borderId="36" xfId="0" applyFont="1" applyFill="1" applyBorder="1" applyAlignment="1" applyProtection="1">
      <alignment vertical="center" wrapText="1"/>
    </xf>
    <xf numFmtId="0" fontId="55" fillId="6" borderId="59" xfId="0" applyFont="1" applyFill="1" applyBorder="1" applyAlignment="1" applyProtection="1">
      <alignment vertical="center" wrapText="1"/>
    </xf>
    <xf numFmtId="0" fontId="56" fillId="6" borderId="17" xfId="0" applyFont="1" applyFill="1" applyBorder="1" applyAlignment="1" applyProtection="1">
      <alignment horizontal="left" vertical="center" wrapText="1"/>
    </xf>
    <xf numFmtId="0" fontId="55" fillId="6" borderId="28" xfId="0" applyFont="1" applyFill="1" applyBorder="1" applyAlignment="1" applyProtection="1">
      <alignment vertical="center"/>
    </xf>
    <xf numFmtId="0" fontId="55" fillId="6" borderId="20" xfId="0" applyFont="1" applyFill="1" applyBorder="1" applyAlignment="1" applyProtection="1">
      <alignment horizontal="center" vertical="center" wrapText="1"/>
    </xf>
    <xf numFmtId="0" fontId="55" fillId="6" borderId="20" xfId="0" applyFont="1" applyFill="1" applyBorder="1" applyAlignment="1" applyProtection="1">
      <alignment vertical="center" wrapText="1"/>
    </xf>
    <xf numFmtId="0" fontId="55" fillId="6" borderId="21" xfId="0" applyFont="1" applyFill="1" applyBorder="1" applyAlignment="1" applyProtection="1">
      <alignment vertical="center" wrapText="1"/>
    </xf>
    <xf numFmtId="0" fontId="102" fillId="6" borderId="25" xfId="0" applyNumberFormat="1" applyFont="1" applyFill="1" applyBorder="1" applyAlignment="1" applyProtection="1">
      <alignment horizontal="center" vertical="center"/>
    </xf>
    <xf numFmtId="0" fontId="103" fillId="6" borderId="13" xfId="0" applyFont="1" applyFill="1" applyBorder="1" applyAlignment="1" applyProtection="1">
      <alignment horizontal="left" vertical="center" wrapText="1"/>
    </xf>
    <xf numFmtId="0" fontId="103" fillId="6" borderId="3" xfId="0"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0" borderId="24" xfId="0" applyFont="1" applyFill="1" applyBorder="1" applyAlignment="1" applyProtection="1">
      <alignment horizontal="center" vertical="center" wrapText="1"/>
      <protection locked="0"/>
    </xf>
    <xf numFmtId="0" fontId="103" fillId="6" borderId="2" xfId="0" applyFont="1" applyFill="1" applyBorder="1" applyAlignment="1" applyProtection="1">
      <alignment horizontal="left" vertical="center" wrapText="1"/>
    </xf>
    <xf numFmtId="0" fontId="103" fillId="5" borderId="3" xfId="0" applyFont="1" applyFill="1" applyBorder="1" applyAlignment="1" applyProtection="1">
      <alignment horizontal="center" vertical="center" wrapText="1"/>
      <protection locked="0"/>
    </xf>
    <xf numFmtId="0" fontId="103" fillId="5" borderId="1" xfId="0" applyFont="1" applyFill="1" applyBorder="1" applyAlignment="1" applyProtection="1">
      <alignment horizontal="center" vertical="center" wrapText="1"/>
      <protection locked="0"/>
    </xf>
    <xf numFmtId="0" fontId="103" fillId="5" borderId="2" xfId="0" applyFont="1" applyFill="1" applyBorder="1" applyAlignment="1" applyProtection="1">
      <alignment horizontal="center" vertical="center" wrapText="1"/>
      <protection locked="0"/>
    </xf>
    <xf numFmtId="0" fontId="50" fillId="6" borderId="4" xfId="0" applyFont="1" applyFill="1" applyBorder="1" applyAlignment="1" applyProtection="1">
      <alignment vertical="center"/>
    </xf>
    <xf numFmtId="0" fontId="55" fillId="6" borderId="0" xfId="0" applyFont="1" applyFill="1" applyBorder="1" applyAlignment="1" applyProtection="1">
      <alignment vertical="center" wrapText="1"/>
    </xf>
    <xf numFmtId="0" fontId="118" fillId="6" borderId="60" xfId="0" applyFont="1" applyFill="1" applyBorder="1" applyAlignment="1" applyProtection="1">
      <alignment vertical="center"/>
    </xf>
    <xf numFmtId="0" fontId="118" fillId="6" borderId="71" xfId="0" applyFont="1" applyFill="1" applyBorder="1" applyAlignment="1" applyProtection="1">
      <alignment vertical="center"/>
    </xf>
    <xf numFmtId="0" fontId="103" fillId="6" borderId="74" xfId="0" applyFont="1" applyFill="1" applyBorder="1" applyAlignment="1" applyProtection="1">
      <alignment horizontal="left" vertical="center" wrapText="1"/>
    </xf>
    <xf numFmtId="0" fontId="55" fillId="5" borderId="9" xfId="0" applyFont="1" applyFill="1" applyBorder="1" applyAlignment="1" applyProtection="1">
      <alignment horizontal="center" vertical="center" wrapText="1"/>
      <protection locked="0"/>
    </xf>
    <xf numFmtId="0" fontId="55" fillId="5" borderId="10" xfId="0" applyFont="1" applyFill="1" applyBorder="1" applyAlignment="1" applyProtection="1">
      <alignment horizontal="center" vertical="center" wrapText="1"/>
      <protection locked="0"/>
    </xf>
    <xf numFmtId="0" fontId="55" fillId="6" borderId="23" xfId="0" applyFont="1" applyFill="1" applyBorder="1" applyAlignment="1" applyProtection="1">
      <alignment horizontal="center" vertical="center" wrapText="1"/>
    </xf>
    <xf numFmtId="9" fontId="55" fillId="6" borderId="25" xfId="0" applyNumberFormat="1" applyFont="1" applyFill="1" applyBorder="1" applyAlignment="1" applyProtection="1">
      <alignment horizontal="center" vertical="center" wrapText="1"/>
    </xf>
    <xf numFmtId="0" fontId="55" fillId="7" borderId="0" xfId="0" applyFont="1" applyFill="1" applyAlignment="1" applyProtection="1">
      <alignment vertical="center" wrapText="1"/>
    </xf>
    <xf numFmtId="49" fontId="52" fillId="6" borderId="26" xfId="0" applyNumberFormat="1" applyFont="1" applyFill="1" applyBorder="1" applyAlignment="1" applyProtection="1">
      <alignment horizontal="left" vertical="center" wrapText="1"/>
    </xf>
    <xf numFmtId="0" fontId="52" fillId="6" borderId="84" xfId="0" applyFont="1" applyFill="1" applyBorder="1" applyAlignment="1" applyProtection="1">
      <alignment horizontal="left" vertical="center" wrapText="1"/>
    </xf>
    <xf numFmtId="0" fontId="55" fillId="6" borderId="64" xfId="0" applyFont="1" applyFill="1" applyBorder="1" applyAlignment="1" applyProtection="1">
      <alignment vertical="center"/>
    </xf>
    <xf numFmtId="0" fontId="53" fillId="6" borderId="65" xfId="0" applyFont="1" applyFill="1" applyBorder="1" applyAlignment="1" applyProtection="1">
      <alignment vertical="center" wrapText="1"/>
    </xf>
    <xf numFmtId="0" fontId="55" fillId="0" borderId="0" xfId="0" applyFont="1" applyAlignment="1" applyProtection="1">
      <alignment horizontal="center" vertical="center" wrapText="1"/>
    </xf>
    <xf numFmtId="0" fontId="53" fillId="6" borderId="84" xfId="0" applyFont="1" applyFill="1" applyBorder="1" applyAlignment="1" applyProtection="1">
      <alignment horizontal="center" vertical="center" wrapText="1"/>
    </xf>
    <xf numFmtId="0" fontId="53" fillId="5" borderId="84" xfId="8" applyFont="1" applyFill="1" applyBorder="1" applyAlignment="1" applyProtection="1">
      <alignment horizontal="center" vertical="center" wrapText="1"/>
      <protection locked="0"/>
    </xf>
    <xf numFmtId="0" fontId="53" fillId="6" borderId="6" xfId="0" applyFont="1" applyFill="1" applyBorder="1" applyAlignment="1" applyProtection="1">
      <alignment vertical="center" wrapText="1"/>
    </xf>
    <xf numFmtId="0" fontId="55" fillId="6" borderId="64" xfId="0" applyFont="1" applyFill="1" applyBorder="1" applyAlignment="1" applyProtection="1">
      <alignment horizontal="center" vertical="center" wrapText="1"/>
    </xf>
    <xf numFmtId="0" fontId="53" fillId="0" borderId="0" xfId="0" applyFont="1" applyAlignment="1" applyProtection="1">
      <alignment horizontal="center" vertical="center" wrapText="1"/>
    </xf>
    <xf numFmtId="49" fontId="52" fillId="6" borderId="40" xfId="0" applyNumberFormat="1" applyFont="1" applyFill="1" applyBorder="1" applyAlignment="1" applyProtection="1">
      <alignment horizontal="left" vertical="center" wrapText="1"/>
    </xf>
    <xf numFmtId="0" fontId="52" fillId="6" borderId="17" xfId="0" applyFont="1" applyFill="1" applyBorder="1" applyAlignment="1" applyProtection="1">
      <alignment horizontal="left" vertical="center" wrapText="1"/>
    </xf>
    <xf numFmtId="0" fontId="55" fillId="6" borderId="17" xfId="0" applyFont="1" applyFill="1" applyBorder="1" applyAlignment="1" applyProtection="1">
      <alignment horizontal="center" vertical="center" wrapText="1"/>
    </xf>
    <xf numFmtId="0" fontId="53" fillId="6" borderId="25" xfId="0" applyFont="1" applyFill="1" applyBorder="1" applyAlignment="1" applyProtection="1">
      <alignment vertical="center" wrapText="1"/>
    </xf>
    <xf numFmtId="0" fontId="53" fillId="6" borderId="19" xfId="8" applyFont="1" applyFill="1" applyBorder="1" applyAlignment="1" applyProtection="1">
      <alignment horizontal="center" vertical="center" wrapText="1"/>
      <protection locked="0"/>
    </xf>
    <xf numFmtId="0" fontId="53" fillId="6" borderId="9" xfId="8" applyFont="1" applyFill="1" applyBorder="1" applyAlignment="1" applyProtection="1">
      <alignment vertical="center" wrapText="1"/>
      <protection locked="0"/>
    </xf>
    <xf numFmtId="0" fontId="53" fillId="6" borderId="31" xfId="8" applyFont="1" applyFill="1" applyBorder="1" applyAlignment="1" applyProtection="1">
      <alignment vertical="center"/>
      <protection locked="0"/>
    </xf>
    <xf numFmtId="49" fontId="52" fillId="6" borderId="6" xfId="0" applyNumberFormat="1" applyFont="1" applyFill="1" applyBorder="1" applyAlignment="1" applyProtection="1">
      <alignment horizontal="left" vertical="center" wrapText="1"/>
    </xf>
    <xf numFmtId="0" fontId="52" fillId="5" borderId="9" xfId="0" applyFont="1" applyFill="1" applyBorder="1" applyAlignment="1" applyProtection="1">
      <alignment horizontal="left" vertical="center" wrapText="1"/>
      <protection locked="0"/>
    </xf>
    <xf numFmtId="0" fontId="53" fillId="6" borderId="19" xfId="0" applyFont="1" applyFill="1" applyBorder="1" applyAlignment="1" applyProtection="1">
      <alignment vertical="center" wrapText="1"/>
    </xf>
    <xf numFmtId="0" fontId="53" fillId="6" borderId="10" xfId="0" applyFont="1" applyFill="1" applyBorder="1" applyAlignment="1" applyProtection="1">
      <alignment vertical="center" wrapText="1"/>
    </xf>
    <xf numFmtId="0" fontId="53" fillId="6" borderId="23" xfId="8" applyFont="1" applyFill="1" applyBorder="1" applyAlignment="1" applyProtection="1">
      <alignment horizontal="center" vertical="center" wrapText="1"/>
    </xf>
    <xf numFmtId="0" fontId="53" fillId="6" borderId="1" xfId="0" applyFont="1" applyFill="1" applyBorder="1" applyAlignment="1" applyProtection="1">
      <alignment horizontal="left" vertical="center" wrapText="1"/>
    </xf>
    <xf numFmtId="0" fontId="53" fillId="6" borderId="13" xfId="0" applyFont="1" applyFill="1" applyBorder="1" applyAlignment="1" applyProtection="1">
      <alignment horizontal="left" vertical="center" wrapText="1"/>
    </xf>
    <xf numFmtId="187" fontId="55" fillId="6" borderId="15" xfId="0" applyNumberFormat="1" applyFont="1" applyFill="1" applyBorder="1" applyAlignment="1" applyProtection="1">
      <alignment horizontal="center" vertical="center" wrapText="1"/>
    </xf>
    <xf numFmtId="187" fontId="55" fillId="6" borderId="58" xfId="0" applyNumberFormat="1" applyFont="1" applyFill="1" applyBorder="1" applyAlignment="1" applyProtection="1">
      <alignment horizontal="center" vertical="center" wrapText="1"/>
    </xf>
    <xf numFmtId="0" fontId="55" fillId="6" borderId="22" xfId="0" applyFont="1" applyFill="1" applyBorder="1" applyAlignment="1" applyProtection="1">
      <alignment vertical="center" wrapText="1"/>
    </xf>
    <xf numFmtId="0" fontId="53" fillId="6" borderId="13" xfId="0" applyFont="1" applyFill="1" applyBorder="1" applyAlignment="1" applyProtection="1">
      <alignment vertical="center" wrapText="1"/>
    </xf>
    <xf numFmtId="0" fontId="53" fillId="6" borderId="61" xfId="0" applyFont="1" applyFill="1" applyBorder="1" applyAlignment="1" applyProtection="1">
      <alignment vertical="center" wrapText="1"/>
    </xf>
    <xf numFmtId="0" fontId="53" fillId="6" borderId="84" xfId="0" applyFont="1" applyFill="1" applyBorder="1" applyAlignment="1" applyProtection="1">
      <alignment vertical="center" wrapText="1"/>
    </xf>
    <xf numFmtId="0" fontId="53" fillId="6" borderId="67" xfId="0" applyFont="1" applyFill="1" applyBorder="1" applyAlignment="1" applyProtection="1">
      <alignment vertical="center" wrapText="1"/>
    </xf>
    <xf numFmtId="0" fontId="53" fillId="6" borderId="25" xfId="8" applyFont="1" applyFill="1" applyBorder="1" applyAlignment="1" applyProtection="1">
      <alignment horizontal="center" vertical="center" wrapText="1"/>
    </xf>
    <xf numFmtId="0" fontId="52" fillId="6" borderId="28" xfId="0" applyFont="1" applyFill="1" applyBorder="1" applyAlignment="1" applyProtection="1">
      <alignment horizontal="left" vertical="center" wrapText="1"/>
    </xf>
    <xf numFmtId="0" fontId="56" fillId="6" borderId="19" xfId="0" applyFont="1" applyFill="1" applyBorder="1" applyAlignment="1" applyProtection="1">
      <alignment vertical="center" wrapText="1"/>
    </xf>
    <xf numFmtId="49" fontId="52" fillId="6" borderId="14" xfId="0" applyNumberFormat="1" applyFont="1" applyFill="1" applyBorder="1" applyAlignment="1" applyProtection="1">
      <alignment horizontal="center" vertical="center" wrapText="1"/>
    </xf>
    <xf numFmtId="0" fontId="55" fillId="6" borderId="58" xfId="0" applyFont="1" applyFill="1" applyBorder="1" applyAlignment="1" applyProtection="1">
      <alignment vertical="center" wrapText="1"/>
    </xf>
    <xf numFmtId="0" fontId="56" fillId="6" borderId="0" xfId="0" applyFont="1" applyFill="1" applyBorder="1" applyAlignment="1" applyProtection="1">
      <alignment vertical="center" wrapText="1"/>
    </xf>
    <xf numFmtId="0" fontId="55" fillId="6" borderId="56" xfId="0" applyFont="1" applyFill="1" applyBorder="1" applyAlignment="1" applyProtection="1">
      <alignment vertical="center" wrapText="1"/>
    </xf>
    <xf numFmtId="0" fontId="53" fillId="6" borderId="0" xfId="0" applyFont="1" applyFill="1" applyBorder="1" applyAlignment="1" applyProtection="1">
      <alignment horizontal="left" vertical="center" wrapText="1"/>
    </xf>
    <xf numFmtId="0" fontId="55" fillId="6" borderId="75" xfId="0" applyFont="1" applyFill="1" applyBorder="1" applyAlignment="1" applyProtection="1">
      <alignment vertical="center" wrapText="1"/>
    </xf>
    <xf numFmtId="0" fontId="55" fillId="6" borderId="47" xfId="0" applyFont="1" applyFill="1" applyBorder="1" applyAlignment="1" applyProtection="1">
      <alignment vertical="center" wrapText="1"/>
    </xf>
    <xf numFmtId="0" fontId="56" fillId="6" borderId="47" xfId="0" applyFont="1" applyFill="1" applyBorder="1" applyAlignment="1" applyProtection="1">
      <alignment vertical="center" wrapText="1"/>
    </xf>
    <xf numFmtId="0" fontId="55" fillId="6" borderId="43" xfId="0" applyFont="1" applyFill="1" applyBorder="1" applyAlignment="1" applyProtection="1">
      <alignment vertical="center" wrapText="1"/>
    </xf>
    <xf numFmtId="49" fontId="52" fillId="6" borderId="40" xfId="0" applyNumberFormat="1" applyFont="1" applyFill="1" applyBorder="1" applyAlignment="1" applyProtection="1">
      <alignment horizontal="center" vertical="center" wrapText="1"/>
    </xf>
    <xf numFmtId="0" fontId="56" fillId="6" borderId="30" xfId="0" applyFont="1" applyFill="1" applyBorder="1" applyAlignment="1" applyProtection="1">
      <alignment vertical="center" wrapText="1"/>
    </xf>
    <xf numFmtId="0" fontId="52" fillId="6" borderId="9" xfId="0" applyFont="1" applyFill="1" applyBorder="1" applyAlignment="1" applyProtection="1">
      <alignment horizontal="center" vertical="center" wrapText="1"/>
    </xf>
    <xf numFmtId="0" fontId="52" fillId="6" borderId="28" xfId="0" applyFont="1" applyFill="1" applyBorder="1" applyAlignment="1" applyProtection="1">
      <alignment horizontal="center" vertical="center" wrapText="1"/>
    </xf>
    <xf numFmtId="0" fontId="56" fillId="6" borderId="28" xfId="0" applyFont="1" applyFill="1" applyBorder="1" applyAlignment="1" applyProtection="1">
      <alignment vertical="center" wrapText="1"/>
    </xf>
    <xf numFmtId="0" fontId="55" fillId="6" borderId="14" xfId="0" applyFont="1" applyFill="1" applyBorder="1" applyAlignment="1" applyProtection="1">
      <alignment horizontal="center" vertical="center" wrapText="1"/>
    </xf>
    <xf numFmtId="0" fontId="55" fillId="6" borderId="3" xfId="0" applyFont="1" applyFill="1" applyBorder="1" applyAlignment="1" applyProtection="1">
      <alignment horizontal="left" vertical="center" wrapText="1"/>
    </xf>
    <xf numFmtId="0" fontId="55" fillId="0" borderId="1" xfId="0" applyFont="1" applyBorder="1" applyAlignment="1" applyProtection="1">
      <alignment vertical="center" wrapText="1"/>
      <protection locked="0"/>
    </xf>
    <xf numFmtId="0" fontId="103" fillId="6" borderId="5" xfId="0" applyFont="1" applyFill="1" applyBorder="1" applyAlignment="1" applyProtection="1">
      <alignment vertical="center"/>
    </xf>
    <xf numFmtId="0" fontId="103" fillId="6" borderId="54" xfId="0" applyFont="1" applyFill="1" applyBorder="1" applyAlignment="1" applyProtection="1">
      <alignment vertical="center"/>
    </xf>
    <xf numFmtId="0" fontId="103" fillId="6" borderId="48" xfId="0" applyFont="1" applyFill="1" applyBorder="1" applyAlignment="1" applyProtection="1">
      <alignment vertical="center"/>
    </xf>
    <xf numFmtId="0" fontId="56" fillId="6" borderId="12" xfId="0" applyFont="1" applyFill="1" applyBorder="1" applyAlignment="1" applyProtection="1">
      <alignment vertical="center" wrapText="1"/>
    </xf>
    <xf numFmtId="0" fontId="55" fillId="6" borderId="66" xfId="0" applyFont="1" applyFill="1" applyBorder="1" applyAlignment="1" applyProtection="1">
      <alignment horizontal="left" vertical="center" wrapText="1"/>
    </xf>
    <xf numFmtId="0" fontId="55" fillId="0" borderId="32" xfId="0" applyFont="1" applyBorder="1" applyAlignment="1" applyProtection="1">
      <alignment vertical="center" wrapText="1"/>
      <protection locked="0"/>
    </xf>
    <xf numFmtId="0" fontId="55" fillId="6" borderId="32" xfId="0" applyFont="1" applyFill="1" applyBorder="1" applyAlignment="1" applyProtection="1">
      <alignment vertical="center"/>
    </xf>
    <xf numFmtId="0" fontId="55" fillId="6" borderId="52" xfId="0" applyFont="1" applyFill="1" applyBorder="1" applyAlignment="1" applyProtection="1">
      <alignment vertical="center" wrapText="1"/>
    </xf>
    <xf numFmtId="0" fontId="55" fillId="6" borderId="68" xfId="0" applyFont="1" applyFill="1" applyBorder="1" applyAlignment="1" applyProtection="1">
      <alignment vertical="center" wrapText="1"/>
    </xf>
    <xf numFmtId="0" fontId="56" fillId="6" borderId="40" xfId="0" applyFont="1" applyFill="1" applyBorder="1" applyAlignment="1" applyProtection="1">
      <alignment vertical="center" wrapText="1"/>
    </xf>
    <xf numFmtId="0" fontId="56" fillId="6" borderId="39" xfId="0" applyFont="1" applyFill="1" applyBorder="1" applyAlignment="1" applyProtection="1">
      <alignment horizontal="left" vertical="center" wrapText="1"/>
    </xf>
    <xf numFmtId="0" fontId="55" fillId="6" borderId="20" xfId="0" applyFont="1" applyFill="1" applyBorder="1" applyAlignment="1" applyProtection="1">
      <alignment vertical="center"/>
    </xf>
    <xf numFmtId="0" fontId="55" fillId="6" borderId="30" xfId="0" applyFont="1" applyFill="1" applyBorder="1" applyAlignment="1" applyProtection="1">
      <alignment vertical="center"/>
    </xf>
    <xf numFmtId="0" fontId="56" fillId="6" borderId="7" xfId="0" applyFont="1" applyFill="1" applyBorder="1" applyAlignment="1" applyProtection="1">
      <alignment vertical="center" wrapText="1"/>
    </xf>
    <xf numFmtId="0" fontId="52" fillId="6" borderId="2" xfId="0" applyFont="1" applyFill="1" applyBorder="1" applyAlignment="1" applyProtection="1">
      <alignment horizontal="center" vertical="center" wrapText="1"/>
    </xf>
    <xf numFmtId="0" fontId="103" fillId="6" borderId="7" xfId="0" applyFont="1" applyFill="1" applyBorder="1" applyAlignment="1" applyProtection="1">
      <alignment horizontal="center" vertical="center" wrapText="1"/>
    </xf>
    <xf numFmtId="0" fontId="55" fillId="6" borderId="56" xfId="0" applyFont="1" applyFill="1" applyBorder="1" applyAlignment="1" applyProtection="1">
      <alignment horizontal="center" vertical="center" wrapText="1"/>
    </xf>
    <xf numFmtId="0" fontId="56" fillId="6" borderId="14" xfId="0" applyFont="1" applyFill="1" applyBorder="1" applyAlignment="1" applyProtection="1">
      <alignment vertical="center" wrapText="1"/>
    </xf>
    <xf numFmtId="0" fontId="55" fillId="6" borderId="16" xfId="0" applyFont="1" applyFill="1" applyBorder="1" applyAlignment="1" applyProtection="1">
      <alignment vertical="center"/>
      <protection locked="0"/>
    </xf>
    <xf numFmtId="0" fontId="55" fillId="6" borderId="31" xfId="0" applyFont="1" applyFill="1" applyBorder="1" applyAlignment="1" applyProtection="1">
      <alignment vertical="center" wrapText="1"/>
      <protection locked="0"/>
    </xf>
    <xf numFmtId="9" fontId="55" fillId="6" borderId="24" xfId="0" applyNumberFormat="1" applyFont="1" applyFill="1" applyBorder="1" applyAlignment="1" applyProtection="1">
      <alignment horizontal="center" vertical="center"/>
    </xf>
    <xf numFmtId="0" fontId="103" fillId="6" borderId="66" xfId="0" applyFont="1" applyFill="1" applyBorder="1" applyAlignment="1" applyProtection="1">
      <alignment horizontal="center" vertical="center" wrapText="1"/>
    </xf>
    <xf numFmtId="0" fontId="55" fillId="6" borderId="43" xfId="0" applyFont="1" applyFill="1" applyBorder="1" applyAlignment="1" applyProtection="1">
      <alignment horizontal="center" vertical="center" wrapText="1"/>
    </xf>
    <xf numFmtId="0" fontId="55" fillId="6" borderId="25" xfId="0" applyFont="1" applyFill="1" applyBorder="1" applyAlignment="1" applyProtection="1">
      <alignment vertical="center" wrapText="1"/>
    </xf>
    <xf numFmtId="9" fontId="55" fillId="6" borderId="49" xfId="0" applyNumberFormat="1" applyFont="1" applyFill="1" applyBorder="1" applyAlignment="1" applyProtection="1">
      <alignment horizontal="center" vertical="center" wrapText="1"/>
    </xf>
    <xf numFmtId="0" fontId="55" fillId="7" borderId="0" xfId="0" applyFont="1" applyFill="1" applyAlignment="1" applyProtection="1">
      <alignment horizontal="left" vertical="center" wrapText="1"/>
      <protection locked="0"/>
    </xf>
    <xf numFmtId="0" fontId="113" fillId="6" borderId="0" xfId="0" applyFont="1" applyFill="1" applyProtection="1">
      <alignment vertical="center"/>
    </xf>
    <xf numFmtId="187" fontId="102" fillId="6" borderId="0" xfId="0" applyNumberFormat="1" applyFont="1" applyFill="1" applyAlignment="1" applyProtection="1">
      <alignment horizontal="center" vertical="center" wrapText="1"/>
    </xf>
    <xf numFmtId="0" fontId="113" fillId="6" borderId="51" xfId="0" applyFont="1" applyFill="1" applyBorder="1" applyAlignment="1" applyProtection="1">
      <alignment vertical="center"/>
    </xf>
    <xf numFmtId="187" fontId="217" fillId="6" borderId="19" xfId="0" applyNumberFormat="1" applyFont="1" applyFill="1" applyBorder="1" applyAlignment="1" applyProtection="1">
      <alignment horizontal="center" vertical="center" wrapText="1"/>
    </xf>
    <xf numFmtId="0" fontId="102" fillId="6" borderId="19" xfId="0" applyFont="1" applyFill="1" applyBorder="1" applyProtection="1">
      <alignment vertical="center"/>
    </xf>
    <xf numFmtId="0" fontId="113" fillId="6" borderId="0" xfId="0" applyFont="1" applyFill="1" applyBorder="1" applyAlignment="1" applyProtection="1">
      <alignment horizontal="center" vertical="center"/>
    </xf>
    <xf numFmtId="0" fontId="103" fillId="6" borderId="23" xfId="0" applyFont="1" applyFill="1" applyBorder="1" applyAlignment="1" applyProtection="1">
      <alignment horizontal="center" vertical="center" wrapText="1"/>
    </xf>
    <xf numFmtId="0" fontId="118" fillId="6" borderId="58" xfId="0" applyFont="1" applyFill="1" applyBorder="1" applyAlignment="1" applyProtection="1">
      <alignment horizontal="center" vertical="center" wrapText="1"/>
    </xf>
    <xf numFmtId="0" fontId="118" fillId="6" borderId="1" xfId="0" applyFont="1" applyFill="1" applyBorder="1" applyAlignment="1" applyProtection="1">
      <alignment horizontal="center" vertical="center" wrapText="1"/>
    </xf>
    <xf numFmtId="49" fontId="103" fillId="6" borderId="1" xfId="0" applyNumberFormat="1" applyFont="1" applyFill="1" applyBorder="1" applyAlignment="1" applyProtection="1">
      <alignment horizontal="center" vertical="center" wrapText="1"/>
    </xf>
    <xf numFmtId="0" fontId="103" fillId="6" borderId="1" xfId="0" applyNumberFormat="1" applyFont="1" applyFill="1" applyBorder="1" applyAlignment="1" applyProtection="1">
      <alignment horizontal="center" vertical="center" wrapText="1"/>
    </xf>
    <xf numFmtId="0" fontId="177" fillId="0" borderId="1" xfId="0" applyNumberFormat="1" applyFont="1" applyFill="1" applyBorder="1" applyAlignment="1" applyProtection="1">
      <alignment horizontal="center" vertical="center" wrapText="1"/>
      <protection locked="0"/>
    </xf>
    <xf numFmtId="0" fontId="177" fillId="0" borderId="13" xfId="0" applyNumberFormat="1" applyFont="1" applyFill="1" applyBorder="1" applyAlignment="1" applyProtection="1">
      <alignment horizontal="center" vertical="center" wrapText="1"/>
      <protection locked="0"/>
    </xf>
    <xf numFmtId="0" fontId="103" fillId="6" borderId="37" xfId="0" applyFont="1" applyFill="1" applyBorder="1" applyAlignment="1" applyProtection="1">
      <alignment horizontal="center" vertical="center" wrapText="1"/>
    </xf>
    <xf numFmtId="0" fontId="103" fillId="6" borderId="25" xfId="0" applyFont="1" applyFill="1" applyBorder="1" applyAlignment="1" applyProtection="1">
      <alignment horizontal="center" vertical="center" wrapText="1"/>
    </xf>
    <xf numFmtId="49" fontId="103" fillId="6" borderId="74" xfId="0" applyNumberFormat="1" applyFont="1" applyFill="1" applyBorder="1" applyAlignment="1" applyProtection="1">
      <alignment horizontal="center" vertical="center" wrapText="1"/>
    </xf>
    <xf numFmtId="49" fontId="103" fillId="6" borderId="32" xfId="0" applyNumberFormat="1" applyFont="1" applyFill="1" applyBorder="1" applyAlignment="1" applyProtection="1">
      <alignment horizontal="center" vertical="center" wrapText="1"/>
    </xf>
    <xf numFmtId="0" fontId="55" fillId="0" borderId="0" xfId="0" applyFont="1" applyAlignment="1" applyProtection="1">
      <alignment horizontal="center" vertical="center" wrapText="1"/>
      <protection locked="0"/>
    </xf>
    <xf numFmtId="0" fontId="103" fillId="6" borderId="32" xfId="0" applyNumberFormat="1" applyFont="1" applyFill="1" applyBorder="1" applyAlignment="1" applyProtection="1">
      <alignment horizontal="center" vertical="center" wrapText="1"/>
    </xf>
    <xf numFmtId="0" fontId="106" fillId="6" borderId="0" xfId="0" applyFont="1" applyFill="1" applyAlignment="1" applyProtection="1">
      <alignment horizontal="center" vertical="center"/>
    </xf>
    <xf numFmtId="0" fontId="103" fillId="6" borderId="3" xfId="0" applyFont="1" applyFill="1" applyBorder="1" applyAlignment="1" applyProtection="1">
      <alignment vertical="center"/>
    </xf>
    <xf numFmtId="0" fontId="103" fillId="6" borderId="0" xfId="0" applyFont="1" applyFill="1" applyBorder="1" applyAlignment="1" applyProtection="1">
      <alignment horizontal="center" vertical="center"/>
    </xf>
    <xf numFmtId="186" fontId="103" fillId="6" borderId="1" xfId="0" applyNumberFormat="1" applyFont="1" applyFill="1" applyBorder="1" applyAlignment="1" applyProtection="1">
      <alignment horizontal="center" vertical="center"/>
    </xf>
    <xf numFmtId="187" fontId="103" fillId="6" borderId="1" xfId="0" applyNumberFormat="1" applyFont="1" applyFill="1" applyBorder="1" applyAlignment="1" applyProtection="1">
      <alignment horizontal="center" vertical="center"/>
    </xf>
    <xf numFmtId="177" fontId="118" fillId="6" borderId="1" xfId="0" applyNumberFormat="1" applyFont="1" applyFill="1" applyBorder="1" applyAlignment="1" applyProtection="1">
      <alignment horizontal="center" vertical="center"/>
    </xf>
    <xf numFmtId="187" fontId="118" fillId="6" borderId="1" xfId="0" applyNumberFormat="1" applyFont="1" applyFill="1" applyBorder="1" applyAlignment="1" applyProtection="1">
      <alignment horizontal="center" vertical="center" wrapText="1"/>
    </xf>
    <xf numFmtId="186" fontId="103" fillId="6" borderId="2" xfId="0" applyNumberFormat="1" applyFont="1" applyFill="1" applyBorder="1" applyAlignment="1" applyProtection="1">
      <alignment horizontal="center" vertical="center" wrapText="1"/>
    </xf>
    <xf numFmtId="179" fontId="118" fillId="6" borderId="1" xfId="0" applyNumberFormat="1" applyFont="1" applyFill="1" applyBorder="1" applyAlignment="1" applyProtection="1">
      <alignment horizontal="center" vertical="center"/>
    </xf>
    <xf numFmtId="0" fontId="103" fillId="0" borderId="0" xfId="0" applyFont="1" applyAlignment="1" applyProtection="1">
      <alignment horizontal="left" vertical="center"/>
    </xf>
    <xf numFmtId="0" fontId="55" fillId="0" borderId="0" xfId="0" applyFont="1" applyAlignment="1" applyProtection="1">
      <alignment horizontal="left" vertical="center" wrapText="1"/>
    </xf>
    <xf numFmtId="0" fontId="183" fillId="6" borderId="1" xfId="3" applyNumberFormat="1" applyFont="1" applyFill="1" applyBorder="1" applyAlignment="1" applyProtection="1">
      <alignment horizontal="center" vertical="center"/>
    </xf>
    <xf numFmtId="0" fontId="102" fillId="0" borderId="0" xfId="0" applyNumberFormat="1" applyFont="1" applyProtection="1">
      <alignment vertical="center"/>
    </xf>
    <xf numFmtId="0" fontId="55" fillId="6" borderId="9" xfId="3" applyNumberFormat="1" applyFont="1" applyFill="1" applyBorder="1" applyAlignment="1" applyProtection="1">
      <alignment horizontal="center" vertical="center"/>
    </xf>
    <xf numFmtId="0" fontId="55" fillId="6" borderId="2" xfId="3" applyNumberFormat="1" applyFont="1" applyFill="1" applyBorder="1" applyAlignment="1" applyProtection="1">
      <alignment horizontal="center" vertical="center"/>
    </xf>
    <xf numFmtId="0" fontId="55" fillId="6" borderId="2" xfId="3" applyNumberFormat="1" applyFont="1" applyFill="1" applyBorder="1" applyAlignment="1" applyProtection="1">
      <alignment horizontal="center" vertical="center" wrapText="1"/>
    </xf>
    <xf numFmtId="0" fontId="55" fillId="6" borderId="17" xfId="3" applyNumberFormat="1" applyFont="1" applyFill="1" applyBorder="1" applyAlignment="1" applyProtection="1">
      <alignment horizontal="center" vertical="center"/>
    </xf>
    <xf numFmtId="0" fontId="55" fillId="6" borderId="62" xfId="3" applyNumberFormat="1" applyFont="1" applyFill="1" applyBorder="1" applyAlignment="1" applyProtection="1">
      <alignment horizontal="center" vertical="center"/>
    </xf>
    <xf numFmtId="0" fontId="130" fillId="6" borderId="1" xfId="0" applyFont="1" applyFill="1" applyBorder="1">
      <alignment vertical="center"/>
    </xf>
    <xf numFmtId="0" fontId="102" fillId="6" borderId="1" xfId="0" applyFont="1" applyFill="1" applyBorder="1">
      <alignment vertical="center"/>
    </xf>
    <xf numFmtId="0" fontId="102" fillId="6" borderId="0" xfId="0" applyFont="1" applyFill="1">
      <alignment vertical="center"/>
    </xf>
    <xf numFmtId="0" fontId="54" fillId="6" borderId="95" xfId="0" applyNumberFormat="1" applyFont="1" applyFill="1" applyBorder="1" applyAlignment="1" applyProtection="1">
      <alignment horizontal="center" vertical="center" wrapText="1"/>
    </xf>
    <xf numFmtId="0" fontId="49" fillId="10" borderId="16" xfId="0" applyNumberFormat="1" applyFont="1" applyFill="1" applyBorder="1" applyAlignment="1" applyProtection="1">
      <alignment horizontal="center" vertical="center" wrapText="1"/>
    </xf>
    <xf numFmtId="0" fontId="54" fillId="6" borderId="16" xfId="0" applyFont="1" applyFill="1" applyBorder="1" applyAlignment="1" applyProtection="1">
      <alignment horizontal="left" vertical="center"/>
      <protection locked="0"/>
    </xf>
    <xf numFmtId="0" fontId="56" fillId="5" borderId="38" xfId="1" applyFont="1" applyFill="1" applyBorder="1" applyAlignment="1" applyProtection="1">
      <alignment vertical="center"/>
      <protection locked="0"/>
    </xf>
    <xf numFmtId="0" fontId="59" fillId="5" borderId="49" xfId="1" applyFont="1" applyFill="1" applyBorder="1" applyAlignment="1" applyProtection="1">
      <alignment vertical="center"/>
      <protection locked="0"/>
    </xf>
    <xf numFmtId="181" fontId="103" fillId="6" borderId="1" xfId="0" applyNumberFormat="1" applyFont="1" applyFill="1" applyBorder="1" applyAlignment="1" applyProtection="1">
      <alignment horizontal="center" vertical="center" wrapText="1"/>
    </xf>
    <xf numFmtId="0" fontId="19" fillId="6" borderId="1" xfId="0" applyFont="1" applyFill="1" applyBorder="1" applyAlignment="1" applyProtection="1">
      <alignment vertical="center" wrapText="1"/>
    </xf>
    <xf numFmtId="0" fontId="56" fillId="6" borderId="9" xfId="0" applyFont="1" applyFill="1" applyBorder="1" applyAlignment="1" applyProtection="1">
      <alignment horizontal="center" vertical="center" wrapText="1"/>
    </xf>
    <xf numFmtId="0" fontId="55" fillId="6" borderId="33" xfId="0" applyFont="1" applyFill="1" applyBorder="1" applyAlignment="1" applyProtection="1">
      <alignment horizontal="center" vertical="center" wrapText="1"/>
    </xf>
    <xf numFmtId="0" fontId="55" fillId="5" borderId="32" xfId="0" applyFont="1" applyFill="1" applyBorder="1" applyAlignment="1" applyProtection="1">
      <alignment horizontal="right" vertical="center" wrapText="1"/>
      <protection locked="0"/>
    </xf>
    <xf numFmtId="0" fontId="55" fillId="6" borderId="66" xfId="0" applyFont="1" applyFill="1" applyBorder="1" applyAlignment="1" applyProtection="1">
      <alignment horizontal="center" vertical="center" wrapText="1"/>
    </xf>
    <xf numFmtId="0" fontId="55" fillId="5" borderId="28" xfId="0" applyFont="1" applyFill="1" applyBorder="1" applyAlignment="1" applyProtection="1">
      <alignment horizontal="center" vertical="center" wrapText="1"/>
      <protection locked="0"/>
    </xf>
    <xf numFmtId="49" fontId="52" fillId="6" borderId="12" xfId="0" applyNumberFormat="1" applyFont="1" applyFill="1" applyBorder="1" applyAlignment="1" applyProtection="1">
      <alignment horizontal="left" vertical="center" wrapText="1"/>
    </xf>
    <xf numFmtId="0" fontId="52" fillId="6" borderId="74" xfId="0" applyFont="1" applyFill="1" applyBorder="1" applyAlignment="1" applyProtection="1">
      <alignment horizontal="left" vertical="center" wrapText="1"/>
    </xf>
    <xf numFmtId="0" fontId="52" fillId="6" borderId="75" xfId="0" applyFont="1" applyFill="1" applyBorder="1" applyAlignment="1" applyProtection="1">
      <alignment horizontal="center" vertical="center" wrapText="1"/>
    </xf>
    <xf numFmtId="0" fontId="55" fillId="6" borderId="75" xfId="0" applyFont="1" applyFill="1" applyBorder="1" applyAlignment="1" applyProtection="1">
      <alignment vertical="center"/>
    </xf>
    <xf numFmtId="0" fontId="52" fillId="6" borderId="47" xfId="0" applyFont="1" applyFill="1" applyBorder="1" applyAlignment="1" applyProtection="1">
      <alignment horizontal="center" vertical="center" wrapText="1"/>
    </xf>
    <xf numFmtId="0" fontId="53" fillId="6" borderId="43" xfId="0" applyFont="1" applyFill="1" applyBorder="1" applyAlignment="1" applyProtection="1">
      <alignment vertical="center" wrapText="1"/>
    </xf>
    <xf numFmtId="0" fontId="55" fillId="6" borderId="32" xfId="0" applyFont="1" applyFill="1" applyBorder="1" applyAlignment="1" applyProtection="1">
      <alignment horizontal="left" vertical="center"/>
    </xf>
    <xf numFmtId="0" fontId="55" fillId="6" borderId="74" xfId="0" applyFont="1" applyFill="1" applyBorder="1" applyAlignment="1" applyProtection="1">
      <alignment horizontal="center" vertical="center" wrapText="1"/>
    </xf>
    <xf numFmtId="0" fontId="55" fillId="6" borderId="75" xfId="0" applyFont="1" applyFill="1" applyBorder="1" applyAlignment="1" applyProtection="1">
      <alignment horizontal="center" vertical="center" wrapText="1"/>
    </xf>
    <xf numFmtId="0" fontId="55" fillId="6" borderId="76" xfId="0" applyFont="1" applyFill="1" applyBorder="1" applyAlignment="1" applyProtection="1">
      <alignment horizontal="center" vertical="center" wrapText="1"/>
    </xf>
    <xf numFmtId="0" fontId="55" fillId="6" borderId="84" xfId="0" applyFont="1" applyFill="1" applyBorder="1" applyAlignment="1" applyProtection="1">
      <alignment horizontal="center" vertical="center"/>
    </xf>
    <xf numFmtId="0" fontId="149" fillId="13" borderId="126" xfId="16" applyFont="1" applyFill="1" applyBorder="1" applyAlignment="1" applyProtection="1">
      <alignment horizontal="left" vertical="center" wrapText="1"/>
    </xf>
    <xf numFmtId="0" fontId="149" fillId="13" borderId="130" xfId="16" applyFont="1" applyFill="1" applyBorder="1" applyAlignment="1" applyProtection="1">
      <alignment horizontal="left" vertical="center" wrapText="1"/>
    </xf>
    <xf numFmtId="0" fontId="106" fillId="0" borderId="0" xfId="9" applyFont="1" applyAlignment="1">
      <alignment horizontal="left" vertical="center"/>
    </xf>
    <xf numFmtId="0" fontId="106" fillId="0" borderId="119" xfId="9" applyFont="1" applyBorder="1" applyAlignment="1">
      <alignment horizontal="left" vertical="center"/>
    </xf>
    <xf numFmtId="0" fontId="100" fillId="6" borderId="119" xfId="10" applyFont="1" applyFill="1" applyBorder="1" applyAlignment="1" applyProtection="1">
      <alignment horizontal="left" vertical="center"/>
    </xf>
    <xf numFmtId="0" fontId="22" fillId="6" borderId="119" xfId="10" applyFont="1" applyFill="1" applyBorder="1" applyAlignment="1" applyProtection="1">
      <alignment horizontal="left" vertical="center"/>
    </xf>
    <xf numFmtId="0" fontId="106" fillId="0" borderId="120" xfId="9" applyFont="1" applyBorder="1" applyAlignment="1">
      <alignment horizontal="left" vertical="center"/>
    </xf>
    <xf numFmtId="0" fontId="144" fillId="16" borderId="0" xfId="9" applyFont="1" applyFill="1" applyAlignment="1">
      <alignment horizontal="left" vertical="center"/>
    </xf>
    <xf numFmtId="0" fontId="102" fillId="16" borderId="0" xfId="10" applyFont="1" applyFill="1" applyAlignment="1" applyProtection="1">
      <alignment horizontal="left" vertical="center"/>
    </xf>
    <xf numFmtId="0" fontId="22" fillId="16" borderId="0" xfId="10" applyFont="1" applyFill="1" applyAlignment="1" applyProtection="1">
      <alignment horizontal="left" vertical="center"/>
    </xf>
    <xf numFmtId="0" fontId="106" fillId="16" borderId="121" xfId="9" applyFont="1" applyFill="1" applyBorder="1" applyAlignment="1">
      <alignment horizontal="left" vertical="center"/>
    </xf>
    <xf numFmtId="0" fontId="106" fillId="16" borderId="0" xfId="9" applyFont="1" applyFill="1" applyBorder="1" applyAlignment="1">
      <alignment horizontal="left" vertical="center"/>
    </xf>
    <xf numFmtId="0" fontId="150" fillId="16" borderId="0" xfId="9" applyFont="1" applyFill="1" applyBorder="1" applyAlignment="1" applyProtection="1">
      <alignment horizontal="left" vertical="center"/>
      <protection locked="0"/>
    </xf>
    <xf numFmtId="0" fontId="106" fillId="16" borderId="0" xfId="9" applyFont="1" applyFill="1" applyAlignment="1">
      <alignment horizontal="left" vertical="center"/>
    </xf>
    <xf numFmtId="0" fontId="142" fillId="16" borderId="0" xfId="9" applyFont="1" applyFill="1" applyAlignment="1">
      <alignment horizontal="left" vertical="center"/>
    </xf>
    <xf numFmtId="0" fontId="103" fillId="16" borderId="0" xfId="9" applyFont="1" applyFill="1" applyAlignment="1">
      <alignment horizontal="left" vertical="center"/>
    </xf>
    <xf numFmtId="10" fontId="103" fillId="16" borderId="0" xfId="9" applyNumberFormat="1" applyFont="1" applyFill="1" applyAlignment="1">
      <alignment horizontal="left" vertical="center"/>
    </xf>
    <xf numFmtId="0" fontId="106" fillId="0" borderId="0" xfId="9" applyFont="1" applyFill="1" applyAlignment="1">
      <alignment horizontal="left" vertical="center"/>
    </xf>
    <xf numFmtId="0" fontId="102" fillId="0" borderId="0" xfId="10" applyFont="1" applyFill="1" applyAlignment="1" applyProtection="1">
      <alignment horizontal="left" vertical="center"/>
    </xf>
    <xf numFmtId="0" fontId="22" fillId="0" borderId="0" xfId="10" applyFont="1" applyFill="1" applyAlignment="1" applyProtection="1">
      <alignment horizontal="left" vertical="center"/>
    </xf>
    <xf numFmtId="0" fontId="106" fillId="0" borderId="121" xfId="9" applyFont="1" applyFill="1" applyBorder="1" applyAlignment="1">
      <alignment horizontal="left" vertical="center"/>
    </xf>
    <xf numFmtId="0" fontId="106" fillId="0" borderId="0" xfId="9" applyFont="1" applyFill="1" applyBorder="1" applyAlignment="1">
      <alignment horizontal="left" vertical="center"/>
    </xf>
    <xf numFmtId="0" fontId="106" fillId="0" borderId="0" xfId="9" applyFont="1" applyFill="1" applyBorder="1" applyAlignment="1" applyProtection="1">
      <alignment horizontal="left" vertical="center"/>
      <protection locked="0"/>
    </xf>
    <xf numFmtId="0" fontId="103" fillId="0" borderId="0" xfId="9" applyFont="1" applyAlignment="1">
      <alignment horizontal="left" vertical="center"/>
    </xf>
    <xf numFmtId="10" fontId="103" fillId="0" borderId="0" xfId="9" applyNumberFormat="1" applyFont="1" applyAlignment="1">
      <alignment horizontal="left" vertical="center"/>
    </xf>
    <xf numFmtId="49" fontId="55" fillId="14" borderId="1" xfId="9" applyNumberFormat="1" applyFont="1" applyFill="1" applyBorder="1" applyAlignment="1" applyProtection="1">
      <alignment horizontal="left" vertical="center" wrapText="1"/>
    </xf>
    <xf numFmtId="186" fontId="150" fillId="14" borderId="0" xfId="9" applyNumberFormat="1" applyFont="1" applyFill="1" applyAlignment="1">
      <alignment horizontal="left" vertical="center"/>
    </xf>
    <xf numFmtId="0" fontId="149" fillId="12" borderId="125" xfId="9" applyFont="1" applyFill="1" applyBorder="1" applyAlignment="1" applyProtection="1">
      <alignment horizontal="left" vertical="center" wrapText="1"/>
    </xf>
    <xf numFmtId="0" fontId="149" fillId="14" borderId="126" xfId="9" applyFont="1" applyFill="1" applyBorder="1" applyAlignment="1" applyProtection="1">
      <alignment horizontal="left" vertical="center" wrapText="1"/>
    </xf>
    <xf numFmtId="0" fontId="150" fillId="14" borderId="0" xfId="9" applyFont="1" applyFill="1" applyBorder="1" applyAlignment="1" applyProtection="1">
      <alignment horizontal="left" vertical="center"/>
      <protection locked="0"/>
    </xf>
    <xf numFmtId="0" fontId="106" fillId="14" borderId="0" xfId="9" applyFont="1" applyFill="1" applyAlignment="1">
      <alignment horizontal="left" vertical="center"/>
    </xf>
    <xf numFmtId="10" fontId="150" fillId="14" borderId="128" xfId="9" applyNumberFormat="1" applyFont="1" applyFill="1" applyBorder="1" applyAlignment="1">
      <alignment horizontal="left" vertical="center"/>
    </xf>
    <xf numFmtId="0" fontId="106" fillId="14" borderId="121" xfId="9" applyFont="1" applyFill="1" applyBorder="1" applyAlignment="1">
      <alignment horizontal="left" vertical="center"/>
    </xf>
    <xf numFmtId="0" fontId="118" fillId="5" borderId="0" xfId="9" applyFont="1" applyFill="1" applyAlignment="1">
      <alignment horizontal="left" vertical="center"/>
    </xf>
    <xf numFmtId="0" fontId="103" fillId="14" borderId="0" xfId="9" applyFont="1" applyFill="1" applyAlignment="1">
      <alignment horizontal="left" vertical="center"/>
    </xf>
    <xf numFmtId="10" fontId="103" fillId="14" borderId="0" xfId="9" applyNumberFormat="1" applyFont="1" applyFill="1" applyAlignment="1">
      <alignment horizontal="left" vertical="center"/>
    </xf>
    <xf numFmtId="49" fontId="55" fillId="6" borderId="1" xfId="9" applyNumberFormat="1" applyFont="1" applyFill="1" applyBorder="1" applyAlignment="1" applyProtection="1">
      <alignment horizontal="left" vertical="center" wrapText="1"/>
    </xf>
    <xf numFmtId="186" fontId="103" fillId="0" borderId="0" xfId="9" applyNumberFormat="1" applyFont="1" applyAlignment="1">
      <alignment horizontal="left" vertical="center"/>
    </xf>
    <xf numFmtId="0" fontId="149" fillId="13" borderId="126" xfId="9" applyFont="1" applyFill="1" applyBorder="1" applyAlignment="1" applyProtection="1">
      <alignment horizontal="left" vertical="center" wrapText="1"/>
    </xf>
    <xf numFmtId="10" fontId="103" fillId="0" borderId="121" xfId="9" applyNumberFormat="1" applyFont="1" applyBorder="1" applyAlignment="1">
      <alignment horizontal="left" vertical="center"/>
    </xf>
    <xf numFmtId="177" fontId="103" fillId="0" borderId="0" xfId="9" applyNumberFormat="1" applyFont="1" applyAlignment="1">
      <alignment horizontal="left" vertical="center"/>
    </xf>
    <xf numFmtId="0" fontId="103" fillId="0" borderId="0" xfId="9" applyFont="1" applyFill="1" applyAlignment="1">
      <alignment horizontal="left" vertical="center"/>
    </xf>
    <xf numFmtId="10" fontId="103" fillId="0" borderId="0" xfId="9" applyNumberFormat="1" applyFont="1" applyFill="1" applyAlignment="1">
      <alignment horizontal="left" vertical="center"/>
    </xf>
    <xf numFmtId="0" fontId="150" fillId="14" borderId="0" xfId="9" applyFont="1" applyFill="1" applyAlignment="1">
      <alignment horizontal="left" vertical="center"/>
    </xf>
    <xf numFmtId="0" fontId="149" fillId="13" borderId="130" xfId="9" applyFont="1" applyFill="1" applyBorder="1" applyAlignment="1" applyProtection="1">
      <alignment horizontal="left" vertical="center" wrapText="1"/>
    </xf>
    <xf numFmtId="0" fontId="149" fillId="12" borderId="123" xfId="9" applyFont="1" applyFill="1" applyBorder="1" applyAlignment="1" applyProtection="1">
      <alignment horizontal="left" vertical="center" wrapText="1"/>
    </xf>
    <xf numFmtId="0" fontId="149" fillId="12" borderId="124" xfId="9" applyFont="1" applyFill="1" applyBorder="1" applyAlignment="1" applyProtection="1">
      <alignment horizontal="left" vertical="center" wrapText="1"/>
    </xf>
    <xf numFmtId="186" fontId="106" fillId="12" borderId="123" xfId="9" applyNumberFormat="1" applyFont="1" applyFill="1" applyBorder="1" applyAlignment="1" applyProtection="1">
      <alignment horizontal="left" vertical="center" wrapText="1"/>
    </xf>
    <xf numFmtId="186" fontId="106" fillId="12" borderId="129" xfId="9" applyNumberFormat="1" applyFont="1" applyFill="1" applyBorder="1" applyAlignment="1" applyProtection="1">
      <alignment horizontal="left" vertical="center" wrapText="1"/>
    </xf>
    <xf numFmtId="0" fontId="149" fillId="12" borderId="126" xfId="9" applyFont="1" applyFill="1" applyBorder="1" applyAlignment="1" applyProtection="1">
      <alignment horizontal="left" vertical="center" wrapText="1"/>
    </xf>
    <xf numFmtId="0" fontId="149" fillId="12" borderId="130" xfId="9" applyFont="1" applyFill="1" applyBorder="1" applyAlignment="1" applyProtection="1">
      <alignment horizontal="left" vertical="center" wrapText="1"/>
    </xf>
    <xf numFmtId="186" fontId="106" fillId="12" borderId="123" xfId="9" applyNumberFormat="1" applyFont="1" applyFill="1" applyBorder="1" applyAlignment="1">
      <alignment horizontal="left" vertical="center" wrapText="1"/>
    </xf>
    <xf numFmtId="186" fontId="106" fillId="12" borderId="129" xfId="9" applyNumberFormat="1" applyFont="1" applyFill="1" applyBorder="1" applyAlignment="1">
      <alignment horizontal="left" vertical="center" wrapText="1"/>
    </xf>
    <xf numFmtId="181" fontId="103" fillId="0" borderId="121" xfId="9" applyNumberFormat="1" applyFont="1" applyBorder="1" applyAlignment="1">
      <alignment horizontal="left" vertical="center"/>
    </xf>
    <xf numFmtId="181" fontId="103" fillId="0" borderId="0" xfId="9" applyNumberFormat="1" applyFont="1" applyAlignment="1">
      <alignment horizontal="left" vertical="center"/>
    </xf>
    <xf numFmtId="10" fontId="103" fillId="0" borderId="128" xfId="9" applyNumberFormat="1" applyFont="1" applyBorder="1" applyAlignment="1">
      <alignment horizontal="left" vertical="center"/>
    </xf>
    <xf numFmtId="10" fontId="103" fillId="0" borderId="60" xfId="9" applyNumberFormat="1" applyFont="1" applyBorder="1" applyAlignment="1">
      <alignment horizontal="left" vertical="center"/>
    </xf>
    <xf numFmtId="0" fontId="149" fillId="12" borderId="132" xfId="9" applyFont="1" applyFill="1" applyBorder="1" applyAlignment="1" applyProtection="1">
      <alignment horizontal="left" vertical="center" wrapText="1"/>
    </xf>
    <xf numFmtId="0" fontId="149" fillId="12" borderId="133" xfId="9" applyFont="1" applyFill="1" applyBorder="1" applyAlignment="1" applyProtection="1">
      <alignment horizontal="left" vertical="center" wrapText="1"/>
    </xf>
    <xf numFmtId="10" fontId="103" fillId="0" borderId="134" xfId="9" applyNumberFormat="1" applyFont="1" applyBorder="1" applyAlignment="1">
      <alignment horizontal="left" vertical="center"/>
    </xf>
    <xf numFmtId="10" fontId="103" fillId="0" borderId="36" xfId="9" applyNumberFormat="1" applyFont="1" applyBorder="1" applyAlignment="1">
      <alignment horizontal="left" vertical="center"/>
    </xf>
    <xf numFmtId="0" fontId="103" fillId="0" borderId="121" xfId="9" applyFont="1" applyBorder="1" applyAlignment="1">
      <alignment horizontal="left" vertical="center"/>
    </xf>
    <xf numFmtId="0" fontId="149" fillId="13" borderId="123" xfId="9" applyFont="1" applyFill="1" applyBorder="1" applyAlignment="1" applyProtection="1">
      <alignment horizontal="left" vertical="center" wrapText="1"/>
    </xf>
    <xf numFmtId="0" fontId="149" fillId="13" borderId="124" xfId="9" applyFont="1" applyFill="1" applyBorder="1" applyAlignment="1" applyProtection="1">
      <alignment horizontal="left" vertical="center" wrapText="1"/>
    </xf>
    <xf numFmtId="10" fontId="103" fillId="0" borderId="0" xfId="9" applyNumberFormat="1" applyFont="1" applyBorder="1" applyAlignment="1">
      <alignment horizontal="left" vertical="center"/>
    </xf>
    <xf numFmtId="186" fontId="106" fillId="12" borderId="126" xfId="9" applyNumberFormat="1" applyFont="1" applyFill="1" applyBorder="1" applyAlignment="1">
      <alignment horizontal="left" vertical="center" wrapText="1"/>
    </xf>
    <xf numFmtId="186" fontId="106" fillId="12" borderId="135" xfId="9" applyNumberFormat="1" applyFont="1" applyFill="1" applyBorder="1" applyAlignment="1">
      <alignment horizontal="left" vertical="center" wrapText="1"/>
    </xf>
    <xf numFmtId="0" fontId="103" fillId="13" borderId="123" xfId="9" applyFont="1" applyFill="1" applyBorder="1" applyAlignment="1" applyProtection="1">
      <alignment horizontal="left" vertical="center" wrapText="1"/>
    </xf>
    <xf numFmtId="0" fontId="103" fillId="13" borderId="124" xfId="9" applyFont="1" applyFill="1" applyBorder="1" applyAlignment="1" applyProtection="1">
      <alignment horizontal="left" vertical="center" wrapText="1"/>
    </xf>
    <xf numFmtId="49" fontId="55" fillId="5" borderId="1" xfId="9" applyNumberFormat="1" applyFont="1" applyFill="1" applyBorder="1" applyAlignment="1" applyProtection="1">
      <alignment horizontal="left" vertical="center" wrapText="1"/>
    </xf>
    <xf numFmtId="186" fontId="103" fillId="5" borderId="0" xfId="9" applyNumberFormat="1" applyFont="1" applyFill="1" applyAlignment="1">
      <alignment horizontal="left" vertical="center"/>
    </xf>
    <xf numFmtId="0" fontId="103" fillId="5" borderId="126" xfId="9" applyFont="1" applyFill="1" applyBorder="1" applyAlignment="1" applyProtection="1">
      <alignment horizontal="left" vertical="center" wrapText="1"/>
    </xf>
    <xf numFmtId="0" fontId="103" fillId="5" borderId="130" xfId="9" applyFont="1" applyFill="1" applyBorder="1" applyAlignment="1" applyProtection="1">
      <alignment horizontal="left" vertical="center" wrapText="1"/>
    </xf>
    <xf numFmtId="0" fontId="103" fillId="5" borderId="0" xfId="9" applyFont="1" applyFill="1" applyAlignment="1">
      <alignment horizontal="left" vertical="center"/>
    </xf>
    <xf numFmtId="10" fontId="103" fillId="5" borderId="121" xfId="9" applyNumberFormat="1" applyFont="1" applyFill="1" applyBorder="1" applyAlignment="1">
      <alignment horizontal="left" vertical="center"/>
    </xf>
    <xf numFmtId="10" fontId="103" fillId="5" borderId="0" xfId="9" applyNumberFormat="1" applyFont="1" applyFill="1" applyAlignment="1">
      <alignment horizontal="left" vertical="center"/>
    </xf>
    <xf numFmtId="177" fontId="103" fillId="5" borderId="0" xfId="9" applyNumberFormat="1" applyFont="1" applyFill="1" applyAlignment="1">
      <alignment horizontal="left" vertical="center"/>
    </xf>
    <xf numFmtId="10" fontId="103" fillId="5" borderId="128" xfId="9" applyNumberFormat="1" applyFont="1" applyFill="1" applyBorder="1" applyAlignment="1">
      <alignment horizontal="left" vertical="center"/>
    </xf>
    <xf numFmtId="10" fontId="103" fillId="5" borderId="60" xfId="9" applyNumberFormat="1" applyFont="1" applyFill="1" applyBorder="1" applyAlignment="1">
      <alignment horizontal="left" vertical="center"/>
    </xf>
    <xf numFmtId="0" fontId="128" fillId="5" borderId="0" xfId="9" applyFont="1" applyFill="1" applyAlignment="1">
      <alignment horizontal="left" vertical="center"/>
    </xf>
    <xf numFmtId="0" fontId="103" fillId="5" borderId="0" xfId="9" applyNumberFormat="1" applyFont="1" applyFill="1" applyAlignment="1">
      <alignment horizontal="left" vertical="center"/>
    </xf>
    <xf numFmtId="0" fontId="103" fillId="12" borderId="132" xfId="9" applyFont="1" applyFill="1" applyBorder="1" applyAlignment="1" applyProtection="1">
      <alignment horizontal="left" vertical="center" wrapText="1"/>
    </xf>
    <xf numFmtId="0" fontId="103" fillId="12" borderId="133" xfId="9" applyFont="1" applyFill="1" applyBorder="1" applyAlignment="1" applyProtection="1">
      <alignment horizontal="left" vertical="center" wrapText="1"/>
    </xf>
    <xf numFmtId="14" fontId="103" fillId="0" borderId="0" xfId="9" applyNumberFormat="1" applyFont="1" applyAlignment="1">
      <alignment horizontal="left" vertical="center"/>
    </xf>
    <xf numFmtId="0" fontId="128" fillId="0" borderId="0" xfId="9" applyFont="1" applyAlignment="1">
      <alignment horizontal="left" vertical="center"/>
    </xf>
    <xf numFmtId="0" fontId="103" fillId="0" borderId="0" xfId="9" applyNumberFormat="1" applyFont="1" applyAlignment="1">
      <alignment horizontal="left" vertical="center"/>
    </xf>
    <xf numFmtId="186" fontId="106" fillId="12" borderId="132" xfId="9" applyNumberFormat="1" applyFont="1" applyFill="1" applyBorder="1" applyAlignment="1">
      <alignment horizontal="left" vertical="center" wrapText="1"/>
    </xf>
    <xf numFmtId="186" fontId="106" fillId="12" borderId="136" xfId="9" applyNumberFormat="1" applyFont="1" applyFill="1" applyBorder="1" applyAlignment="1">
      <alignment horizontal="left" vertical="center" wrapText="1"/>
    </xf>
    <xf numFmtId="186" fontId="103" fillId="14" borderId="0" xfId="9" applyNumberFormat="1" applyFont="1" applyFill="1" applyAlignment="1">
      <alignment horizontal="left" vertical="center"/>
    </xf>
    <xf numFmtId="186" fontId="103" fillId="0" borderId="47" xfId="9" applyNumberFormat="1" applyFont="1" applyBorder="1" applyAlignment="1">
      <alignment horizontal="left" vertical="center"/>
    </xf>
    <xf numFmtId="0" fontId="149" fillId="13" borderId="137" xfId="9" applyFont="1" applyFill="1" applyBorder="1" applyAlignment="1" applyProtection="1">
      <alignment horizontal="left" vertical="center" wrapText="1"/>
    </xf>
    <xf numFmtId="0" fontId="149" fillId="13" borderId="138" xfId="9" applyFont="1" applyFill="1" applyBorder="1" applyAlignment="1" applyProtection="1">
      <alignment horizontal="left" vertical="center" wrapText="1"/>
    </xf>
    <xf numFmtId="0" fontId="103" fillId="0" borderId="47" xfId="9" applyFont="1" applyBorder="1" applyAlignment="1">
      <alignment horizontal="left" vertical="center"/>
    </xf>
    <xf numFmtId="10" fontId="103" fillId="0" borderId="139" xfId="9" applyNumberFormat="1" applyFont="1" applyBorder="1" applyAlignment="1">
      <alignment horizontal="left" vertical="center"/>
    </xf>
    <xf numFmtId="10" fontId="103" fillId="0" borderId="47" xfId="9" applyNumberFormat="1" applyFont="1" applyBorder="1" applyAlignment="1">
      <alignment horizontal="left" vertical="center"/>
    </xf>
    <xf numFmtId="177" fontId="103" fillId="0" borderId="47" xfId="9" applyNumberFormat="1" applyFont="1" applyBorder="1" applyAlignment="1">
      <alignment horizontal="left" vertical="center"/>
    </xf>
    <xf numFmtId="0" fontId="149" fillId="12" borderId="140" xfId="9" applyFont="1" applyFill="1" applyBorder="1" applyAlignment="1" applyProtection="1">
      <alignment horizontal="left" vertical="center" wrapText="1"/>
    </xf>
    <xf numFmtId="0" fontId="149" fillId="12" borderId="141" xfId="9" applyFont="1" applyFill="1" applyBorder="1" applyAlignment="1" applyProtection="1">
      <alignment horizontal="left" vertical="center" wrapText="1"/>
    </xf>
    <xf numFmtId="10" fontId="103" fillId="15" borderId="121" xfId="9" applyNumberFormat="1" applyFont="1" applyFill="1" applyBorder="1" applyAlignment="1">
      <alignment horizontal="left" vertical="center"/>
    </xf>
    <xf numFmtId="10" fontId="103" fillId="15" borderId="0" xfId="9" applyNumberFormat="1" applyFont="1" applyFill="1" applyAlignment="1">
      <alignment horizontal="left" vertical="center"/>
    </xf>
    <xf numFmtId="178" fontId="103" fillId="0" borderId="0" xfId="9" applyNumberFormat="1" applyFont="1" applyAlignment="1">
      <alignment horizontal="left" vertical="center"/>
    </xf>
    <xf numFmtId="10" fontId="103" fillId="15" borderId="128" xfId="9" applyNumberFormat="1" applyFont="1" applyFill="1" applyBorder="1" applyAlignment="1">
      <alignment horizontal="left" vertical="center"/>
    </xf>
    <xf numFmtId="10" fontId="103" fillId="15" borderId="60" xfId="9" applyNumberFormat="1" applyFont="1" applyFill="1" applyBorder="1" applyAlignment="1">
      <alignment horizontal="left" vertical="center"/>
    </xf>
    <xf numFmtId="10" fontId="103" fillId="15" borderId="139" xfId="9" applyNumberFormat="1" applyFont="1" applyFill="1" applyBorder="1" applyAlignment="1">
      <alignment horizontal="left" vertical="center"/>
    </xf>
    <xf numFmtId="10" fontId="103" fillId="15" borderId="47" xfId="9" applyNumberFormat="1" applyFont="1" applyFill="1" applyBorder="1" applyAlignment="1">
      <alignment horizontal="left" vertical="center"/>
    </xf>
    <xf numFmtId="178" fontId="103" fillId="0" borderId="47" xfId="9" applyNumberFormat="1" applyFont="1" applyBorder="1" applyAlignment="1">
      <alignment horizontal="left" vertical="center"/>
    </xf>
    <xf numFmtId="0" fontId="106" fillId="13" borderId="142" xfId="9" applyFont="1" applyFill="1" applyBorder="1" applyAlignment="1">
      <alignment horizontal="left" vertical="center" wrapText="1"/>
    </xf>
    <xf numFmtId="0" fontId="106" fillId="13" borderId="143" xfId="9" applyFont="1" applyFill="1" applyBorder="1" applyAlignment="1">
      <alignment horizontal="left" vertical="center" wrapText="1"/>
    </xf>
    <xf numFmtId="180" fontId="103" fillId="0" borderId="0" xfId="9" applyNumberFormat="1" applyFont="1" applyAlignment="1">
      <alignment horizontal="left" vertical="center"/>
    </xf>
    <xf numFmtId="180" fontId="103" fillId="0" borderId="121" xfId="9" applyNumberFormat="1" applyFont="1" applyBorder="1" applyAlignment="1">
      <alignment horizontal="left" vertical="center"/>
    </xf>
    <xf numFmtId="177" fontId="103" fillId="15" borderId="0" xfId="9" applyNumberFormat="1" applyFont="1" applyFill="1" applyAlignment="1">
      <alignment horizontal="left" vertical="center"/>
    </xf>
    <xf numFmtId="0" fontId="149" fillId="13" borderId="132" xfId="9" applyFont="1" applyFill="1" applyBorder="1" applyAlignment="1" applyProtection="1">
      <alignment horizontal="left" vertical="center" wrapText="1"/>
    </xf>
    <xf numFmtId="0" fontId="106" fillId="12" borderId="132" xfId="9" applyFont="1" applyFill="1" applyBorder="1" applyAlignment="1">
      <alignment horizontal="left" vertical="center" wrapText="1"/>
    </xf>
    <xf numFmtId="0" fontId="106" fillId="12" borderId="136" xfId="9" applyFont="1" applyFill="1" applyBorder="1" applyAlignment="1">
      <alignment horizontal="left" vertical="center" wrapText="1"/>
    </xf>
    <xf numFmtId="0" fontId="149" fillId="5" borderId="126" xfId="9" applyFont="1" applyFill="1" applyBorder="1" applyAlignment="1" applyProtection="1">
      <alignment horizontal="left" vertical="center" wrapText="1"/>
    </xf>
    <xf numFmtId="180" fontId="103" fillId="5" borderId="0" xfId="9" applyNumberFormat="1" applyFont="1" applyFill="1" applyAlignment="1">
      <alignment horizontal="left" vertical="center"/>
    </xf>
    <xf numFmtId="0" fontId="103" fillId="5" borderId="121" xfId="9" applyFont="1" applyFill="1" applyBorder="1" applyAlignment="1">
      <alignment horizontal="left" vertical="center"/>
    </xf>
    <xf numFmtId="178" fontId="103" fillId="5" borderId="0" xfId="9" applyNumberFormat="1" applyFont="1" applyFill="1" applyAlignment="1">
      <alignment horizontal="left" vertical="center"/>
    </xf>
    <xf numFmtId="0" fontId="106" fillId="12" borderId="144" xfId="9" applyFont="1" applyFill="1" applyBorder="1" applyAlignment="1">
      <alignment horizontal="left" vertical="center" wrapText="1"/>
    </xf>
    <xf numFmtId="0" fontId="106" fillId="12" borderId="145" xfId="9" applyFont="1" applyFill="1" applyBorder="1" applyAlignment="1">
      <alignment horizontal="left" vertical="center" wrapText="1"/>
    </xf>
    <xf numFmtId="0" fontId="106" fillId="12" borderId="146" xfId="9" applyFont="1" applyFill="1" applyBorder="1" applyAlignment="1">
      <alignment horizontal="left" vertical="center" wrapText="1"/>
    </xf>
    <xf numFmtId="0" fontId="135" fillId="0" borderId="0" xfId="9" applyFont="1" applyAlignment="1">
      <alignment horizontal="left" vertical="center"/>
    </xf>
    <xf numFmtId="0" fontId="118" fillId="0" borderId="0" xfId="9" applyFont="1" applyAlignment="1">
      <alignment horizontal="left" vertical="center"/>
    </xf>
    <xf numFmtId="0" fontId="118" fillId="0" borderId="121" xfId="9" applyFont="1" applyBorder="1" applyAlignment="1">
      <alignment horizontal="left" vertical="center"/>
    </xf>
    <xf numFmtId="180" fontId="118" fillId="0" borderId="0" xfId="9" applyNumberFormat="1" applyFont="1" applyAlignment="1">
      <alignment horizontal="left" vertical="center"/>
    </xf>
    <xf numFmtId="180" fontId="118" fillId="0" borderId="121" xfId="9" applyNumberFormat="1" applyFont="1" applyBorder="1" applyAlignment="1">
      <alignment horizontal="left" vertical="center"/>
    </xf>
    <xf numFmtId="0" fontId="149" fillId="13" borderId="147" xfId="9" applyFont="1" applyFill="1" applyBorder="1" applyAlignment="1">
      <alignment horizontal="left" vertical="center" wrapText="1"/>
    </xf>
    <xf numFmtId="0" fontId="149" fillId="13" borderId="123" xfId="9" applyFont="1" applyFill="1" applyBorder="1" applyAlignment="1">
      <alignment horizontal="left" vertical="center" wrapText="1"/>
    </xf>
    <xf numFmtId="0" fontId="149" fillId="12" borderId="148" xfId="9" applyFont="1" applyFill="1" applyBorder="1" applyAlignment="1">
      <alignment horizontal="left" vertical="center" wrapText="1"/>
    </xf>
    <xf numFmtId="0" fontId="149" fillId="12" borderId="126" xfId="9" applyFont="1" applyFill="1" applyBorder="1" applyAlignment="1">
      <alignment horizontal="left" vertical="center" wrapText="1"/>
    </xf>
    <xf numFmtId="0" fontId="149" fillId="13" borderId="148" xfId="9" applyFont="1" applyFill="1" applyBorder="1" applyAlignment="1">
      <alignment horizontal="left" vertical="center" wrapText="1"/>
    </xf>
    <xf numFmtId="0" fontId="149" fillId="13" borderId="126" xfId="9" applyFont="1" applyFill="1" applyBorder="1" applyAlignment="1">
      <alignment horizontal="left" vertical="center" wrapText="1"/>
    </xf>
    <xf numFmtId="0" fontId="149" fillId="12" borderId="149" xfId="9" applyFont="1" applyFill="1" applyBorder="1" applyAlignment="1">
      <alignment horizontal="left" vertical="center" wrapText="1"/>
    </xf>
    <xf numFmtId="0" fontId="149" fillId="12" borderId="132" xfId="9" applyFont="1" applyFill="1" applyBorder="1" applyAlignment="1">
      <alignment horizontal="left" vertical="center" wrapText="1"/>
    </xf>
    <xf numFmtId="0" fontId="135" fillId="6" borderId="0" xfId="0" applyFont="1" applyFill="1" applyAlignment="1" applyProtection="1">
      <alignment horizontal="left" vertical="center"/>
    </xf>
    <xf numFmtId="0" fontId="190" fillId="6" borderId="154" xfId="0" applyFont="1" applyFill="1" applyBorder="1" applyAlignment="1" applyProtection="1">
      <alignment horizontal="left"/>
    </xf>
    <xf numFmtId="0" fontId="105" fillId="6" borderId="154" xfId="0" applyFont="1" applyFill="1" applyBorder="1" applyAlignment="1" applyProtection="1">
      <alignment horizontal="left"/>
    </xf>
    <xf numFmtId="0" fontId="190" fillId="6" borderId="154" xfId="0" applyFont="1" applyFill="1" applyBorder="1" applyAlignment="1" applyProtection="1">
      <alignment horizontal="right"/>
    </xf>
    <xf numFmtId="0" fontId="105" fillId="7" borderId="154" xfId="0" applyFont="1" applyFill="1" applyBorder="1" applyAlignment="1" applyProtection="1">
      <protection locked="0"/>
    </xf>
    <xf numFmtId="0" fontId="105" fillId="7" borderId="154" xfId="0" applyFont="1" applyFill="1" applyBorder="1" applyAlignment="1" applyProtection="1"/>
    <xf numFmtId="0" fontId="105" fillId="0" borderId="154" xfId="0" applyFont="1" applyFill="1" applyBorder="1" applyAlignment="1" applyProtection="1"/>
    <xf numFmtId="0" fontId="79" fillId="19" borderId="0" xfId="0" applyFont="1" applyFill="1" applyAlignment="1" applyProtection="1">
      <alignment horizontal="left" vertical="center"/>
    </xf>
    <xf numFmtId="10" fontId="49" fillId="19" borderId="0" xfId="0" applyNumberFormat="1" applyFont="1" applyFill="1" applyAlignment="1" applyProtection="1">
      <alignment horizontal="left" vertical="center"/>
    </xf>
    <xf numFmtId="0" fontId="49" fillId="19" borderId="0" xfId="0" applyFont="1" applyFill="1" applyAlignment="1" applyProtection="1">
      <alignment horizontal="left" vertical="center"/>
    </xf>
    <xf numFmtId="0" fontId="79" fillId="19" borderId="0" xfId="0" applyFont="1" applyFill="1" applyProtection="1">
      <alignment vertical="center"/>
    </xf>
    <xf numFmtId="0" fontId="79" fillId="19" borderId="3" xfId="0" applyFont="1" applyFill="1" applyBorder="1" applyAlignment="1" applyProtection="1">
      <alignment horizontal="left" vertical="center" wrapText="1"/>
      <protection locked="0"/>
    </xf>
    <xf numFmtId="181" fontId="49" fillId="19" borderId="48" xfId="0" applyNumberFormat="1" applyFont="1" applyFill="1" applyBorder="1" applyAlignment="1" applyProtection="1">
      <alignment horizontal="center" vertical="center" wrapText="1"/>
    </xf>
    <xf numFmtId="0" fontId="49" fillId="19" borderId="1" xfId="0" applyFont="1" applyFill="1" applyBorder="1" applyAlignment="1" applyProtection="1">
      <alignment horizontal="center" vertical="center"/>
    </xf>
    <xf numFmtId="10" fontId="56" fillId="19" borderId="5" xfId="1" applyNumberFormat="1" applyFont="1" applyFill="1" applyBorder="1" applyAlignment="1" applyProtection="1">
      <alignment horizontal="center"/>
    </xf>
    <xf numFmtId="10" fontId="56" fillId="19" borderId="5" xfId="1" applyNumberFormat="1" applyFont="1" applyFill="1" applyBorder="1" applyAlignment="1" applyProtection="1">
      <alignment horizontal="center" vertical="center"/>
    </xf>
    <xf numFmtId="9" fontId="56" fillId="19" borderId="5" xfId="1" applyNumberFormat="1" applyFont="1" applyFill="1" applyBorder="1" applyAlignment="1" applyProtection="1">
      <alignment horizontal="center" vertical="center"/>
    </xf>
    <xf numFmtId="0" fontId="56" fillId="19" borderId="68" xfId="0" applyNumberFormat="1" applyFont="1" applyFill="1" applyBorder="1" applyAlignment="1" applyProtection="1">
      <alignment horizontal="left" vertical="center" wrapText="1"/>
      <protection locked="0"/>
    </xf>
    <xf numFmtId="181" fontId="52" fillId="19" borderId="68" xfId="0" applyNumberFormat="1" applyFont="1" applyFill="1" applyBorder="1" applyAlignment="1" applyProtection="1">
      <alignment horizontal="left" vertical="center" wrapText="1"/>
      <protection locked="0"/>
    </xf>
    <xf numFmtId="176" fontId="53" fillId="19" borderId="48" xfId="0" applyNumberFormat="1" applyFont="1" applyFill="1" applyBorder="1" applyAlignment="1" applyProtection="1">
      <alignment horizontal="left" vertical="center" wrapText="1"/>
    </xf>
    <xf numFmtId="176" fontId="53" fillId="6" borderId="48" xfId="0" applyNumberFormat="1" applyFont="1" applyFill="1" applyBorder="1" applyAlignment="1" applyProtection="1">
      <alignment horizontal="left" vertical="center" wrapText="1"/>
    </xf>
    <xf numFmtId="0" fontId="56" fillId="19" borderId="1" xfId="0" applyFont="1" applyFill="1" applyBorder="1" applyAlignment="1" applyProtection="1">
      <alignment horizontal="center" vertical="center" wrapText="1"/>
    </xf>
    <xf numFmtId="0" fontId="64" fillId="6" borderId="118" xfId="0" applyFont="1" applyFill="1" applyBorder="1" applyAlignment="1" applyProtection="1">
      <alignment vertical="center"/>
    </xf>
    <xf numFmtId="0" fontId="64" fillId="6" borderId="118" xfId="0" applyFont="1" applyFill="1" applyBorder="1" applyAlignment="1" applyProtection="1">
      <alignment vertical="center"/>
      <protection locked="0"/>
    </xf>
    <xf numFmtId="0" fontId="49" fillId="6" borderId="1" xfId="0" applyFont="1" applyFill="1" applyBorder="1" applyAlignment="1" applyProtection="1">
      <alignment horizontal="left" vertical="center" wrapText="1"/>
    </xf>
    <xf numFmtId="0" fontId="49" fillId="6" borderId="5" xfId="0" applyFont="1" applyFill="1" applyBorder="1" applyAlignment="1" applyProtection="1">
      <alignment horizontal="left" vertical="center"/>
    </xf>
    <xf numFmtId="0" fontId="49" fillId="6" borderId="5" xfId="0" applyFont="1" applyFill="1" applyBorder="1" applyAlignment="1" applyProtection="1">
      <alignment horizontal="left" vertical="center"/>
    </xf>
    <xf numFmtId="0" fontId="48" fillId="6" borderId="21" xfId="0" applyFont="1" applyFill="1" applyBorder="1" applyAlignment="1" applyProtection="1">
      <alignment horizontal="center" vertical="center"/>
    </xf>
    <xf numFmtId="10" fontId="49" fillId="6" borderId="5" xfId="0" applyNumberFormat="1" applyFont="1" applyFill="1" applyBorder="1" applyAlignment="1" applyProtection="1">
      <alignment horizontal="left" vertical="center" wrapText="1"/>
    </xf>
    <xf numFmtId="10" fontId="49" fillId="6" borderId="54" xfId="0" applyNumberFormat="1" applyFont="1" applyFill="1" applyBorder="1" applyAlignment="1" applyProtection="1">
      <alignment horizontal="left" vertical="center" wrapText="1"/>
    </xf>
    <xf numFmtId="10" fontId="49" fillId="6" borderId="48" xfId="0" applyNumberFormat="1" applyFont="1" applyFill="1" applyBorder="1" applyAlignment="1" applyProtection="1">
      <alignment horizontal="left" vertical="center" wrapText="1"/>
    </xf>
    <xf numFmtId="0" fontId="46" fillId="6" borderId="1" xfId="0" applyFont="1" applyFill="1" applyBorder="1" applyAlignment="1" applyProtection="1">
      <alignment horizontal="left" vertical="center" wrapText="1"/>
    </xf>
    <xf numFmtId="0" fontId="49" fillId="6" borderId="54" xfId="0" applyFont="1" applyFill="1" applyBorder="1" applyAlignment="1" applyProtection="1">
      <alignment horizontal="left" vertical="center" wrapText="1"/>
    </xf>
    <xf numFmtId="0" fontId="49" fillId="6" borderId="5" xfId="0" applyFont="1" applyFill="1" applyBorder="1" applyAlignment="1" applyProtection="1">
      <alignment horizontal="left" vertical="center" wrapText="1"/>
    </xf>
    <xf numFmtId="0" fontId="49" fillId="6" borderId="48" xfId="0" applyFont="1" applyFill="1" applyBorder="1" applyAlignment="1" applyProtection="1">
      <alignment horizontal="left" vertical="center" wrapText="1"/>
    </xf>
    <xf numFmtId="0" fontId="49" fillId="6" borderId="11" xfId="0" applyFont="1" applyFill="1" applyBorder="1" applyAlignment="1" applyProtection="1">
      <alignment horizontal="left" vertical="center" wrapText="1"/>
    </xf>
    <xf numFmtId="0" fontId="49" fillId="6" borderId="1" xfId="0" applyFont="1" applyFill="1" applyBorder="1" applyAlignment="1" applyProtection="1">
      <alignment horizontal="left" vertical="center" wrapText="1"/>
    </xf>
    <xf numFmtId="0" fontId="49" fillId="6" borderId="23" xfId="0" applyFont="1" applyFill="1" applyBorder="1" applyAlignment="1" applyProtection="1">
      <alignment horizontal="left" vertical="center" wrapText="1"/>
    </xf>
    <xf numFmtId="0" fontId="125" fillId="0" borderId="0" xfId="5" applyFont="1" applyAlignment="1">
      <alignment horizontal="left" vertical="center"/>
    </xf>
    <xf numFmtId="0" fontId="153" fillId="0" borderId="0" xfId="5" applyFont="1" applyAlignment="1">
      <alignment horizontal="left" vertical="center"/>
    </xf>
    <xf numFmtId="0" fontId="126" fillId="0" borderId="0" xfId="5" applyFont="1" applyAlignment="1">
      <alignment horizontal="left" vertical="center"/>
    </xf>
    <xf numFmtId="14" fontId="126" fillId="0" borderId="0" xfId="5" applyNumberFormat="1" applyFont="1" applyAlignment="1">
      <alignment horizontal="left" vertical="center"/>
    </xf>
    <xf numFmtId="0" fontId="250" fillId="0" borderId="0" xfId="5" applyFont="1" applyAlignment="1">
      <alignment horizontal="left" vertical="center"/>
    </xf>
    <xf numFmtId="0" fontId="123" fillId="5" borderId="13" xfId="5" applyFont="1" applyFill="1" applyBorder="1" applyAlignment="1">
      <alignment horizontal="left" vertical="center"/>
    </xf>
    <xf numFmtId="0" fontId="124" fillId="0" borderId="1" xfId="5" applyFont="1" applyBorder="1" applyAlignment="1">
      <alignment horizontal="left" vertical="center"/>
    </xf>
    <xf numFmtId="0" fontId="124" fillId="0" borderId="5" xfId="5" applyFont="1" applyBorder="1" applyAlignment="1">
      <alignment horizontal="left" vertical="center"/>
    </xf>
    <xf numFmtId="0" fontId="123" fillId="5" borderId="155" xfId="5" applyFont="1" applyFill="1" applyBorder="1" applyAlignment="1">
      <alignment horizontal="left" vertical="center"/>
    </xf>
    <xf numFmtId="192" fontId="124" fillId="0" borderId="1" xfId="5" applyNumberFormat="1" applyFont="1" applyFill="1" applyBorder="1" applyAlignment="1">
      <alignment horizontal="left" vertical="center"/>
    </xf>
    <xf numFmtId="192" fontId="251" fillId="0" borderId="5" xfId="5" applyNumberFormat="1" applyFont="1" applyFill="1" applyBorder="1" applyAlignment="1">
      <alignment horizontal="left" vertical="center"/>
    </xf>
    <xf numFmtId="0" fontId="124" fillId="0" borderId="156" xfId="5" applyFont="1" applyFill="1" applyBorder="1" applyAlignment="1">
      <alignment horizontal="left" vertical="center"/>
    </xf>
    <xf numFmtId="184" fontId="124" fillId="0" borderId="1" xfId="5" applyNumberFormat="1" applyFont="1" applyFill="1" applyBorder="1" applyAlignment="1">
      <alignment horizontal="left" vertical="center"/>
    </xf>
    <xf numFmtId="0" fontId="251" fillId="0" borderId="1" xfId="5" applyFont="1" applyFill="1" applyBorder="1" applyAlignment="1">
      <alignment horizontal="left" vertical="center"/>
    </xf>
    <xf numFmtId="192" fontId="124" fillId="0" borderId="5" xfId="5" applyNumberFormat="1" applyFont="1" applyFill="1" applyBorder="1" applyAlignment="1">
      <alignment horizontal="left" vertical="center"/>
    </xf>
    <xf numFmtId="0" fontId="251" fillId="0" borderId="0" xfId="5" applyFont="1" applyFill="1" applyAlignment="1">
      <alignment horizontal="left" vertical="center"/>
    </xf>
    <xf numFmtId="0" fontId="153" fillId="0" borderId="0" xfId="5" applyFont="1" applyFill="1" applyAlignment="1">
      <alignment horizontal="left" vertical="center"/>
    </xf>
    <xf numFmtId="0" fontId="123" fillId="0" borderId="1" xfId="5" applyFont="1" applyFill="1" applyBorder="1" applyAlignment="1">
      <alignment horizontal="left" vertical="center"/>
    </xf>
    <xf numFmtId="0" fontId="122" fillId="0" borderId="0" xfId="5" applyFont="1" applyAlignment="1">
      <alignment horizontal="left" vertical="center"/>
    </xf>
    <xf numFmtId="0" fontId="126" fillId="0" borderId="1" xfId="5" applyFont="1" applyBorder="1" applyAlignment="1">
      <alignment horizontal="left" vertical="center"/>
    </xf>
    <xf numFmtId="184" fontId="124" fillId="0" borderId="5" xfId="5" applyNumberFormat="1" applyFont="1" applyFill="1" applyBorder="1" applyAlignment="1">
      <alignment horizontal="left" vertical="center"/>
    </xf>
    <xf numFmtId="0" fontId="126" fillId="0" borderId="156" xfId="5" applyFont="1" applyBorder="1" applyAlignment="1">
      <alignment horizontal="left" vertical="center"/>
    </xf>
    <xf numFmtId="184" fontId="124" fillId="0" borderId="1" xfId="0" applyNumberFormat="1" applyFont="1" applyFill="1" applyBorder="1" applyAlignment="1">
      <alignment horizontal="left" vertical="center"/>
    </xf>
    <xf numFmtId="14" fontId="126" fillId="0" borderId="1" xfId="5" applyNumberFormat="1" applyFont="1" applyBorder="1" applyAlignment="1">
      <alignment horizontal="left" vertical="center"/>
    </xf>
    <xf numFmtId="14" fontId="126" fillId="0" borderId="5" xfId="5" applyNumberFormat="1" applyFont="1" applyBorder="1" applyAlignment="1">
      <alignment horizontal="left" vertical="center"/>
    </xf>
    <xf numFmtId="0" fontId="133" fillId="0" borderId="1" xfId="5" applyFont="1" applyBorder="1" applyAlignment="1">
      <alignment horizontal="left" vertical="center"/>
    </xf>
    <xf numFmtId="184" fontId="133" fillId="0" borderId="1" xfId="0" applyNumberFormat="1" applyFont="1" applyFill="1" applyBorder="1" applyAlignment="1">
      <alignment horizontal="left" vertical="center"/>
    </xf>
    <xf numFmtId="14" fontId="153" fillId="0" borderId="0" xfId="5" applyNumberFormat="1" applyFont="1" applyAlignment="1">
      <alignment horizontal="left" vertical="center"/>
    </xf>
    <xf numFmtId="14" fontId="153" fillId="0" borderId="157" xfId="5" applyNumberFormat="1" applyFont="1" applyBorder="1" applyAlignment="1">
      <alignment horizontal="left" vertical="center"/>
    </xf>
    <xf numFmtId="0" fontId="153" fillId="0" borderId="0" xfId="5" applyFont="1" applyBorder="1" applyAlignment="1">
      <alignment horizontal="left" vertical="center"/>
    </xf>
    <xf numFmtId="0" fontId="228" fillId="0" borderId="0" xfId="5" applyFont="1" applyBorder="1" applyAlignment="1">
      <alignment horizontal="left" vertical="center"/>
    </xf>
    <xf numFmtId="0" fontId="49" fillId="6" borderId="26" xfId="0" applyFont="1" applyFill="1" applyBorder="1" applyAlignment="1" applyProtection="1">
      <alignment vertical="center" wrapText="1"/>
    </xf>
    <xf numFmtId="0" fontId="49" fillId="6" borderId="0" xfId="0" applyFont="1" applyFill="1" applyBorder="1" applyAlignment="1" applyProtection="1">
      <alignment vertical="center" wrapText="1"/>
    </xf>
    <xf numFmtId="0" fontId="49" fillId="6" borderId="58" xfId="0" applyFont="1" applyFill="1" applyBorder="1" applyAlignment="1" applyProtection="1">
      <alignment vertical="center" wrapText="1"/>
    </xf>
    <xf numFmtId="49" fontId="49" fillId="6" borderId="0" xfId="0" applyNumberFormat="1" applyFont="1" applyFill="1" applyAlignment="1" applyProtection="1">
      <alignment horizontal="center" vertical="center" wrapText="1"/>
    </xf>
    <xf numFmtId="0" fontId="49" fillId="6" borderId="0" xfId="0" applyFont="1" applyFill="1" applyAlignment="1" applyProtection="1">
      <alignment vertical="center" wrapText="1"/>
    </xf>
    <xf numFmtId="0" fontId="49" fillId="0" borderId="0" xfId="0" applyFont="1" applyFill="1" applyBorder="1" applyAlignment="1" applyProtection="1">
      <alignment vertical="center"/>
      <protection locked="0"/>
    </xf>
    <xf numFmtId="0" fontId="49" fillId="0" borderId="0" xfId="0" applyFont="1" applyFill="1" applyBorder="1" applyAlignment="1" applyProtection="1">
      <alignment vertical="center" wrapText="1"/>
    </xf>
    <xf numFmtId="14" fontId="49" fillId="0" borderId="13" xfId="0" applyNumberFormat="1" applyFont="1" applyFill="1" applyBorder="1" applyAlignment="1" applyProtection="1">
      <alignment horizontal="left" vertical="center"/>
      <protection locked="0"/>
    </xf>
    <xf numFmtId="0" fontId="49" fillId="17" borderId="1" xfId="0" applyFont="1" applyFill="1" applyBorder="1" applyAlignment="1" applyProtection="1">
      <alignment vertical="center" wrapText="1"/>
    </xf>
    <xf numFmtId="14" fontId="49" fillId="5" borderId="78" xfId="0" applyNumberFormat="1" applyFont="1" applyFill="1" applyBorder="1" applyAlignment="1" applyProtection="1">
      <alignment horizontal="center" vertical="center"/>
      <protection locked="0"/>
    </xf>
    <xf numFmtId="0" fontId="49" fillId="6" borderId="78" xfId="0" applyFont="1" applyFill="1" applyBorder="1" applyAlignment="1" applyProtection="1">
      <alignment horizontal="right" vertical="center" shrinkToFit="1"/>
    </xf>
    <xf numFmtId="0" fontId="49" fillId="6" borderId="78" xfId="0" applyNumberFormat="1" applyFont="1" applyFill="1" applyBorder="1" applyAlignment="1" applyProtection="1">
      <alignment horizontal="right" vertical="center" shrinkToFit="1"/>
    </xf>
    <xf numFmtId="0" fontId="49" fillId="6" borderId="58" xfId="0" applyNumberFormat="1" applyFont="1" applyFill="1" applyBorder="1" applyAlignment="1" applyProtection="1">
      <alignment horizontal="left" vertical="center"/>
    </xf>
    <xf numFmtId="0" fontId="49" fillId="6" borderId="4" xfId="0" applyFont="1" applyFill="1" applyBorder="1" applyAlignment="1" applyProtection="1">
      <alignment vertical="center" wrapText="1"/>
    </xf>
    <xf numFmtId="0" fontId="49" fillId="7" borderId="150" xfId="0" applyFont="1" applyFill="1" applyBorder="1" applyAlignment="1" applyProtection="1">
      <alignment vertical="center" wrapText="1"/>
      <protection locked="0"/>
    </xf>
    <xf numFmtId="0" fontId="49" fillId="7" borderId="60" xfId="0" applyFont="1" applyFill="1" applyBorder="1" applyAlignment="1" applyProtection="1">
      <alignment vertical="center" wrapText="1"/>
    </xf>
    <xf numFmtId="0" fontId="49" fillId="7" borderId="7" xfId="0" applyFont="1" applyFill="1" applyBorder="1" applyAlignment="1" applyProtection="1">
      <alignment vertical="center" wrapText="1"/>
    </xf>
    <xf numFmtId="0" fontId="49" fillId="6" borderId="46" xfId="0" applyFont="1" applyFill="1" applyBorder="1" applyAlignment="1" applyProtection="1">
      <alignment vertical="center" wrapText="1"/>
    </xf>
    <xf numFmtId="0" fontId="49" fillId="7" borderId="5" xfId="0" applyFont="1" applyFill="1" applyBorder="1" applyAlignment="1" applyProtection="1">
      <alignment vertical="center"/>
      <protection locked="0"/>
    </xf>
    <xf numFmtId="0" fontId="49" fillId="7" borderId="54" xfId="0" applyFont="1" applyFill="1" applyBorder="1" applyAlignment="1" applyProtection="1">
      <alignment vertical="center" wrapText="1"/>
    </xf>
    <xf numFmtId="0" fontId="49" fillId="7" borderId="22" xfId="0" applyFont="1" applyFill="1" applyBorder="1" applyAlignment="1" applyProtection="1">
      <alignment vertical="center" wrapText="1"/>
    </xf>
    <xf numFmtId="0" fontId="49" fillId="7" borderId="5" xfId="0" applyFont="1" applyFill="1" applyBorder="1" applyAlignment="1" applyProtection="1">
      <alignment vertical="center" wrapText="1"/>
      <protection locked="0"/>
    </xf>
    <xf numFmtId="0" fontId="49" fillId="17" borderId="46" xfId="0" applyFont="1" applyFill="1" applyBorder="1" applyAlignment="1" applyProtection="1">
      <alignment vertical="center" wrapText="1"/>
    </xf>
    <xf numFmtId="0" fontId="49" fillId="5" borderId="5" xfId="0" applyFont="1" applyFill="1" applyBorder="1" applyAlignment="1" applyProtection="1">
      <alignment horizontal="left" vertical="center" wrapText="1"/>
      <protection locked="0"/>
    </xf>
    <xf numFmtId="0" fontId="49" fillId="5" borderId="54" xfId="0" applyFont="1" applyFill="1" applyBorder="1" applyAlignment="1" applyProtection="1">
      <alignment vertical="center" wrapText="1"/>
    </xf>
    <xf numFmtId="0" fontId="49" fillId="5" borderId="13" xfId="0" applyFont="1" applyFill="1" applyBorder="1" applyAlignment="1" applyProtection="1">
      <alignment horizontal="left" vertical="center"/>
      <protection locked="0"/>
    </xf>
    <xf numFmtId="0" fontId="49" fillId="5" borderId="22" xfId="0" applyFont="1" applyFill="1" applyBorder="1" applyAlignment="1" applyProtection="1">
      <alignment vertical="center" wrapText="1"/>
    </xf>
    <xf numFmtId="0" fontId="49" fillId="17" borderId="85" xfId="0" applyFont="1" applyFill="1" applyBorder="1" applyAlignment="1" applyProtection="1">
      <alignment vertical="center" wrapText="1"/>
    </xf>
    <xf numFmtId="0" fontId="49" fillId="5" borderId="85" xfId="0" applyFont="1" applyFill="1" applyBorder="1" applyAlignment="1" applyProtection="1">
      <alignment horizontal="left" vertical="center"/>
      <protection locked="0"/>
    </xf>
    <xf numFmtId="0" fontId="49" fillId="5" borderId="88" xfId="0" applyFont="1" applyFill="1" applyBorder="1" applyAlignment="1" applyProtection="1">
      <alignment vertical="center" wrapText="1"/>
    </xf>
    <xf numFmtId="0" fontId="49" fillId="5" borderId="118" xfId="0" applyFont="1" applyFill="1" applyBorder="1" applyAlignment="1" applyProtection="1">
      <alignment vertical="center" wrapText="1"/>
    </xf>
    <xf numFmtId="0" fontId="49" fillId="17" borderId="2" xfId="0" applyFont="1" applyFill="1" applyBorder="1" applyAlignment="1" applyProtection="1">
      <alignment horizontal="left" vertical="center"/>
    </xf>
    <xf numFmtId="0" fontId="49" fillId="2" borderId="7" xfId="0" applyFont="1" applyFill="1" applyBorder="1" applyAlignment="1" applyProtection="1">
      <alignment horizontal="center" vertical="center" wrapText="1"/>
      <protection locked="0"/>
    </xf>
    <xf numFmtId="49" fontId="49" fillId="6" borderId="2" xfId="0" applyNumberFormat="1" applyFont="1" applyFill="1" applyBorder="1" applyAlignment="1" applyProtection="1">
      <alignment horizontal="left" vertical="center" wrapText="1"/>
    </xf>
    <xf numFmtId="0" fontId="49" fillId="17" borderId="46" xfId="0" applyFont="1" applyFill="1" applyBorder="1" applyAlignment="1" applyProtection="1">
      <alignment horizontal="left" vertical="center"/>
    </xf>
    <xf numFmtId="0" fontId="49" fillId="5" borderId="13" xfId="0" applyFont="1" applyFill="1" applyBorder="1" applyAlignment="1" applyProtection="1">
      <alignment horizontal="center" vertical="center" wrapText="1"/>
      <protection locked="0"/>
    </xf>
    <xf numFmtId="0" fontId="49" fillId="7" borderId="54" xfId="0" applyFont="1" applyFill="1" applyBorder="1" applyAlignment="1" applyProtection="1">
      <alignment vertical="center" wrapText="1"/>
      <protection locked="0"/>
    </xf>
    <xf numFmtId="0" fontId="49" fillId="7" borderId="3" xfId="0" applyFont="1" applyFill="1" applyBorder="1" applyAlignment="1" applyProtection="1">
      <alignment vertical="center" wrapText="1"/>
    </xf>
    <xf numFmtId="49" fontId="49" fillId="17" borderId="13" xfId="0" applyNumberFormat="1" applyFont="1" applyFill="1" applyBorder="1" applyAlignment="1" applyProtection="1">
      <alignment horizontal="left" vertical="center" wrapText="1"/>
    </xf>
    <xf numFmtId="49" fontId="49" fillId="6" borderId="1" xfId="0" applyNumberFormat="1" applyFont="1" applyFill="1" applyBorder="1" applyAlignment="1" applyProtection="1">
      <alignment horizontal="center" vertical="center" wrapText="1"/>
    </xf>
    <xf numFmtId="0" fontId="49" fillId="2" borderId="15" xfId="0" applyFont="1" applyFill="1" applyBorder="1" applyAlignment="1" applyProtection="1">
      <alignment horizontal="left" vertical="center" wrapText="1"/>
    </xf>
    <xf numFmtId="0" fontId="49" fillId="17" borderId="60" xfId="0" applyFont="1" applyFill="1" applyBorder="1" applyAlignment="1" applyProtection="1">
      <alignment vertical="center" wrapText="1"/>
    </xf>
    <xf numFmtId="177" fontId="49" fillId="5" borderId="1" xfId="1" applyNumberFormat="1" applyFont="1" applyFill="1" applyBorder="1" applyAlignment="1" applyProtection="1">
      <alignment horizontal="center" vertical="center"/>
      <protection locked="0"/>
    </xf>
    <xf numFmtId="0" fontId="49" fillId="2" borderId="2" xfId="0" applyFont="1" applyFill="1" applyBorder="1" applyAlignment="1" applyProtection="1">
      <alignment horizontal="left" vertical="center" wrapText="1"/>
    </xf>
    <xf numFmtId="0" fontId="49" fillId="6" borderId="60" xfId="0" applyFont="1" applyFill="1" applyBorder="1" applyAlignment="1" applyProtection="1">
      <alignment vertical="center" wrapText="1"/>
    </xf>
    <xf numFmtId="179" fontId="49" fillId="6" borderId="1" xfId="0" applyNumberFormat="1" applyFont="1" applyFill="1" applyBorder="1" applyAlignment="1" applyProtection="1">
      <alignment horizontal="center" vertical="center" wrapText="1"/>
    </xf>
    <xf numFmtId="0" fontId="49" fillId="6" borderId="0" xfId="0" applyNumberFormat="1" applyFont="1" applyFill="1" applyAlignment="1" applyProtection="1">
      <alignment horizontal="center" vertical="center" wrapText="1"/>
    </xf>
    <xf numFmtId="0" fontId="49" fillId="6" borderId="0" xfId="0" applyNumberFormat="1" applyFont="1" applyFill="1" applyAlignment="1" applyProtection="1">
      <alignment vertical="center" wrapText="1"/>
    </xf>
    <xf numFmtId="49" fontId="49" fillId="6" borderId="15" xfId="0" applyNumberFormat="1" applyFont="1" applyFill="1" applyBorder="1" applyAlignment="1" applyProtection="1">
      <alignment horizontal="left" vertical="center" wrapText="1"/>
    </xf>
    <xf numFmtId="0" fontId="49" fillId="5" borderId="77" xfId="0" applyFont="1" applyFill="1" applyBorder="1" applyAlignment="1" applyProtection="1">
      <alignment horizontal="left" vertical="center" wrapText="1"/>
      <protection locked="0"/>
    </xf>
    <xf numFmtId="0" fontId="49" fillId="6" borderId="78" xfId="0" applyFont="1" applyFill="1" applyBorder="1" applyAlignment="1" applyProtection="1">
      <alignment horizontal="center" vertical="center" wrapText="1"/>
    </xf>
    <xf numFmtId="0" fontId="49" fillId="2" borderId="4" xfId="0" applyFont="1" applyFill="1" applyBorder="1" applyAlignment="1" applyProtection="1">
      <alignment vertical="center"/>
      <protection locked="0"/>
    </xf>
    <xf numFmtId="0" fontId="49" fillId="2" borderId="7" xfId="0" applyFont="1" applyFill="1" applyBorder="1" applyAlignment="1" applyProtection="1">
      <alignment vertical="center" wrapText="1"/>
    </xf>
    <xf numFmtId="0" fontId="49" fillId="2" borderId="7" xfId="0" applyFont="1" applyFill="1" applyBorder="1" applyAlignment="1" applyProtection="1">
      <alignment horizontal="left" vertical="center"/>
      <protection locked="0"/>
    </xf>
    <xf numFmtId="0" fontId="49" fillId="0" borderId="2" xfId="0" applyFont="1" applyBorder="1" applyAlignment="1" applyProtection="1">
      <alignment horizontal="left" vertical="center" wrapText="1"/>
      <protection locked="0"/>
    </xf>
    <xf numFmtId="0" fontId="49" fillId="2" borderId="5" xfId="0" applyFont="1" applyFill="1" applyBorder="1" applyAlignment="1" applyProtection="1">
      <alignment vertical="center"/>
      <protection locked="0"/>
    </xf>
    <xf numFmtId="0" fontId="49" fillId="2" borderId="3" xfId="0" applyFont="1" applyFill="1" applyBorder="1" applyAlignment="1" applyProtection="1">
      <alignment vertical="center"/>
    </xf>
    <xf numFmtId="0" fontId="49" fillId="5" borderId="3" xfId="0" applyFont="1" applyFill="1" applyBorder="1" applyAlignment="1" applyProtection="1">
      <alignment horizontal="center" vertical="center" wrapText="1"/>
      <protection locked="0"/>
    </xf>
    <xf numFmtId="0" fontId="49" fillId="0" borderId="1" xfId="0" applyFont="1" applyBorder="1" applyAlignment="1" applyProtection="1">
      <alignment horizontal="left" vertical="center"/>
      <protection locked="0"/>
    </xf>
    <xf numFmtId="0" fontId="49" fillId="6" borderId="35" xfId="0" applyFont="1" applyFill="1" applyBorder="1" applyAlignment="1" applyProtection="1">
      <alignment horizontal="left" vertical="center"/>
    </xf>
    <xf numFmtId="0" fontId="49" fillId="5" borderId="22" xfId="0" applyFont="1" applyFill="1" applyBorder="1" applyAlignment="1" applyProtection="1">
      <alignment horizontal="center" vertical="center" wrapText="1"/>
      <protection locked="0"/>
    </xf>
    <xf numFmtId="0" fontId="49" fillId="0" borderId="13" xfId="0" applyFont="1" applyBorder="1" applyAlignment="1" applyProtection="1">
      <alignment horizontal="left" vertical="center"/>
      <protection locked="0"/>
    </xf>
    <xf numFmtId="0" fontId="49" fillId="6" borderId="1" xfId="0" applyFont="1" applyFill="1" applyBorder="1" applyAlignment="1" applyProtection="1">
      <alignment horizontal="center" vertical="center" wrapText="1"/>
    </xf>
    <xf numFmtId="193" fontId="49" fillId="6" borderId="1" xfId="0" applyNumberFormat="1" applyFont="1" applyFill="1" applyBorder="1" applyAlignment="1" applyProtection="1">
      <alignment vertical="center" wrapText="1"/>
    </xf>
    <xf numFmtId="0" fontId="49" fillId="6" borderId="13" xfId="0" applyNumberFormat="1" applyFont="1" applyFill="1" applyBorder="1" applyAlignment="1" applyProtection="1">
      <alignment vertical="center" wrapText="1"/>
    </xf>
    <xf numFmtId="0" fontId="49" fillId="6" borderId="58" xfId="0" applyNumberFormat="1" applyFont="1" applyFill="1" applyBorder="1" applyAlignment="1" applyProtection="1">
      <alignment vertical="center" wrapText="1"/>
    </xf>
    <xf numFmtId="0" fontId="49" fillId="5" borderId="1" xfId="0" applyNumberFormat="1" applyFont="1" applyFill="1" applyBorder="1" applyAlignment="1" applyProtection="1">
      <alignment horizontal="center" vertical="center" wrapText="1"/>
      <protection locked="0"/>
    </xf>
    <xf numFmtId="0" fontId="49" fillId="5" borderId="78" xfId="0" applyNumberFormat="1" applyFont="1" applyFill="1" applyBorder="1" applyAlignment="1" applyProtection="1">
      <alignment horizontal="center" vertical="center" wrapText="1"/>
      <protection locked="0"/>
    </xf>
    <xf numFmtId="0" fontId="145" fillId="6" borderId="151" xfId="0" applyFont="1" applyFill="1" applyBorder="1" applyAlignment="1" applyProtection="1">
      <alignment vertical="center"/>
    </xf>
    <xf numFmtId="0" fontId="54" fillId="6" borderId="151" xfId="0" applyFont="1" applyFill="1" applyBorder="1" applyAlignment="1" applyProtection="1">
      <alignment vertical="center" wrapText="1"/>
    </xf>
    <xf numFmtId="0" fontId="54" fillId="0" borderId="151" xfId="0" applyFont="1" applyBorder="1" applyAlignment="1" applyProtection="1">
      <alignment vertical="center" wrapText="1"/>
    </xf>
    <xf numFmtId="0" fontId="54" fillId="6" borderId="5" xfId="0" applyFont="1" applyFill="1" applyBorder="1" applyAlignment="1" applyProtection="1">
      <alignment vertical="center"/>
    </xf>
    <xf numFmtId="0" fontId="49" fillId="0" borderId="5" xfId="0" applyFont="1" applyBorder="1" applyAlignment="1" applyProtection="1">
      <alignment horizontal="center" vertical="center" wrapText="1"/>
      <protection locked="0"/>
    </xf>
    <xf numFmtId="49" fontId="49" fillId="0" borderId="1" xfId="0" applyNumberFormat="1" applyFont="1" applyBorder="1" applyAlignment="1" applyProtection="1">
      <alignment horizontal="center" vertical="center" wrapText="1"/>
      <protection locked="0"/>
    </xf>
    <xf numFmtId="0" fontId="49" fillId="6" borderId="0" xfId="0" applyFont="1" applyFill="1" applyAlignment="1" applyProtection="1">
      <alignment vertical="center" wrapText="1"/>
      <protection locked="0"/>
    </xf>
    <xf numFmtId="49" fontId="49" fillId="0" borderId="5" xfId="0" applyNumberFormat="1" applyFont="1" applyBorder="1" applyAlignment="1" applyProtection="1">
      <alignment vertical="center" wrapText="1"/>
      <protection locked="0"/>
    </xf>
    <xf numFmtId="0" fontId="54" fillId="6" borderId="40" xfId="0" applyFont="1" applyFill="1" applyBorder="1" applyAlignment="1" applyProtection="1">
      <alignment vertical="center" wrapText="1"/>
    </xf>
    <xf numFmtId="0" fontId="54" fillId="6" borderId="14" xfId="0" applyFont="1" applyFill="1" applyBorder="1" applyAlignment="1" applyProtection="1">
      <alignment vertical="center" wrapText="1"/>
    </xf>
    <xf numFmtId="0" fontId="54" fillId="6" borderId="12" xfId="0" applyFont="1" applyFill="1" applyBorder="1" applyAlignment="1" applyProtection="1">
      <alignment vertical="center" wrapText="1"/>
    </xf>
    <xf numFmtId="0" fontId="54" fillId="6" borderId="27" xfId="0" applyFont="1" applyFill="1" applyBorder="1" applyAlignment="1" applyProtection="1">
      <alignment vertical="center" wrapText="1"/>
    </xf>
    <xf numFmtId="49" fontId="54" fillId="6" borderId="27" xfId="0" applyNumberFormat="1" applyFont="1" applyFill="1" applyBorder="1" applyAlignment="1" applyProtection="1">
      <alignment vertical="center" wrapText="1"/>
    </xf>
    <xf numFmtId="0" fontId="54" fillId="6" borderId="80" xfId="0" applyFont="1" applyFill="1" applyBorder="1" applyAlignment="1" applyProtection="1">
      <alignment vertical="center" wrapText="1"/>
    </xf>
    <xf numFmtId="49" fontId="54" fillId="6" borderId="80" xfId="0" applyNumberFormat="1" applyFont="1" applyFill="1" applyBorder="1" applyAlignment="1" applyProtection="1">
      <alignment vertical="center" wrapText="1"/>
    </xf>
    <xf numFmtId="49" fontId="54" fillId="6" borderId="81" xfId="0" applyNumberFormat="1" applyFont="1" applyFill="1" applyBorder="1" applyAlignment="1" applyProtection="1">
      <alignment vertical="center" wrapText="1"/>
    </xf>
    <xf numFmtId="0" fontId="54" fillId="6" borderId="81" xfId="0" applyFont="1" applyFill="1" applyBorder="1" applyAlignment="1" applyProtection="1">
      <alignment vertical="center" wrapText="1"/>
    </xf>
    <xf numFmtId="0" fontId="49" fillId="6" borderId="0" xfId="0" applyFont="1" applyFill="1" applyAlignment="1" applyProtection="1">
      <alignment horizontal="center" vertical="center" wrapText="1"/>
      <protection locked="0"/>
    </xf>
    <xf numFmtId="0" fontId="49" fillId="6" borderId="0" xfId="0" applyNumberFormat="1" applyFont="1" applyFill="1" applyAlignment="1" applyProtection="1">
      <alignment horizontal="center" vertical="center" wrapText="1"/>
      <protection locked="0"/>
    </xf>
    <xf numFmtId="0" fontId="218" fillId="7" borderId="101" xfId="0" applyFont="1" applyFill="1" applyBorder="1" applyAlignment="1" applyProtection="1">
      <alignment vertical="center" wrapText="1"/>
      <protection locked="0"/>
    </xf>
    <xf numFmtId="0" fontId="218" fillId="7" borderId="101" xfId="0" applyNumberFormat="1" applyFont="1" applyFill="1" applyBorder="1" applyAlignment="1" applyProtection="1">
      <alignment vertical="center" wrapText="1"/>
      <protection locked="0"/>
    </xf>
    <xf numFmtId="0" fontId="218" fillId="7" borderId="102" xfId="0" applyFont="1" applyFill="1" applyBorder="1" applyAlignment="1" applyProtection="1">
      <alignment vertical="center" wrapText="1"/>
      <protection locked="0"/>
    </xf>
    <xf numFmtId="0" fontId="238" fillId="7" borderId="0" xfId="0" applyNumberFormat="1" applyFont="1" applyFill="1" applyAlignment="1" applyProtection="1">
      <alignment vertical="center"/>
      <protection locked="0"/>
    </xf>
    <xf numFmtId="0" fontId="238" fillId="7" borderId="0" xfId="0" applyFont="1" applyFill="1" applyAlignment="1" applyProtection="1">
      <alignment vertical="center"/>
      <protection locked="0"/>
    </xf>
    <xf numFmtId="0" fontId="238" fillId="0" borderId="0" xfId="0" applyFont="1" applyAlignment="1" applyProtection="1">
      <alignment vertical="center"/>
      <protection locked="0"/>
    </xf>
    <xf numFmtId="0" fontId="54" fillId="6" borderId="63" xfId="0" applyFont="1" applyFill="1" applyBorder="1" applyAlignment="1" applyProtection="1">
      <alignment vertical="center" wrapText="1"/>
    </xf>
    <xf numFmtId="0" fontId="54" fillId="6" borderId="34" xfId="0" applyFont="1" applyFill="1" applyBorder="1" applyAlignment="1" applyProtection="1">
      <alignment vertical="center" wrapText="1"/>
    </xf>
    <xf numFmtId="0" fontId="54" fillId="6" borderId="65" xfId="0" applyFont="1" applyFill="1" applyBorder="1" applyAlignment="1" applyProtection="1">
      <alignment vertical="center"/>
    </xf>
    <xf numFmtId="0" fontId="54" fillId="6" borderId="0" xfId="0" applyFont="1" applyFill="1" applyBorder="1" applyAlignment="1" applyProtection="1">
      <alignment vertical="center" wrapText="1"/>
    </xf>
    <xf numFmtId="0" fontId="49" fillId="6" borderId="64" xfId="0" applyFont="1" applyFill="1" applyBorder="1" applyAlignment="1" applyProtection="1">
      <alignment vertical="center"/>
    </xf>
    <xf numFmtId="0" fontId="49" fillId="6" borderId="9" xfId="0" applyFont="1" applyFill="1" applyBorder="1" applyAlignment="1" applyProtection="1">
      <alignment vertical="center" wrapText="1"/>
    </xf>
    <xf numFmtId="49" fontId="49" fillId="6" borderId="0" xfId="0" applyNumberFormat="1" applyFont="1" applyFill="1" applyBorder="1" applyAlignment="1" applyProtection="1">
      <alignment vertical="center" wrapText="1"/>
      <protection locked="0"/>
    </xf>
    <xf numFmtId="0" fontId="49" fillId="6" borderId="7" xfId="0" applyFont="1" applyFill="1" applyBorder="1" applyAlignment="1" applyProtection="1">
      <alignment vertical="center" wrapText="1"/>
    </xf>
    <xf numFmtId="0" fontId="177" fillId="0" borderId="8" xfId="0" applyNumberFormat="1" applyFont="1" applyFill="1" applyBorder="1" applyAlignment="1" applyProtection="1">
      <alignment vertical="center" wrapText="1"/>
      <protection locked="0"/>
    </xf>
    <xf numFmtId="49" fontId="177" fillId="0" borderId="24" xfId="0" applyNumberFormat="1" applyFont="1" applyFill="1" applyBorder="1" applyAlignment="1" applyProtection="1">
      <alignment vertical="center" wrapText="1"/>
      <protection locked="0"/>
    </xf>
    <xf numFmtId="49" fontId="49" fillId="6" borderId="14" xfId="0" applyNumberFormat="1" applyFont="1" applyFill="1" applyBorder="1" applyAlignment="1" applyProtection="1">
      <alignment vertical="center" wrapText="1"/>
    </xf>
    <xf numFmtId="0" fontId="177" fillId="0" borderId="24" xfId="0" applyFont="1" applyBorder="1" applyAlignment="1" applyProtection="1">
      <alignment vertical="center" wrapText="1"/>
      <protection locked="0"/>
    </xf>
    <xf numFmtId="0" fontId="49" fillId="6" borderId="0" xfId="0" applyFont="1" applyFill="1" applyBorder="1" applyAlignment="1" applyProtection="1">
      <alignment vertical="center" wrapText="1"/>
      <protection locked="0"/>
    </xf>
    <xf numFmtId="49" fontId="49" fillId="6" borderId="12" xfId="0" applyNumberFormat="1" applyFont="1" applyFill="1" applyBorder="1" applyAlignment="1" applyProtection="1">
      <alignment vertical="center" wrapText="1"/>
    </xf>
    <xf numFmtId="0" fontId="49" fillId="6" borderId="66" xfId="0" applyFont="1" applyFill="1" applyBorder="1" applyAlignment="1" applyProtection="1">
      <alignment vertical="center" wrapText="1"/>
    </xf>
    <xf numFmtId="0" fontId="177" fillId="0" borderId="49" xfId="0" applyNumberFormat="1" applyFont="1" applyFill="1" applyBorder="1" applyAlignment="1" applyProtection="1">
      <alignment vertical="center" wrapText="1"/>
      <protection locked="0"/>
    </xf>
    <xf numFmtId="0" fontId="49" fillId="6" borderId="0" xfId="0" applyFont="1" applyFill="1" applyBorder="1" applyAlignment="1" applyProtection="1">
      <alignment vertical="center"/>
      <protection locked="0"/>
    </xf>
    <xf numFmtId="0" fontId="49" fillId="6" borderId="32" xfId="0" applyFont="1" applyFill="1" applyBorder="1" applyAlignment="1" applyProtection="1">
      <alignment vertical="center" wrapText="1"/>
    </xf>
    <xf numFmtId="0" fontId="177" fillId="0" borderId="49" xfId="0" applyFont="1" applyBorder="1" applyAlignment="1" applyProtection="1">
      <alignment vertical="center"/>
      <protection locked="0"/>
    </xf>
    <xf numFmtId="0" fontId="46" fillId="7" borderId="0" xfId="0" applyFont="1" applyFill="1" applyBorder="1" applyAlignment="1" applyProtection="1">
      <alignment vertical="center" wrapText="1"/>
      <protection locked="0"/>
    </xf>
    <xf numFmtId="0" fontId="46" fillId="7" borderId="0" xfId="0" applyNumberFormat="1" applyFont="1" applyFill="1" applyBorder="1" applyAlignment="1" applyProtection="1">
      <alignment vertical="center" wrapText="1"/>
      <protection locked="0"/>
    </xf>
    <xf numFmtId="49" fontId="46" fillId="7" borderId="0" xfId="0" applyNumberFormat="1" applyFont="1" applyFill="1" applyBorder="1" applyAlignment="1" applyProtection="1">
      <alignment vertical="center" wrapText="1"/>
      <protection locked="0"/>
    </xf>
    <xf numFmtId="0" fontId="46" fillId="0" borderId="0" xfId="0" applyFont="1" applyFill="1" applyAlignment="1" applyProtection="1">
      <alignment vertical="center"/>
      <protection locked="0"/>
    </xf>
    <xf numFmtId="0" fontId="54" fillId="6" borderId="0" xfId="0" applyFont="1" applyFill="1" applyBorder="1" applyAlignment="1" applyProtection="1">
      <alignment vertical="center" wrapText="1"/>
      <protection locked="0"/>
    </xf>
    <xf numFmtId="0" fontId="49" fillId="6" borderId="0" xfId="0" applyNumberFormat="1" applyFont="1" applyFill="1" applyBorder="1" applyAlignment="1" applyProtection="1">
      <alignment vertical="center" wrapText="1"/>
      <protection locked="0"/>
    </xf>
    <xf numFmtId="0" fontId="62" fillId="6" borderId="0" xfId="0" applyFont="1" applyFill="1" applyBorder="1" applyAlignment="1" applyProtection="1">
      <alignment vertical="center"/>
    </xf>
    <xf numFmtId="0" fontId="218" fillId="7" borderId="0" xfId="0" applyFont="1" applyFill="1" applyBorder="1" applyAlignment="1" applyProtection="1">
      <alignment vertical="center" wrapText="1"/>
      <protection locked="0"/>
    </xf>
    <xf numFmtId="0" fontId="218" fillId="7" borderId="0" xfId="0" applyNumberFormat="1" applyFont="1" applyFill="1" applyBorder="1" applyAlignment="1" applyProtection="1">
      <alignment vertical="center" wrapText="1"/>
      <protection locked="0"/>
    </xf>
    <xf numFmtId="0" fontId="218" fillId="7" borderId="35" xfId="0" applyNumberFormat="1" applyFont="1" applyFill="1" applyBorder="1" applyAlignment="1" applyProtection="1">
      <alignment vertical="center" wrapText="1"/>
      <protection locked="0"/>
    </xf>
    <xf numFmtId="0" fontId="238" fillId="7" borderId="0" xfId="0" applyFont="1" applyFill="1" applyAlignment="1" applyProtection="1">
      <alignment vertical="center" wrapText="1"/>
      <protection locked="0"/>
    </xf>
    <xf numFmtId="0" fontId="238" fillId="7" borderId="0" xfId="0" applyNumberFormat="1" applyFont="1" applyFill="1" applyAlignment="1" applyProtection="1">
      <alignment vertical="center" wrapText="1"/>
      <protection locked="0"/>
    </xf>
    <xf numFmtId="0" fontId="71" fillId="6" borderId="104" xfId="0" applyFont="1" applyFill="1" applyBorder="1" applyAlignment="1" applyProtection="1">
      <alignment vertical="center"/>
    </xf>
    <xf numFmtId="0" fontId="46" fillId="7" borderId="0" xfId="0" applyFont="1" applyFill="1" applyAlignment="1" applyProtection="1">
      <alignment vertical="center" wrapText="1"/>
      <protection locked="0"/>
    </xf>
    <xf numFmtId="0" fontId="46" fillId="7" borderId="0" xfId="0" applyNumberFormat="1" applyFont="1" applyFill="1" applyAlignment="1" applyProtection="1">
      <alignment vertical="center" wrapText="1"/>
      <protection locked="0"/>
    </xf>
    <xf numFmtId="0" fontId="46" fillId="7" borderId="0" xfId="0" applyNumberFormat="1" applyFont="1" applyFill="1" applyAlignment="1" applyProtection="1">
      <alignment vertical="center"/>
      <protection locked="0"/>
    </xf>
    <xf numFmtId="0" fontId="54" fillId="6" borderId="16" xfId="0" applyFont="1" applyFill="1" applyBorder="1" applyAlignment="1" applyProtection="1">
      <alignment vertical="center" wrapText="1"/>
    </xf>
    <xf numFmtId="0" fontId="54" fillId="6" borderId="31" xfId="0" applyFont="1" applyFill="1" applyBorder="1" applyAlignment="1" applyProtection="1">
      <alignment vertical="center" wrapText="1"/>
    </xf>
    <xf numFmtId="0" fontId="54" fillId="6" borderId="82" xfId="0" applyFont="1" applyFill="1" applyBorder="1" applyAlignment="1" applyProtection="1">
      <alignment vertical="center" wrapText="1"/>
    </xf>
    <xf numFmtId="0" fontId="49" fillId="6" borderId="6" xfId="0" applyFont="1" applyFill="1" applyBorder="1" applyAlignment="1" applyProtection="1">
      <alignment vertical="center" wrapText="1"/>
    </xf>
    <xf numFmtId="49" fontId="49" fillId="6" borderId="62" xfId="0" applyNumberFormat="1" applyFont="1" applyFill="1" applyBorder="1" applyAlignment="1" applyProtection="1">
      <alignment vertical="center" wrapText="1"/>
    </xf>
    <xf numFmtId="0" fontId="49" fillId="6" borderId="10" xfId="0" applyNumberFormat="1" applyFont="1" applyFill="1" applyBorder="1" applyAlignment="1" applyProtection="1">
      <alignment vertical="center" wrapText="1"/>
    </xf>
    <xf numFmtId="0" fontId="49" fillId="6" borderId="41" xfId="0" applyFont="1" applyFill="1" applyBorder="1" applyAlignment="1" applyProtection="1">
      <alignment vertical="center" wrapText="1"/>
    </xf>
    <xf numFmtId="49" fontId="49" fillId="6" borderId="24" xfId="0" applyNumberFormat="1" applyFont="1" applyFill="1" applyBorder="1" applyAlignment="1" applyProtection="1">
      <alignment vertical="center" wrapText="1"/>
    </xf>
    <xf numFmtId="0" fontId="49" fillId="6" borderId="23" xfId="0" applyFont="1" applyFill="1" applyBorder="1" applyAlignment="1" applyProtection="1">
      <alignment vertical="center" wrapText="1"/>
    </xf>
    <xf numFmtId="0" fontId="49" fillId="6" borderId="24" xfId="0" applyNumberFormat="1" applyFont="1" applyFill="1" applyBorder="1" applyAlignment="1" applyProtection="1">
      <alignment vertical="center" wrapText="1"/>
    </xf>
    <xf numFmtId="0" fontId="49" fillId="0" borderId="24" xfId="0" applyNumberFormat="1" applyFont="1" applyFill="1" applyBorder="1" applyAlignment="1" applyProtection="1">
      <alignment vertical="center" wrapText="1"/>
      <protection locked="0"/>
    </xf>
    <xf numFmtId="0" fontId="49" fillId="5" borderId="24" xfId="0" applyNumberFormat="1" applyFont="1" applyFill="1" applyBorder="1" applyAlignment="1" applyProtection="1">
      <alignment vertical="center" wrapText="1"/>
      <protection locked="0"/>
    </xf>
    <xf numFmtId="0" fontId="49" fillId="6" borderId="25" xfId="0" applyFont="1" applyFill="1" applyBorder="1" applyAlignment="1" applyProtection="1">
      <alignment vertical="center" wrapText="1"/>
    </xf>
    <xf numFmtId="0" fontId="49" fillId="0" borderId="49" xfId="0" applyNumberFormat="1" applyFont="1" applyFill="1" applyBorder="1" applyAlignment="1" applyProtection="1">
      <alignment vertical="center" wrapText="1"/>
      <protection locked="0"/>
    </xf>
    <xf numFmtId="0" fontId="49" fillId="6" borderId="49" xfId="0" applyNumberFormat="1" applyFont="1" applyFill="1" applyBorder="1" applyAlignment="1" applyProtection="1">
      <alignment vertical="center" wrapText="1"/>
    </xf>
    <xf numFmtId="0" fontId="49" fillId="6" borderId="0" xfId="0" applyNumberFormat="1" applyFont="1" applyFill="1" applyAlignment="1" applyProtection="1">
      <alignment vertical="center" wrapText="1"/>
      <protection locked="0"/>
    </xf>
    <xf numFmtId="0" fontId="46" fillId="0" borderId="0" xfId="0" applyFont="1" applyFill="1" applyAlignment="1" applyProtection="1">
      <alignment vertical="center" wrapText="1"/>
      <protection locked="0"/>
    </xf>
    <xf numFmtId="0" fontId="46" fillId="0" borderId="0" xfId="0" applyNumberFormat="1" applyFont="1" applyFill="1" applyAlignment="1" applyProtection="1">
      <alignment vertical="center" wrapText="1"/>
      <protection locked="0"/>
    </xf>
    <xf numFmtId="0" fontId="168" fillId="6" borderId="1" xfId="12" applyFont="1" applyFill="1" applyBorder="1" applyAlignment="1" applyProtection="1">
      <alignment horizontal="left" vertical="center" wrapText="1"/>
    </xf>
    <xf numFmtId="0" fontId="167" fillId="0" borderId="0" xfId="12" applyAlignment="1" applyProtection="1">
      <alignment horizontal="left"/>
      <protection locked="0"/>
    </xf>
    <xf numFmtId="14" fontId="168" fillId="6" borderId="1" xfId="12" applyNumberFormat="1" applyFont="1" applyFill="1" applyBorder="1" applyAlignment="1" applyProtection="1">
      <alignment horizontal="left" vertical="center" wrapText="1"/>
    </xf>
    <xf numFmtId="0" fontId="167" fillId="6" borderId="1" xfId="12" applyFill="1" applyBorder="1" applyAlignment="1" applyProtection="1">
      <alignment horizontal="left" vertical="center"/>
    </xf>
    <xf numFmtId="0" fontId="168" fillId="6" borderId="13" xfId="12" applyFont="1" applyFill="1" applyBorder="1" applyAlignment="1" applyProtection="1">
      <alignment horizontal="left" vertical="center" wrapText="1"/>
    </xf>
    <xf numFmtId="0" fontId="98" fillId="0" borderId="1" xfId="12" applyFont="1" applyFill="1" applyBorder="1" applyAlignment="1" applyProtection="1">
      <alignment horizontal="left"/>
      <protection locked="0"/>
    </xf>
    <xf numFmtId="0" fontId="168" fillId="0" borderId="13" xfId="12" applyFont="1" applyFill="1" applyBorder="1" applyAlignment="1" applyProtection="1">
      <alignment horizontal="left" vertical="center" wrapText="1"/>
      <protection locked="0"/>
    </xf>
    <xf numFmtId="0" fontId="167" fillId="0" borderId="1" xfId="12" applyBorder="1" applyAlignment="1" applyProtection="1">
      <alignment horizontal="left"/>
      <protection locked="0"/>
    </xf>
    <xf numFmtId="0" fontId="168" fillId="0" borderId="1" xfId="12" applyFont="1" applyFill="1" applyBorder="1" applyAlignment="1" applyProtection="1">
      <alignment horizontal="left" vertical="center" wrapText="1"/>
      <protection locked="0"/>
    </xf>
    <xf numFmtId="0" fontId="129" fillId="7" borderId="0" xfId="0" applyFont="1" applyFill="1" applyProtection="1">
      <alignment vertical="center"/>
    </xf>
    <xf numFmtId="0" fontId="104" fillId="7" borderId="0" xfId="0" applyFont="1" applyFill="1" applyProtection="1">
      <alignment vertical="center"/>
    </xf>
    <xf numFmtId="0" fontId="103" fillId="6" borderId="1" xfId="0" applyFont="1" applyFill="1" applyBorder="1" applyAlignment="1" applyProtection="1">
      <alignment horizontal="left" vertical="center" wrapText="1"/>
    </xf>
    <xf numFmtId="0" fontId="106" fillId="6" borderId="1" xfId="0" applyFont="1" applyFill="1" applyBorder="1" applyAlignment="1" applyProtection="1">
      <alignment horizontal="left" vertical="center" wrapText="1"/>
    </xf>
    <xf numFmtId="0" fontId="110" fillId="6" borderId="1" xfId="0" applyFont="1" applyFill="1" applyBorder="1" applyAlignment="1" applyProtection="1">
      <alignment horizontal="left" vertical="center" wrapText="1"/>
    </xf>
    <xf numFmtId="10" fontId="110" fillId="6" borderId="1" xfId="0" applyNumberFormat="1" applyFont="1" applyFill="1" applyBorder="1" applyAlignment="1" applyProtection="1">
      <alignment horizontal="left" vertical="center"/>
    </xf>
    <xf numFmtId="9" fontId="110" fillId="6" borderId="1" xfId="0" applyNumberFormat="1" applyFont="1" applyFill="1" applyBorder="1" applyAlignment="1" applyProtection="1">
      <alignment horizontal="left" vertical="center"/>
    </xf>
    <xf numFmtId="0" fontId="110" fillId="6" borderId="13" xfId="0" applyFont="1" applyFill="1" applyBorder="1" applyAlignment="1" applyProtection="1">
      <alignment horizontal="left" vertical="center" wrapText="1"/>
    </xf>
    <xf numFmtId="9" fontId="110" fillId="6" borderId="13" xfId="0" applyNumberFormat="1" applyFont="1" applyFill="1" applyBorder="1" applyAlignment="1" applyProtection="1">
      <alignment horizontal="left" vertical="center"/>
    </xf>
    <xf numFmtId="0" fontId="103" fillId="6" borderId="5" xfId="0" applyFont="1" applyFill="1" applyBorder="1" applyAlignment="1" applyProtection="1">
      <alignment horizontal="left" vertical="center" wrapText="1"/>
    </xf>
    <xf numFmtId="0" fontId="110" fillId="6" borderId="46" xfId="0" applyFont="1" applyFill="1" applyBorder="1" applyAlignment="1" applyProtection="1">
      <alignment horizontal="left" vertical="center" wrapText="1"/>
    </xf>
    <xf numFmtId="0" fontId="110" fillId="6" borderId="36" xfId="0" applyFont="1" applyFill="1" applyBorder="1" applyAlignment="1" applyProtection="1">
      <alignment horizontal="left" vertical="center" wrapText="1"/>
    </xf>
    <xf numFmtId="0" fontId="110" fillId="6" borderId="22" xfId="0" applyFont="1" applyFill="1" applyBorder="1" applyAlignment="1" applyProtection="1">
      <alignment horizontal="left" vertical="center" wrapText="1"/>
    </xf>
    <xf numFmtId="0" fontId="110" fillId="6" borderId="5" xfId="0" applyFont="1" applyFill="1" applyBorder="1" applyAlignment="1" applyProtection="1">
      <alignment horizontal="left" vertical="center" wrapText="1"/>
    </xf>
    <xf numFmtId="0" fontId="110" fillId="6" borderId="54" xfId="0" applyFont="1" applyFill="1" applyBorder="1" applyAlignment="1" applyProtection="1">
      <alignment horizontal="left" vertical="center"/>
    </xf>
    <xf numFmtId="0" fontId="110" fillId="6" borderId="3" xfId="0" applyFont="1" applyFill="1" applyBorder="1" applyAlignment="1" applyProtection="1">
      <alignment horizontal="left" vertical="center" wrapText="1"/>
    </xf>
    <xf numFmtId="0" fontId="110" fillId="6" borderId="58" xfId="0" applyFont="1" applyFill="1" applyBorder="1" applyAlignment="1" applyProtection="1">
      <alignment horizontal="left" vertical="center" wrapText="1"/>
    </xf>
    <xf numFmtId="0" fontId="110" fillId="6" borderId="0" xfId="0" applyFont="1" applyFill="1" applyBorder="1" applyAlignment="1" applyProtection="1">
      <alignment horizontal="left" vertical="center" wrapText="1"/>
    </xf>
    <xf numFmtId="0" fontId="110" fillId="6" borderId="35" xfId="0" applyFont="1" applyFill="1" applyBorder="1" applyAlignment="1" applyProtection="1">
      <alignment horizontal="left" vertical="center" wrapText="1"/>
    </xf>
    <xf numFmtId="0" fontId="110" fillId="6" borderId="4" xfId="0" applyFont="1" applyFill="1" applyBorder="1" applyAlignment="1" applyProtection="1">
      <alignment horizontal="left" vertical="center" wrapText="1"/>
    </xf>
    <xf numFmtId="0" fontId="110" fillId="6" borderId="60" xfId="0" applyFont="1" applyFill="1" applyBorder="1" applyAlignment="1" applyProtection="1">
      <alignment horizontal="left" vertical="center" wrapText="1"/>
    </xf>
    <xf numFmtId="0" fontId="110" fillId="6" borderId="7" xfId="0" applyFont="1" applyFill="1" applyBorder="1" applyAlignment="1" applyProtection="1">
      <alignment horizontal="left" vertical="center" wrapText="1"/>
    </xf>
    <xf numFmtId="0" fontId="49" fillId="7" borderId="0" xfId="0" applyFont="1" applyFill="1" applyAlignment="1" applyProtection="1">
      <alignment horizontal="left" vertical="center"/>
      <protection locked="0"/>
    </xf>
    <xf numFmtId="0" fontId="49" fillId="6" borderId="0" xfId="0" applyFont="1" applyFill="1" applyAlignment="1" applyProtection="1">
      <alignment horizontal="left" vertical="center"/>
      <protection locked="0"/>
    </xf>
    <xf numFmtId="181" fontId="49" fillId="6" borderId="0" xfId="0" applyNumberFormat="1" applyFont="1" applyFill="1" applyAlignment="1" applyProtection="1">
      <alignment horizontal="left" vertical="center"/>
    </xf>
    <xf numFmtId="9" fontId="49" fillId="6" borderId="24" xfId="0" applyNumberFormat="1" applyFont="1" applyFill="1" applyBorder="1" applyAlignment="1" applyProtection="1">
      <alignment horizontal="left" vertical="center"/>
    </xf>
    <xf numFmtId="9" fontId="49" fillId="6" borderId="0" xfId="0" applyNumberFormat="1" applyFont="1" applyFill="1" applyAlignment="1" applyProtection="1">
      <alignment horizontal="left" vertical="center"/>
      <protection locked="0"/>
    </xf>
    <xf numFmtId="10" fontId="49" fillId="6" borderId="2" xfId="0" applyNumberFormat="1" applyFont="1" applyFill="1" applyBorder="1" applyAlignment="1" applyProtection="1">
      <alignment horizontal="left" vertical="center"/>
    </xf>
    <xf numFmtId="0" fontId="50" fillId="0" borderId="24" xfId="0" applyFont="1" applyFill="1" applyBorder="1" applyAlignment="1" applyProtection="1">
      <alignment horizontal="left" vertical="center" wrapText="1"/>
      <protection locked="0"/>
    </xf>
    <xf numFmtId="0" fontId="49" fillId="5" borderId="3" xfId="0" applyFont="1" applyFill="1" applyBorder="1" applyAlignment="1" applyProtection="1">
      <alignment horizontal="left" vertical="center"/>
      <protection locked="0"/>
    </xf>
    <xf numFmtId="0" fontId="49" fillId="6" borderId="14" xfId="0" applyFont="1" applyFill="1" applyBorder="1" applyAlignment="1" applyProtection="1">
      <alignment horizontal="left" vertical="center" wrapText="1"/>
    </xf>
    <xf numFmtId="0" fontId="49" fillId="6" borderId="58" xfId="0" applyFont="1" applyFill="1" applyBorder="1" applyAlignment="1" applyProtection="1">
      <alignment horizontal="left" vertical="center"/>
    </xf>
    <xf numFmtId="0" fontId="49" fillId="6" borderId="41" xfId="0" applyFont="1" applyFill="1" applyBorder="1" applyAlignment="1" applyProtection="1">
      <alignment horizontal="left" vertical="center" wrapText="1"/>
    </xf>
    <xf numFmtId="10" fontId="49" fillId="6" borderId="1" xfId="0" applyNumberFormat="1" applyFont="1" applyFill="1" applyBorder="1" applyAlignment="1" applyProtection="1">
      <alignment horizontal="left" vertical="center"/>
    </xf>
    <xf numFmtId="0" fontId="49" fillId="6" borderId="24" xfId="0" applyFont="1" applyFill="1" applyBorder="1" applyAlignment="1" applyProtection="1">
      <alignment horizontal="left" vertical="center"/>
    </xf>
    <xf numFmtId="0" fontId="50" fillId="6" borderId="0" xfId="0" applyFont="1" applyFill="1" applyAlignment="1" applyProtection="1">
      <alignment horizontal="left" vertical="center"/>
      <protection locked="0"/>
    </xf>
    <xf numFmtId="0" fontId="118" fillId="0" borderId="24" xfId="0" applyFont="1" applyFill="1" applyBorder="1" applyAlignment="1" applyProtection="1">
      <alignment horizontal="left" vertical="center" wrapText="1"/>
      <protection locked="0"/>
    </xf>
    <xf numFmtId="0" fontId="49" fillId="2" borderId="3" xfId="0" applyFont="1" applyFill="1" applyBorder="1" applyAlignment="1" applyProtection="1">
      <alignment horizontal="left" vertical="center" wrapText="1"/>
      <protection locked="0"/>
    </xf>
    <xf numFmtId="0" fontId="49" fillId="6" borderId="0" xfId="0" applyFont="1" applyFill="1" applyBorder="1" applyAlignment="1" applyProtection="1">
      <alignment horizontal="left" vertical="center" wrapText="1"/>
      <protection locked="0"/>
    </xf>
    <xf numFmtId="0" fontId="49" fillId="19" borderId="33" xfId="0" applyFont="1" applyFill="1" applyBorder="1" applyAlignment="1" applyProtection="1">
      <alignment horizontal="left" vertical="center"/>
    </xf>
    <xf numFmtId="0" fontId="49" fillId="19" borderId="32" xfId="0" applyFont="1" applyFill="1" applyBorder="1" applyAlignment="1" applyProtection="1">
      <alignment horizontal="left" vertical="center" wrapText="1"/>
    </xf>
    <xf numFmtId="10" fontId="49" fillId="19" borderId="32" xfId="0" applyNumberFormat="1" applyFont="1" applyFill="1" applyBorder="1" applyAlignment="1" applyProtection="1">
      <alignment horizontal="left" vertical="center"/>
    </xf>
    <xf numFmtId="0" fontId="118" fillId="0" borderId="49" xfId="0" applyFont="1" applyFill="1" applyBorder="1" applyAlignment="1" applyProtection="1">
      <alignment horizontal="left" vertical="center" wrapText="1"/>
      <protection locked="0"/>
    </xf>
    <xf numFmtId="177" fontId="56" fillId="6" borderId="2" xfId="0" applyNumberFormat="1" applyFont="1" applyFill="1" applyBorder="1" applyAlignment="1" applyProtection="1">
      <alignment horizontal="left" vertical="center" wrapText="1"/>
    </xf>
    <xf numFmtId="177" fontId="55" fillId="6" borderId="1" xfId="0" applyNumberFormat="1" applyFont="1" applyFill="1" applyBorder="1" applyAlignment="1" applyProtection="1">
      <alignment horizontal="left" vertical="center" wrapText="1"/>
    </xf>
    <xf numFmtId="177" fontId="55" fillId="0" borderId="1" xfId="0" applyNumberFormat="1" applyFont="1" applyFill="1" applyBorder="1" applyAlignment="1" applyProtection="1">
      <alignment horizontal="left" vertical="center" wrapText="1"/>
      <protection locked="0"/>
    </xf>
    <xf numFmtId="0" fontId="56" fillId="0" borderId="1" xfId="0" applyFont="1" applyFill="1" applyBorder="1" applyAlignment="1" applyProtection="1">
      <alignment horizontal="left" vertical="center" wrapText="1"/>
      <protection locked="0"/>
    </xf>
    <xf numFmtId="177" fontId="56" fillId="6" borderId="1" xfId="0" applyNumberFormat="1" applyFont="1" applyFill="1" applyBorder="1" applyAlignment="1" applyProtection="1">
      <alignment horizontal="left" vertical="center" wrapText="1"/>
    </xf>
    <xf numFmtId="177" fontId="56" fillId="6" borderId="32" xfId="0" applyNumberFormat="1" applyFont="1" applyFill="1" applyBorder="1" applyAlignment="1" applyProtection="1">
      <alignment horizontal="left" vertical="center" wrapText="1"/>
    </xf>
    <xf numFmtId="10" fontId="55" fillId="6" borderId="32" xfId="0" applyNumberFormat="1" applyFont="1" applyFill="1" applyBorder="1" applyAlignment="1" applyProtection="1">
      <alignment horizontal="left" vertical="center" wrapText="1"/>
    </xf>
    <xf numFmtId="0" fontId="55" fillId="0" borderId="1" xfId="0" applyFont="1" applyFill="1" applyBorder="1" applyAlignment="1" applyProtection="1">
      <alignment horizontal="left" vertical="center" wrapText="1"/>
      <protection locked="0"/>
    </xf>
    <xf numFmtId="0" fontId="46" fillId="2" borderId="1" xfId="2" applyFont="1" applyFill="1" applyBorder="1" applyAlignment="1" applyProtection="1">
      <alignment horizontal="left" vertical="center" wrapText="1"/>
      <protection locked="0"/>
    </xf>
    <xf numFmtId="177" fontId="55" fillId="0" borderId="24" xfId="0" applyNumberFormat="1" applyFont="1" applyFill="1" applyBorder="1" applyAlignment="1" applyProtection="1">
      <alignment horizontal="left" vertical="center" wrapText="1"/>
      <protection locked="0"/>
    </xf>
    <xf numFmtId="9" fontId="46" fillId="6" borderId="0" xfId="0" applyNumberFormat="1" applyFont="1" applyFill="1" applyBorder="1" applyAlignment="1" applyProtection="1">
      <alignment horizontal="left" vertical="center"/>
    </xf>
    <xf numFmtId="10" fontId="55" fillId="6" borderId="1" xfId="0" applyNumberFormat="1" applyFont="1" applyFill="1" applyBorder="1" applyAlignment="1" applyProtection="1">
      <alignment horizontal="left" vertical="center" wrapText="1"/>
    </xf>
    <xf numFmtId="191" fontId="55" fillId="6" borderId="1" xfId="0" applyNumberFormat="1" applyFont="1" applyFill="1" applyBorder="1" applyAlignment="1" applyProtection="1">
      <alignment horizontal="left" vertical="center" wrapText="1"/>
    </xf>
    <xf numFmtId="10" fontId="54" fillId="6" borderId="5" xfId="0" applyNumberFormat="1" applyFont="1" applyFill="1" applyBorder="1" applyAlignment="1" applyProtection="1">
      <alignment horizontal="left" vertical="center" wrapText="1"/>
    </xf>
    <xf numFmtId="181" fontId="56" fillId="6" borderId="1" xfId="0" applyNumberFormat="1" applyFont="1" applyFill="1" applyBorder="1" applyAlignment="1" applyProtection="1">
      <alignment horizontal="left" vertical="center" wrapText="1"/>
    </xf>
    <xf numFmtId="0" fontId="54" fillId="6" borderId="32" xfId="0" applyFont="1" applyFill="1" applyBorder="1" applyAlignment="1" applyProtection="1">
      <alignment horizontal="left" vertical="center" wrapText="1"/>
    </xf>
    <xf numFmtId="0" fontId="55" fillId="6" borderId="32" xfId="0" applyFont="1" applyFill="1" applyBorder="1" applyAlignment="1" applyProtection="1">
      <alignment horizontal="left" vertical="center" wrapText="1"/>
    </xf>
    <xf numFmtId="0" fontId="55" fillId="6" borderId="5" xfId="0" applyFont="1" applyFill="1" applyBorder="1" applyAlignment="1" applyProtection="1">
      <alignment horizontal="left" vertical="center" wrapText="1"/>
    </xf>
    <xf numFmtId="191" fontId="55" fillId="0" borderId="1" xfId="0" applyNumberFormat="1" applyFont="1" applyFill="1" applyBorder="1" applyAlignment="1" applyProtection="1">
      <alignment horizontal="left" vertical="center" wrapText="1"/>
      <protection locked="0"/>
    </xf>
    <xf numFmtId="10" fontId="54" fillId="5" borderId="5" xfId="0" applyNumberFormat="1" applyFont="1" applyFill="1" applyBorder="1" applyAlignment="1" applyProtection="1">
      <alignment horizontal="left" vertical="center" wrapText="1"/>
      <protection locked="0"/>
    </xf>
    <xf numFmtId="0" fontId="131" fillId="6" borderId="1" xfId="0" applyFont="1" applyFill="1" applyBorder="1" applyAlignment="1" applyProtection="1">
      <alignment horizontal="left" vertical="center" wrapText="1"/>
    </xf>
    <xf numFmtId="0" fontId="108" fillId="6" borderId="1" xfId="0" applyFont="1" applyFill="1" applyBorder="1" applyAlignment="1" applyProtection="1">
      <alignment horizontal="left" vertical="center" wrapText="1"/>
    </xf>
    <xf numFmtId="0" fontId="108" fillId="6" borderId="24" xfId="0" applyFont="1" applyFill="1" applyBorder="1" applyAlignment="1" applyProtection="1">
      <alignment horizontal="left" vertical="center" wrapText="1"/>
    </xf>
    <xf numFmtId="0" fontId="108" fillId="6" borderId="13" xfId="0" applyFont="1" applyFill="1" applyBorder="1" applyAlignment="1" applyProtection="1">
      <alignment horizontal="left" vertical="center" wrapText="1"/>
    </xf>
    <xf numFmtId="0" fontId="108" fillId="6" borderId="61" xfId="0" applyFont="1" applyFill="1" applyBorder="1" applyAlignment="1" applyProtection="1">
      <alignment horizontal="left" vertical="center" wrapText="1"/>
    </xf>
    <xf numFmtId="0" fontId="131" fillId="6" borderId="5" xfId="0" applyFont="1" applyFill="1" applyBorder="1" applyAlignment="1" applyProtection="1">
      <alignment horizontal="left" vertical="center" wrapText="1"/>
    </xf>
    <xf numFmtId="0" fontId="108" fillId="6" borderId="5" xfId="0" applyFont="1" applyFill="1" applyBorder="1" applyAlignment="1" applyProtection="1">
      <alignment horizontal="left" vertical="center" wrapText="1"/>
    </xf>
    <xf numFmtId="0" fontId="108" fillId="6" borderId="48" xfId="0" applyFont="1" applyFill="1" applyBorder="1" applyAlignment="1" applyProtection="1">
      <alignment horizontal="left" vertical="center" wrapText="1"/>
    </xf>
    <xf numFmtId="0" fontId="131" fillId="6" borderId="33" xfId="0" applyFont="1" applyFill="1" applyBorder="1" applyAlignment="1" applyProtection="1">
      <alignment horizontal="left" vertical="center" wrapText="1"/>
    </xf>
    <xf numFmtId="0" fontId="108" fillId="6" borderId="33" xfId="0" applyFont="1" applyFill="1" applyBorder="1" applyAlignment="1" applyProtection="1">
      <alignment horizontal="left" vertical="center" wrapText="1"/>
    </xf>
    <xf numFmtId="0" fontId="108" fillId="6" borderId="68" xfId="0" applyFont="1" applyFill="1" applyBorder="1" applyAlignment="1" applyProtection="1">
      <alignment horizontal="left" vertical="center" wrapText="1"/>
    </xf>
    <xf numFmtId="0" fontId="48" fillId="6" borderId="24" xfId="0" applyFont="1" applyFill="1" applyBorder="1" applyAlignment="1" applyProtection="1">
      <alignment horizontal="left" vertical="center"/>
    </xf>
    <xf numFmtId="0" fontId="46" fillId="19" borderId="24" xfId="0" applyFont="1" applyFill="1" applyBorder="1" applyAlignment="1" applyProtection="1">
      <alignment horizontal="left" vertical="center"/>
    </xf>
    <xf numFmtId="0" fontId="46" fillId="6" borderId="24" xfId="0" applyFont="1" applyFill="1" applyBorder="1" applyAlignment="1" applyProtection="1">
      <alignment horizontal="left" vertical="center"/>
    </xf>
    <xf numFmtId="0" fontId="54" fillId="6" borderId="24" xfId="0" applyFont="1" applyFill="1" applyBorder="1" applyAlignment="1" applyProtection="1">
      <alignment horizontal="left" vertical="center"/>
    </xf>
    <xf numFmtId="0" fontId="46" fillId="6" borderId="49" xfId="0" applyFont="1" applyFill="1" applyBorder="1" applyAlignment="1" applyProtection="1">
      <alignment horizontal="left" vertical="center"/>
    </xf>
    <xf numFmtId="0" fontId="46" fillId="6" borderId="1" xfId="0" applyFont="1" applyFill="1" applyBorder="1" applyAlignment="1" applyProtection="1">
      <alignment horizontal="left" vertical="center" wrapText="1"/>
      <protection locked="0"/>
    </xf>
    <xf numFmtId="0" fontId="102" fillId="6" borderId="5" xfId="0" applyFont="1" applyFill="1" applyBorder="1" applyAlignment="1">
      <alignment horizontal="right" vertical="center"/>
    </xf>
    <xf numFmtId="0" fontId="102" fillId="6" borderId="1" xfId="0" applyFont="1" applyFill="1" applyBorder="1" applyAlignment="1">
      <alignment horizontal="right" vertical="center"/>
    </xf>
    <xf numFmtId="0" fontId="217" fillId="6" borderId="23" xfId="0" applyFont="1" applyFill="1" applyBorder="1" applyAlignment="1">
      <alignment horizontal="left" vertical="center"/>
    </xf>
    <xf numFmtId="0" fontId="102" fillId="6" borderId="23" xfId="0" applyFont="1" applyFill="1" applyBorder="1" applyAlignment="1">
      <alignment horizontal="left" vertical="center"/>
    </xf>
    <xf numFmtId="0" fontId="102" fillId="6" borderId="25" xfId="0" applyFont="1" applyFill="1" applyBorder="1" applyAlignment="1">
      <alignment horizontal="left" vertical="center"/>
    </xf>
    <xf numFmtId="0" fontId="102" fillId="6" borderId="5" xfId="0" applyFont="1" applyFill="1" applyBorder="1" applyAlignment="1" applyProtection="1">
      <alignment horizontal="left" vertical="center"/>
    </xf>
    <xf numFmtId="0" fontId="102" fillId="6" borderId="24" xfId="0" applyFont="1" applyFill="1" applyBorder="1" applyAlignment="1" applyProtection="1">
      <alignment horizontal="left" vertical="center"/>
    </xf>
    <xf numFmtId="0" fontId="130" fillId="6" borderId="1" xfId="0" applyFont="1" applyFill="1" applyBorder="1" applyAlignment="1">
      <alignment horizontal="left" vertical="center" wrapText="1"/>
    </xf>
    <xf numFmtId="0" fontId="130" fillId="5" borderId="1" xfId="0" applyFont="1" applyFill="1" applyBorder="1" applyAlignment="1" applyProtection="1">
      <alignment horizontal="left" vertical="center"/>
      <protection locked="0"/>
    </xf>
    <xf numFmtId="0" fontId="130" fillId="6" borderId="1" xfId="0" applyFont="1" applyFill="1" applyBorder="1" applyAlignment="1">
      <alignment horizontal="center" vertical="center"/>
    </xf>
    <xf numFmtId="0" fontId="130" fillId="6" borderId="1" xfId="0" applyFont="1" applyFill="1" applyBorder="1" applyAlignment="1">
      <alignment horizontal="left" vertical="center"/>
    </xf>
    <xf numFmtId="0" fontId="102" fillId="6" borderId="1" xfId="0" applyFont="1" applyFill="1" applyBorder="1" applyAlignment="1">
      <alignment horizontal="left" vertical="center"/>
    </xf>
    <xf numFmtId="49" fontId="49" fillId="6" borderId="0" xfId="0" applyNumberFormat="1" applyFont="1" applyFill="1" applyAlignment="1" applyProtection="1">
      <alignment horizontal="center" vertical="center" wrapText="1"/>
      <protection locked="0"/>
    </xf>
    <xf numFmtId="0" fontId="49" fillId="6" borderId="58" xfId="0" applyNumberFormat="1" applyFont="1" applyFill="1" applyBorder="1" applyAlignment="1" applyProtection="1">
      <alignment horizontal="left" vertical="center"/>
      <protection locked="0"/>
    </xf>
    <xf numFmtId="0" fontId="49" fillId="6" borderId="58" xfId="0" applyNumberFormat="1" applyFont="1" applyFill="1" applyBorder="1" applyAlignment="1" applyProtection="1">
      <alignment horizontal="center" vertical="center" wrapText="1"/>
      <protection locked="0"/>
    </xf>
    <xf numFmtId="49" fontId="49" fillId="6" borderId="58" xfId="0" applyNumberFormat="1" applyFont="1" applyFill="1" applyBorder="1" applyAlignment="1" applyProtection="1">
      <alignment horizontal="center" vertical="center" wrapText="1"/>
      <protection locked="0"/>
    </xf>
    <xf numFmtId="177" fontId="49" fillId="6" borderId="58" xfId="0" applyNumberFormat="1" applyFont="1" applyFill="1" applyBorder="1" applyAlignment="1" applyProtection="1">
      <alignment horizontal="center" vertical="center" wrapText="1"/>
      <protection locked="0"/>
    </xf>
    <xf numFmtId="179" fontId="49" fillId="6" borderId="58" xfId="0" applyNumberFormat="1" applyFont="1" applyFill="1" applyBorder="1" applyAlignment="1" applyProtection="1">
      <alignment horizontal="center" vertical="center" wrapText="1"/>
      <protection locked="0"/>
    </xf>
    <xf numFmtId="179" fontId="49" fillId="6" borderId="58" xfId="0" applyNumberFormat="1" applyFont="1" applyFill="1" applyBorder="1" applyAlignment="1" applyProtection="1">
      <alignment horizontal="left" vertical="center"/>
      <protection locked="0"/>
    </xf>
    <xf numFmtId="0" fontId="49" fillId="6" borderId="58" xfId="0" applyFont="1" applyFill="1" applyBorder="1" applyAlignment="1" applyProtection="1">
      <alignment horizontal="center" vertical="center" wrapText="1"/>
      <protection locked="0"/>
    </xf>
    <xf numFmtId="0" fontId="49" fillId="6" borderId="1" xfId="0" applyFont="1" applyFill="1" applyBorder="1" applyAlignment="1" applyProtection="1">
      <alignment horizontal="center" vertical="center" wrapText="1"/>
      <protection locked="0"/>
    </xf>
    <xf numFmtId="0" fontId="49" fillId="6" borderId="1" xfId="0" applyFont="1" applyFill="1" applyBorder="1" applyAlignment="1" applyProtection="1">
      <alignment vertical="center" wrapText="1"/>
      <protection locked="0"/>
    </xf>
    <xf numFmtId="0" fontId="54" fillId="6" borderId="151" xfId="0" applyFont="1" applyFill="1" applyBorder="1" applyAlignment="1" applyProtection="1">
      <alignment vertical="center" wrapText="1"/>
      <protection locked="0"/>
    </xf>
    <xf numFmtId="0" fontId="54" fillId="6" borderId="152" xfId="0" applyFont="1" applyFill="1" applyBorder="1" applyAlignment="1" applyProtection="1">
      <alignment vertical="center" wrapText="1"/>
      <protection locked="0"/>
    </xf>
    <xf numFmtId="0" fontId="54" fillId="6" borderId="151" xfId="0" applyFont="1" applyFill="1" applyBorder="1" applyAlignment="1" applyProtection="1">
      <alignment horizontal="center" vertical="center" wrapText="1"/>
      <protection locked="0"/>
    </xf>
    <xf numFmtId="0" fontId="54" fillId="0" borderId="151" xfId="0" applyFont="1" applyBorder="1" applyAlignment="1" applyProtection="1">
      <alignment vertical="center" wrapText="1"/>
      <protection locked="0"/>
    </xf>
    <xf numFmtId="49" fontId="49" fillId="6" borderId="5" xfId="0" applyNumberFormat="1" applyFont="1" applyFill="1" applyBorder="1" applyAlignment="1" applyProtection="1">
      <alignment horizontal="center" vertical="center" wrapText="1"/>
      <protection locked="0"/>
    </xf>
    <xf numFmtId="49" fontId="49" fillId="6" borderId="1" xfId="0" applyNumberFormat="1" applyFont="1" applyFill="1" applyBorder="1" applyAlignment="1" applyProtection="1">
      <alignment horizontal="center" vertical="center" wrapText="1"/>
      <protection locked="0"/>
    </xf>
    <xf numFmtId="49" fontId="49" fillId="0" borderId="58" xfId="0" applyNumberFormat="1" applyFont="1" applyBorder="1" applyAlignment="1" applyProtection="1">
      <alignment horizontal="center" vertical="center" wrapText="1"/>
      <protection locked="0"/>
    </xf>
    <xf numFmtId="49" fontId="49" fillId="0" borderId="0" xfId="0" applyNumberFormat="1" applyFont="1" applyAlignment="1" applyProtection="1">
      <alignment horizontal="center" vertical="center" wrapText="1"/>
      <protection locked="0"/>
    </xf>
    <xf numFmtId="0" fontId="49" fillId="17" borderId="15" xfId="0" applyNumberFormat="1" applyFont="1" applyFill="1" applyBorder="1" applyAlignment="1" applyProtection="1">
      <alignment vertical="center" wrapText="1"/>
    </xf>
    <xf numFmtId="0" fontId="49" fillId="17" borderId="78" xfId="0" applyNumberFormat="1" applyFont="1" applyFill="1" applyBorder="1" applyAlignment="1" applyProtection="1">
      <alignment vertical="center" wrapText="1"/>
    </xf>
    <xf numFmtId="0" fontId="49" fillId="6" borderId="5" xfId="0" applyFont="1" applyFill="1" applyBorder="1" applyAlignment="1" applyProtection="1">
      <alignment vertical="center" wrapText="1"/>
    </xf>
    <xf numFmtId="0" fontId="49" fillId="5" borderId="23" xfId="0" applyFont="1" applyFill="1" applyBorder="1" applyAlignment="1" applyProtection="1">
      <alignment vertical="center" wrapText="1"/>
      <protection locked="0"/>
    </xf>
    <xf numFmtId="0" fontId="49" fillId="5" borderId="24" xfId="0" applyFont="1" applyFill="1" applyBorder="1" applyAlignment="1" applyProtection="1">
      <alignment vertical="center" wrapText="1"/>
      <protection locked="0"/>
    </xf>
    <xf numFmtId="0" fontId="49" fillId="5" borderId="5" xfId="0" applyFont="1" applyFill="1" applyBorder="1" applyAlignment="1" applyProtection="1">
      <alignment vertical="center" wrapText="1"/>
      <protection locked="0"/>
    </xf>
    <xf numFmtId="0" fontId="49" fillId="5" borderId="23" xfId="0" applyFont="1" applyFill="1" applyBorder="1" applyAlignment="1" applyProtection="1">
      <alignment vertical="center" wrapText="1" shrinkToFit="1"/>
      <protection locked="0"/>
    </xf>
    <xf numFmtId="0" fontId="49" fillId="6" borderId="18" xfId="0" applyFont="1" applyFill="1" applyBorder="1" applyAlignment="1" applyProtection="1">
      <alignment vertical="center" wrapText="1"/>
    </xf>
    <xf numFmtId="184" fontId="177" fillId="0" borderId="24" xfId="0" applyNumberFormat="1" applyFont="1" applyFill="1" applyBorder="1" applyAlignment="1" applyProtection="1">
      <alignment vertical="center" shrinkToFit="1"/>
      <protection locked="0"/>
    </xf>
    <xf numFmtId="0" fontId="49" fillId="6" borderId="16" xfId="0" applyFont="1" applyFill="1" applyBorder="1" applyAlignment="1" applyProtection="1">
      <alignment vertical="center" wrapText="1"/>
    </xf>
    <xf numFmtId="184" fontId="177" fillId="0" borderId="21" xfId="0" applyNumberFormat="1" applyFont="1" applyFill="1" applyBorder="1" applyAlignment="1" applyProtection="1">
      <alignment vertical="center" shrinkToFit="1"/>
      <protection locked="0"/>
    </xf>
    <xf numFmtId="0" fontId="177" fillId="0" borderId="24" xfId="0" applyFont="1" applyFill="1" applyBorder="1" applyAlignment="1" applyProtection="1">
      <alignment vertical="center" wrapText="1"/>
      <protection locked="0"/>
    </xf>
    <xf numFmtId="0" fontId="177" fillId="0" borderId="48" xfId="0" applyFont="1" applyFill="1" applyBorder="1" applyAlignment="1" applyProtection="1">
      <alignment vertical="center" wrapText="1"/>
      <protection locked="0"/>
    </xf>
    <xf numFmtId="0" fontId="49" fillId="6" borderId="89" xfId="0" applyFont="1" applyFill="1" applyBorder="1" applyAlignment="1" applyProtection="1">
      <alignment vertical="center" wrapText="1"/>
    </xf>
    <xf numFmtId="0" fontId="49" fillId="6" borderId="91" xfId="0" applyFont="1" applyFill="1" applyBorder="1" applyAlignment="1" applyProtection="1">
      <alignment vertical="center" wrapText="1"/>
    </xf>
    <xf numFmtId="0" fontId="177" fillId="0" borderId="79" xfId="0" applyFont="1" applyFill="1" applyBorder="1" applyAlignment="1" applyProtection="1">
      <alignment vertical="center" wrapText="1"/>
      <protection locked="0"/>
    </xf>
    <xf numFmtId="0" fontId="177" fillId="0" borderId="90" xfId="0" applyFont="1" applyFill="1" applyBorder="1" applyAlignment="1" applyProtection="1">
      <alignment vertical="center" wrapText="1"/>
      <protection locked="0"/>
    </xf>
    <xf numFmtId="0" fontId="49" fillId="6" borderId="27" xfId="0" applyFont="1" applyFill="1" applyBorder="1" applyAlignment="1" applyProtection="1">
      <alignment horizontal="left" vertical="center"/>
    </xf>
    <xf numFmtId="0" fontId="49" fillId="0" borderId="96" xfId="0" applyFont="1" applyBorder="1" applyAlignment="1" applyProtection="1">
      <alignment horizontal="left" vertical="center" wrapText="1"/>
      <protection locked="0"/>
    </xf>
    <xf numFmtId="0" fontId="46" fillId="0" borderId="0" xfId="0" applyFont="1" applyFill="1" applyProtection="1">
      <alignment vertical="center"/>
      <protection locked="0"/>
    </xf>
    <xf numFmtId="0" fontId="46" fillId="6" borderId="51" xfId="0" applyFont="1" applyFill="1" applyBorder="1" applyProtection="1">
      <alignment vertical="center"/>
    </xf>
    <xf numFmtId="0" fontId="46" fillId="6" borderId="20" xfId="0" applyFont="1" applyFill="1" applyBorder="1" applyProtection="1">
      <alignment vertical="center"/>
    </xf>
    <xf numFmtId="0" fontId="46" fillId="6" borderId="41" xfId="0" applyFont="1" applyFill="1" applyBorder="1" applyProtection="1">
      <alignment vertical="center"/>
    </xf>
    <xf numFmtId="0" fontId="46" fillId="6" borderId="14" xfId="0" applyFont="1" applyFill="1" applyBorder="1" applyProtection="1">
      <alignment vertical="center"/>
    </xf>
    <xf numFmtId="0" fontId="46" fillId="6" borderId="61" xfId="0" applyFont="1" applyFill="1" applyBorder="1" applyAlignment="1" applyProtection="1">
      <alignment horizontal="center" vertical="center"/>
    </xf>
    <xf numFmtId="0" fontId="46" fillId="6" borderId="38" xfId="0" applyFont="1" applyFill="1" applyBorder="1" applyProtection="1">
      <alignment vertical="center"/>
    </xf>
    <xf numFmtId="0" fontId="46" fillId="6" borderId="66" xfId="0" applyFont="1" applyFill="1" applyBorder="1" applyProtection="1">
      <alignment vertical="center"/>
    </xf>
    <xf numFmtId="0" fontId="46" fillId="0" borderId="49" xfId="0" applyFont="1" applyFill="1" applyBorder="1" applyAlignment="1" applyProtection="1">
      <alignment horizontal="center" vertical="center"/>
      <protection locked="0"/>
    </xf>
    <xf numFmtId="0" fontId="49" fillId="6" borderId="82" xfId="0" applyFont="1" applyFill="1" applyBorder="1" applyAlignment="1" applyProtection="1">
      <alignment horizontal="center" vertical="center"/>
    </xf>
    <xf numFmtId="0" fontId="46" fillId="13" borderId="0" xfId="0" applyFont="1" applyFill="1" applyProtection="1">
      <alignment vertical="center"/>
      <protection locked="0"/>
    </xf>
    <xf numFmtId="0" fontId="46" fillId="13" borderId="0" xfId="0" applyFont="1" applyFill="1" applyBorder="1" applyProtection="1">
      <alignment vertical="center"/>
      <protection locked="0"/>
    </xf>
    <xf numFmtId="0" fontId="46" fillId="13" borderId="0" xfId="0" applyFont="1" applyFill="1" applyAlignment="1" applyProtection="1">
      <alignment horizontal="center" vertical="center"/>
      <protection locked="0"/>
    </xf>
    <xf numFmtId="0" fontId="49" fillId="13" borderId="0" xfId="0" applyFont="1" applyFill="1" applyBorder="1" applyAlignment="1" applyProtection="1">
      <alignment horizontal="center" vertical="center" wrapText="1"/>
      <protection locked="0"/>
    </xf>
    <xf numFmtId="0" fontId="49" fillId="13" borderId="0" xfId="0" applyFont="1" applyFill="1" applyBorder="1" applyAlignment="1" applyProtection="1">
      <alignment vertical="center" wrapText="1"/>
      <protection locked="0"/>
    </xf>
    <xf numFmtId="0" fontId="49" fillId="13" borderId="0" xfId="0" applyFont="1" applyFill="1" applyAlignment="1" applyProtection="1">
      <alignment vertical="center" wrapText="1"/>
      <protection locked="0"/>
    </xf>
    <xf numFmtId="0" fontId="49" fillId="13" borderId="87" xfId="0" applyFont="1" applyFill="1" applyBorder="1" applyAlignment="1" applyProtection="1">
      <alignment vertical="center" wrapText="1"/>
      <protection locked="0"/>
    </xf>
    <xf numFmtId="0" fontId="49" fillId="13" borderId="60" xfId="0" applyFont="1" applyFill="1" applyBorder="1" applyAlignment="1" applyProtection="1">
      <alignment vertical="center" wrapText="1"/>
    </xf>
    <xf numFmtId="0" fontId="49" fillId="13" borderId="60" xfId="0" applyFont="1" applyFill="1" applyBorder="1" applyAlignment="1" applyProtection="1">
      <alignment horizontal="center" vertical="center" wrapText="1"/>
    </xf>
    <xf numFmtId="0" fontId="49" fillId="13" borderId="7" xfId="0" applyFont="1" applyFill="1" applyBorder="1" applyAlignment="1" applyProtection="1">
      <alignment vertical="center" wrapText="1"/>
    </xf>
    <xf numFmtId="0" fontId="49" fillId="13" borderId="1" xfId="0" applyNumberFormat="1" applyFont="1" applyFill="1" applyBorder="1" applyAlignment="1" applyProtection="1">
      <alignment horizontal="center" vertical="center" wrapText="1"/>
      <protection locked="0"/>
    </xf>
    <xf numFmtId="0" fontId="49" fillId="13" borderId="78" xfId="0" applyNumberFormat="1" applyFont="1" applyFill="1" applyBorder="1" applyAlignment="1" applyProtection="1">
      <alignment horizontal="center" vertical="center" wrapText="1"/>
      <protection locked="0"/>
    </xf>
    <xf numFmtId="0" fontId="49" fillId="13" borderId="0" xfId="0" applyFont="1" applyFill="1" applyBorder="1" applyAlignment="1" applyProtection="1">
      <alignment vertical="center" wrapText="1"/>
    </xf>
    <xf numFmtId="0" fontId="49" fillId="13" borderId="0" xfId="0" applyFont="1" applyFill="1" applyAlignment="1" applyProtection="1">
      <alignment vertical="center"/>
      <protection locked="0"/>
    </xf>
    <xf numFmtId="0" fontId="49" fillId="13" borderId="0" xfId="0" applyFont="1" applyFill="1" applyAlignment="1" applyProtection="1">
      <alignment horizontal="center" vertical="center"/>
      <protection locked="0"/>
    </xf>
    <xf numFmtId="0" fontId="46" fillId="13" borderId="0" xfId="0" applyFont="1" applyFill="1" applyAlignment="1" applyProtection="1">
      <alignment vertical="center"/>
      <protection locked="0"/>
    </xf>
    <xf numFmtId="0" fontId="46" fillId="13" borderId="0" xfId="0" applyFont="1" applyFill="1" applyBorder="1" applyAlignment="1" applyProtection="1">
      <alignment vertical="center"/>
      <protection locked="0"/>
    </xf>
    <xf numFmtId="179" fontId="49" fillId="13" borderId="0" xfId="0" applyNumberFormat="1" applyFont="1" applyFill="1" applyAlignment="1" applyProtection="1">
      <alignment vertical="center"/>
      <protection locked="0"/>
    </xf>
    <xf numFmtId="179" fontId="46" fillId="13" borderId="0" xfId="0" applyNumberFormat="1" applyFont="1" applyFill="1" applyAlignment="1" applyProtection="1">
      <alignment vertical="center"/>
      <protection locked="0"/>
    </xf>
    <xf numFmtId="0" fontId="46" fillId="13" borderId="67" xfId="0" applyFont="1" applyFill="1" applyBorder="1" applyAlignment="1" applyProtection="1">
      <alignment horizontal="center" vertical="center"/>
      <protection locked="0"/>
    </xf>
    <xf numFmtId="0" fontId="104" fillId="13" borderId="0" xfId="0" applyFont="1" applyFill="1" applyAlignment="1" applyProtection="1">
      <alignment horizontal="left" vertical="center"/>
      <protection locked="0"/>
    </xf>
    <xf numFmtId="179" fontId="46" fillId="13" borderId="0" xfId="0" applyNumberFormat="1" applyFont="1" applyFill="1" applyAlignment="1" applyProtection="1">
      <alignment horizontal="center" vertical="center"/>
      <protection locked="0"/>
    </xf>
    <xf numFmtId="0" fontId="104" fillId="13" borderId="0" xfId="0" applyFont="1" applyFill="1" applyAlignment="1" applyProtection="1">
      <alignment horizontal="center" vertical="center"/>
      <protection locked="0"/>
    </xf>
    <xf numFmtId="0" fontId="118" fillId="13" borderId="0" xfId="0" applyFont="1" applyFill="1" applyAlignment="1" applyProtection="1">
      <alignment vertical="center"/>
      <protection locked="0"/>
    </xf>
    <xf numFmtId="0" fontId="49" fillId="13" borderId="0" xfId="0" applyFont="1" applyFill="1" applyAlignment="1" applyProtection="1">
      <alignment vertical="center"/>
    </xf>
    <xf numFmtId="181" fontId="102" fillId="13" borderId="0" xfId="0" applyNumberFormat="1" applyFont="1" applyFill="1" applyAlignment="1" applyProtection="1">
      <alignment horizontal="center" vertical="center"/>
    </xf>
    <xf numFmtId="179" fontId="104" fillId="13" borderId="0" xfId="0" applyNumberFormat="1" applyFont="1" applyFill="1" applyAlignment="1" applyProtection="1">
      <alignment vertical="center"/>
      <protection locked="0"/>
    </xf>
    <xf numFmtId="0" fontId="46" fillId="13" borderId="0" xfId="0" applyFont="1" applyFill="1" applyAlignment="1" applyProtection="1">
      <alignment vertical="center"/>
    </xf>
    <xf numFmtId="0" fontId="168" fillId="13" borderId="0" xfId="12" applyFont="1" applyFill="1" applyBorder="1" applyAlignment="1" applyProtection="1">
      <alignment horizontal="left" vertical="center" wrapText="1"/>
      <protection locked="0"/>
    </xf>
    <xf numFmtId="0" fontId="167" fillId="13" borderId="0" xfId="12" applyFill="1" applyBorder="1" applyAlignment="1" applyProtection="1">
      <alignment horizontal="left"/>
      <protection locked="0"/>
    </xf>
    <xf numFmtId="0" fontId="167" fillId="13" borderId="0" xfId="12" applyFill="1" applyAlignment="1" applyProtection="1">
      <alignment horizontal="left"/>
      <protection locked="0"/>
    </xf>
    <xf numFmtId="0" fontId="190" fillId="18" borderId="154" xfId="0" applyFont="1" applyFill="1" applyBorder="1" applyAlignment="1" applyProtection="1">
      <alignment horizontal="right"/>
      <protection locked="0"/>
    </xf>
    <xf numFmtId="181" fontId="49" fillId="6" borderId="0" xfId="0" applyNumberFormat="1" applyFont="1" applyFill="1" applyProtection="1">
      <alignment vertical="center"/>
      <protection locked="0"/>
    </xf>
    <xf numFmtId="0" fontId="102" fillId="0" borderId="0" xfId="0" applyFont="1" applyFill="1" applyProtection="1">
      <alignment vertical="center"/>
      <protection locked="0"/>
    </xf>
    <xf numFmtId="0" fontId="65" fillId="6" borderId="0" xfId="0" applyFont="1" applyFill="1" applyAlignment="1" applyProtection="1">
      <alignment vertical="center"/>
      <protection locked="0"/>
    </xf>
    <xf numFmtId="49" fontId="64" fillId="6" borderId="0" xfId="0" applyNumberFormat="1" applyFont="1" applyFill="1" applyBorder="1" applyAlignment="1" applyProtection="1">
      <alignment horizontal="center"/>
      <protection locked="0"/>
    </xf>
    <xf numFmtId="49" fontId="64" fillId="6" borderId="0" xfId="0" applyNumberFormat="1" applyFont="1" applyFill="1" applyBorder="1" applyAlignment="1" applyProtection="1">
      <alignment horizontal="left"/>
      <protection locked="0"/>
    </xf>
    <xf numFmtId="49" fontId="56" fillId="6" borderId="0" xfId="0" applyNumberFormat="1" applyFont="1" applyFill="1" applyBorder="1" applyAlignment="1" applyProtection="1">
      <alignment horizontal="center"/>
      <protection locked="0"/>
    </xf>
    <xf numFmtId="49" fontId="56" fillId="6" borderId="0" xfId="0" applyNumberFormat="1" applyFont="1" applyFill="1" applyBorder="1" applyAlignment="1" applyProtection="1">
      <alignment horizontal="left"/>
      <protection locked="0"/>
    </xf>
    <xf numFmtId="49" fontId="56" fillId="6" borderId="0" xfId="0" applyNumberFormat="1" applyFont="1" applyFill="1" applyBorder="1" applyAlignment="1" applyProtection="1">
      <alignment horizontal="left" vertical="center"/>
      <protection locked="0"/>
    </xf>
    <xf numFmtId="0" fontId="55" fillId="6" borderId="0" xfId="0" applyFont="1" applyFill="1" applyBorder="1" applyAlignment="1" applyProtection="1">
      <alignment horizontal="left" vertical="center"/>
      <protection locked="0"/>
    </xf>
    <xf numFmtId="179" fontId="62" fillId="6" borderId="0" xfId="0" applyNumberFormat="1" applyFont="1" applyFill="1" applyBorder="1" applyAlignment="1" applyProtection="1">
      <alignment horizontal="center" vertical="center"/>
      <protection locked="0"/>
    </xf>
    <xf numFmtId="0" fontId="103" fillId="6" borderId="0" xfId="0" applyFont="1" applyFill="1" applyAlignment="1" applyProtection="1">
      <protection locked="0"/>
    </xf>
    <xf numFmtId="0" fontId="103" fillId="6" borderId="0" xfId="0" applyFont="1" applyFill="1" applyAlignment="1" applyProtection="1">
      <alignment horizontal="left"/>
      <protection locked="0"/>
    </xf>
    <xf numFmtId="0" fontId="54" fillId="6" borderId="0" xfId="0" applyFont="1" applyFill="1" applyAlignment="1" applyProtection="1">
      <alignment horizontal="left"/>
      <protection locked="0"/>
    </xf>
    <xf numFmtId="0" fontId="54" fillId="6" borderId="0" xfId="0" applyFont="1" applyFill="1" applyAlignment="1" applyProtection="1">
      <protection locked="0"/>
    </xf>
    <xf numFmtId="0" fontId="55" fillId="6" borderId="0" xfId="0" applyFont="1" applyFill="1" applyAlignment="1" applyProtection="1">
      <alignment horizontal="left" vertical="center"/>
      <protection locked="0"/>
    </xf>
    <xf numFmtId="0" fontId="145" fillId="6" borderId="0" xfId="0" applyFont="1" applyFill="1" applyAlignment="1" applyProtection="1">
      <alignment vertical="center"/>
      <protection locked="0"/>
    </xf>
    <xf numFmtId="177" fontId="56" fillId="7" borderId="0" xfId="0" applyNumberFormat="1" applyFont="1" applyFill="1" applyBorder="1" applyAlignment="1" applyProtection="1">
      <protection locked="0"/>
    </xf>
    <xf numFmtId="0" fontId="102" fillId="13" borderId="0" xfId="0" applyFont="1" applyFill="1">
      <alignment vertical="center"/>
    </xf>
    <xf numFmtId="0" fontId="217" fillId="13" borderId="0" xfId="0" applyFont="1" applyFill="1" applyBorder="1">
      <alignment vertical="center"/>
    </xf>
    <xf numFmtId="0" fontId="102" fillId="13" borderId="0" xfId="0" applyFont="1" applyFill="1" applyBorder="1">
      <alignment vertical="center"/>
    </xf>
    <xf numFmtId="0" fontId="102" fillId="13" borderId="47" xfId="0" applyFont="1" applyFill="1" applyBorder="1">
      <alignment vertical="center"/>
    </xf>
    <xf numFmtId="0" fontId="102" fillId="13" borderId="56" xfId="0" applyFont="1" applyFill="1" applyBorder="1" applyProtection="1">
      <alignment vertical="center"/>
    </xf>
    <xf numFmtId="0" fontId="59" fillId="13" borderId="18" xfId="1" applyFont="1" applyFill="1" applyBorder="1" applyAlignment="1" applyProtection="1">
      <alignment vertical="center"/>
    </xf>
    <xf numFmtId="181" fontId="59" fillId="13" borderId="0" xfId="0" applyNumberFormat="1" applyFont="1" applyFill="1" applyBorder="1" applyAlignment="1" applyProtection="1">
      <alignment vertical="center"/>
      <protection locked="0"/>
    </xf>
    <xf numFmtId="0" fontId="59" fillId="13" borderId="0" xfId="0" applyFont="1" applyFill="1" applyBorder="1" applyAlignment="1" applyProtection="1">
      <alignment horizontal="center" vertical="center"/>
      <protection locked="0"/>
    </xf>
    <xf numFmtId="181" fontId="46" fillId="13" borderId="0" xfId="0" applyNumberFormat="1" applyFont="1" applyFill="1" applyBorder="1" applyAlignment="1" applyProtection="1">
      <alignment vertical="center" wrapText="1"/>
      <protection locked="0"/>
    </xf>
    <xf numFmtId="0" fontId="53" fillId="13" borderId="0" xfId="0" applyFont="1" applyFill="1" applyBorder="1" applyAlignment="1" applyProtection="1">
      <alignment horizontal="center" vertical="center"/>
      <protection locked="0"/>
    </xf>
    <xf numFmtId="181" fontId="46" fillId="13" borderId="0" xfId="0" applyNumberFormat="1" applyFont="1" applyFill="1" applyBorder="1" applyAlignment="1" applyProtection="1">
      <alignment horizontal="center" vertical="center" wrapText="1"/>
      <protection locked="0"/>
    </xf>
    <xf numFmtId="0" fontId="46" fillId="13" borderId="0" xfId="0" applyFont="1" applyFill="1" applyBorder="1" applyAlignment="1" applyProtection="1">
      <alignment horizontal="center" vertical="center"/>
      <protection locked="0"/>
    </xf>
    <xf numFmtId="181" fontId="69" fillId="13" borderId="0" xfId="0" applyNumberFormat="1" applyFont="1" applyFill="1" applyBorder="1" applyAlignment="1" applyProtection="1">
      <alignment horizontal="center" vertical="center" wrapText="1"/>
      <protection locked="0"/>
    </xf>
    <xf numFmtId="0" fontId="69" fillId="13" borderId="0" xfId="0" applyFont="1" applyFill="1" applyBorder="1" applyAlignment="1" applyProtection="1">
      <alignment horizontal="center" vertical="center"/>
      <protection locked="0"/>
    </xf>
    <xf numFmtId="181" fontId="51" fillId="13" borderId="0" xfId="0" applyNumberFormat="1" applyFont="1" applyFill="1" applyBorder="1" applyAlignment="1" applyProtection="1">
      <alignment horizontal="center" vertical="center" wrapText="1"/>
      <protection locked="0"/>
    </xf>
    <xf numFmtId="181" fontId="70" fillId="13" borderId="0" xfId="0" applyNumberFormat="1" applyFont="1" applyFill="1" applyBorder="1" applyAlignment="1" applyProtection="1">
      <alignment horizontal="center" vertical="center" wrapText="1"/>
      <protection locked="0"/>
    </xf>
    <xf numFmtId="0" fontId="51" fillId="13" borderId="0" xfId="0" applyFont="1" applyFill="1" applyBorder="1" applyAlignment="1" applyProtection="1">
      <alignment horizontal="center" vertical="center"/>
      <protection locked="0"/>
    </xf>
    <xf numFmtId="181" fontId="53" fillId="13" borderId="0" xfId="0" applyNumberFormat="1" applyFont="1" applyFill="1" applyBorder="1" applyAlignment="1" applyProtection="1">
      <alignment vertical="center" wrapText="1"/>
      <protection locked="0"/>
    </xf>
    <xf numFmtId="0" fontId="53" fillId="13" borderId="0" xfId="0" applyFont="1" applyFill="1" applyAlignment="1" applyProtection="1">
      <alignment horizontal="center" vertical="center"/>
      <protection locked="0"/>
    </xf>
    <xf numFmtId="181" fontId="53" fillId="13" borderId="0" xfId="0" applyNumberFormat="1" applyFont="1" applyFill="1" applyAlignment="1" applyProtection="1">
      <alignment horizontal="center" vertical="center"/>
      <protection locked="0"/>
    </xf>
    <xf numFmtId="181" fontId="70" fillId="13" borderId="0" xfId="0" applyNumberFormat="1" applyFont="1" applyFill="1" applyAlignment="1" applyProtection="1">
      <alignment horizontal="center" vertical="center"/>
      <protection locked="0"/>
    </xf>
    <xf numFmtId="0" fontId="70" fillId="13" borderId="0" xfId="0" applyFont="1" applyFill="1" applyAlignment="1" applyProtection="1">
      <alignment horizontal="center" vertical="center"/>
      <protection locked="0"/>
    </xf>
    <xf numFmtId="9" fontId="53" fillId="13" borderId="0" xfId="0" applyNumberFormat="1" applyFont="1" applyFill="1" applyAlignment="1" applyProtection="1">
      <alignment horizontal="center" vertical="center"/>
      <protection locked="0"/>
    </xf>
    <xf numFmtId="189" fontId="53" fillId="13" borderId="0" xfId="0" applyNumberFormat="1" applyFont="1" applyFill="1" applyAlignment="1" applyProtection="1">
      <alignment horizontal="center" vertical="center"/>
      <protection locked="0"/>
    </xf>
    <xf numFmtId="14" fontId="53" fillId="13" borderId="0" xfId="0" applyNumberFormat="1" applyFont="1" applyFill="1" applyAlignment="1" applyProtection="1">
      <alignment horizontal="center" vertical="center"/>
      <protection locked="0"/>
    </xf>
    <xf numFmtId="176" fontId="53" fillId="13" borderId="0" xfId="0" applyNumberFormat="1" applyFont="1" applyFill="1" applyAlignment="1" applyProtection="1">
      <alignment horizontal="center" vertical="center"/>
      <protection locked="0"/>
    </xf>
    <xf numFmtId="189" fontId="70" fillId="13" borderId="0" xfId="0" applyNumberFormat="1" applyFont="1" applyFill="1" applyAlignment="1" applyProtection="1">
      <alignment horizontal="center" vertical="center"/>
      <protection locked="0"/>
    </xf>
    <xf numFmtId="181" fontId="64" fillId="13" borderId="0" xfId="0" applyNumberFormat="1" applyFont="1" applyFill="1" applyBorder="1" applyAlignment="1" applyProtection="1">
      <alignment vertical="center"/>
      <protection locked="0"/>
    </xf>
    <xf numFmtId="0" fontId="64" fillId="13" borderId="0" xfId="0" applyFont="1" applyFill="1" applyBorder="1" applyAlignment="1" applyProtection="1">
      <alignment horizontal="center" vertical="center"/>
      <protection locked="0"/>
    </xf>
    <xf numFmtId="0" fontId="53" fillId="13" borderId="18" xfId="0" applyFont="1" applyFill="1" applyBorder="1" applyAlignment="1" applyProtection="1">
      <alignment horizontal="center" vertical="center"/>
      <protection locked="0"/>
    </xf>
    <xf numFmtId="0" fontId="70" fillId="13" borderId="18" xfId="0" applyFont="1" applyFill="1" applyBorder="1" applyAlignment="1" applyProtection="1">
      <alignment horizontal="center" vertical="center"/>
      <protection locked="0"/>
    </xf>
    <xf numFmtId="0" fontId="53" fillId="13" borderId="18" xfId="0" applyFont="1" applyFill="1" applyBorder="1" applyAlignment="1" applyProtection="1">
      <protection locked="0"/>
    </xf>
    <xf numFmtId="9" fontId="46" fillId="13" borderId="0" xfId="0" applyNumberFormat="1" applyFont="1" applyFill="1" applyBorder="1" applyAlignment="1" applyProtection="1">
      <alignment horizontal="center" vertical="center" wrapText="1"/>
      <protection locked="0"/>
    </xf>
    <xf numFmtId="49" fontId="46" fillId="13" borderId="18" xfId="0" applyNumberFormat="1" applyFont="1" applyFill="1" applyBorder="1" applyAlignment="1" applyProtection="1">
      <alignment horizontal="center" vertical="center"/>
      <protection locked="0"/>
    </xf>
    <xf numFmtId="49" fontId="46" fillId="13" borderId="0" xfId="0" applyNumberFormat="1" applyFont="1" applyFill="1" applyAlignment="1" applyProtection="1">
      <alignment horizontal="center" vertical="center"/>
      <protection locked="0"/>
    </xf>
    <xf numFmtId="9" fontId="46" fillId="13" borderId="18" xfId="0" applyNumberFormat="1" applyFont="1" applyFill="1" applyBorder="1" applyAlignment="1" applyProtection="1">
      <alignment horizontal="center" vertical="center" wrapText="1"/>
      <protection locked="0"/>
    </xf>
    <xf numFmtId="0" fontId="102" fillId="13" borderId="18" xfId="0" applyFont="1" applyFill="1" applyBorder="1" applyAlignment="1" applyProtection="1">
      <alignment vertical="center"/>
      <protection locked="0"/>
    </xf>
    <xf numFmtId="0" fontId="46" fillId="13" borderId="18" xfId="0" applyFont="1" applyFill="1" applyBorder="1" applyAlignment="1" applyProtection="1">
      <alignment horizontal="center" vertical="center" wrapText="1"/>
      <protection locked="0"/>
    </xf>
    <xf numFmtId="0" fontId="51" fillId="13" borderId="18" xfId="0" applyFont="1" applyFill="1" applyBorder="1" applyAlignment="1" applyProtection="1">
      <alignment horizontal="center" vertical="center" wrapText="1"/>
      <protection locked="0"/>
    </xf>
    <xf numFmtId="9" fontId="51" fillId="13" borderId="0" xfId="0" applyNumberFormat="1" applyFont="1" applyFill="1" applyBorder="1" applyAlignment="1" applyProtection="1">
      <alignment horizontal="center" vertical="center" wrapText="1"/>
      <protection locked="0"/>
    </xf>
    <xf numFmtId="0" fontId="51" fillId="13" borderId="0" xfId="0" applyFont="1" applyFill="1" applyAlignment="1" applyProtection="1">
      <alignment horizontal="center" vertical="center"/>
      <protection locked="0"/>
    </xf>
    <xf numFmtId="0" fontId="51" fillId="13" borderId="18" xfId="0" applyFont="1" applyFill="1" applyBorder="1" applyAlignment="1" applyProtection="1">
      <alignment horizontal="center" vertical="center"/>
      <protection locked="0"/>
    </xf>
    <xf numFmtId="9" fontId="51" fillId="13" borderId="0" xfId="0" applyNumberFormat="1" applyFont="1" applyFill="1" applyBorder="1" applyAlignment="1" applyProtection="1">
      <alignment horizontal="center" vertical="center"/>
      <protection locked="0"/>
    </xf>
    <xf numFmtId="0" fontId="51" fillId="13" borderId="18" xfId="0" applyFont="1" applyFill="1" applyBorder="1" applyAlignment="1" applyProtection="1">
      <alignment vertical="center" wrapText="1"/>
      <protection locked="0"/>
    </xf>
    <xf numFmtId="0" fontId="46" fillId="13" borderId="18" xfId="0" applyFont="1" applyFill="1" applyBorder="1" applyAlignment="1" applyProtection="1">
      <alignment vertical="center" wrapText="1"/>
      <protection locked="0"/>
    </xf>
    <xf numFmtId="0" fontId="46" fillId="13" borderId="0" xfId="0" applyNumberFormat="1" applyFont="1" applyFill="1" applyBorder="1" applyAlignment="1" applyProtection="1">
      <alignment horizontal="center" vertical="center" wrapText="1"/>
      <protection locked="0"/>
    </xf>
    <xf numFmtId="0" fontId="70" fillId="13" borderId="0" xfId="0" applyNumberFormat="1" applyFont="1" applyFill="1" applyBorder="1" applyAlignment="1" applyProtection="1">
      <alignment horizontal="center" vertical="center" wrapText="1"/>
      <protection locked="0"/>
    </xf>
    <xf numFmtId="0" fontId="53" fillId="13" borderId="0" xfId="0" applyNumberFormat="1" applyFont="1" applyFill="1" applyBorder="1" applyAlignment="1" applyProtection="1">
      <alignment horizontal="center" vertical="center" wrapText="1"/>
      <protection locked="0"/>
    </xf>
    <xf numFmtId="0" fontId="51" fillId="13" borderId="0" xfId="0" applyNumberFormat="1" applyFont="1" applyFill="1" applyBorder="1" applyAlignment="1" applyProtection="1">
      <alignment horizontal="center" vertical="center" wrapText="1"/>
      <protection locked="0"/>
    </xf>
    <xf numFmtId="0" fontId="53" fillId="13" borderId="58" xfId="0" applyFont="1" applyFill="1" applyBorder="1" applyAlignment="1" applyProtection="1">
      <alignment horizontal="center" vertical="center"/>
      <protection locked="0"/>
    </xf>
    <xf numFmtId="0" fontId="70" fillId="13" borderId="58" xfId="0" applyFont="1" applyFill="1" applyBorder="1" applyAlignment="1" applyProtection="1">
      <alignment horizontal="center" vertical="center"/>
      <protection locked="0"/>
    </xf>
    <xf numFmtId="0" fontId="53" fillId="13" borderId="58" xfId="0" applyFont="1" applyFill="1" applyBorder="1" applyAlignment="1" applyProtection="1">
      <protection locked="0"/>
    </xf>
    <xf numFmtId="49" fontId="46" fillId="13" borderId="58" xfId="0" applyNumberFormat="1" applyFont="1" applyFill="1" applyBorder="1" applyAlignment="1" applyProtection="1">
      <alignment horizontal="center" vertical="center"/>
      <protection locked="0"/>
    </xf>
    <xf numFmtId="9" fontId="46" fillId="13" borderId="58" xfId="0" applyNumberFormat="1" applyFont="1" applyFill="1" applyBorder="1" applyAlignment="1" applyProtection="1">
      <alignment horizontal="center" vertical="center" wrapText="1"/>
      <protection locked="0"/>
    </xf>
    <xf numFmtId="0" fontId="102" fillId="13" borderId="58" xfId="0" applyFont="1" applyFill="1" applyBorder="1" applyAlignment="1" applyProtection="1">
      <alignment vertical="center"/>
      <protection locked="0"/>
    </xf>
    <xf numFmtId="0" fontId="46" fillId="13" borderId="58" xfId="0" applyFont="1" applyFill="1" applyBorder="1" applyAlignment="1" applyProtection="1">
      <alignment horizontal="center" vertical="center" wrapText="1"/>
      <protection locked="0"/>
    </xf>
    <xf numFmtId="0" fontId="51" fillId="13" borderId="58" xfId="0" applyFont="1" applyFill="1" applyBorder="1" applyAlignment="1" applyProtection="1">
      <alignment horizontal="center" vertical="center" wrapText="1"/>
      <protection locked="0"/>
    </xf>
    <xf numFmtId="0" fontId="51" fillId="13" borderId="58" xfId="0" applyFont="1" applyFill="1" applyBorder="1" applyAlignment="1" applyProtection="1">
      <alignment horizontal="center" vertical="center"/>
      <protection locked="0"/>
    </xf>
    <xf numFmtId="0" fontId="51" fillId="13" borderId="58" xfId="0" applyFont="1" applyFill="1" applyBorder="1" applyAlignment="1" applyProtection="1">
      <alignment vertical="center" wrapText="1"/>
      <protection locked="0"/>
    </xf>
    <xf numFmtId="0" fontId="46" fillId="13" borderId="58" xfId="0" applyFont="1" applyFill="1" applyBorder="1" applyAlignment="1" applyProtection="1">
      <alignment vertical="center" wrapText="1"/>
      <protection locked="0"/>
    </xf>
    <xf numFmtId="0" fontId="53" fillId="13" borderId="58" xfId="0" applyFont="1" applyFill="1" applyBorder="1" applyAlignment="1" applyProtection="1">
      <alignment horizontal="center" vertical="center" wrapText="1"/>
      <protection locked="0"/>
    </xf>
    <xf numFmtId="9" fontId="53" fillId="13" borderId="0" xfId="0" applyNumberFormat="1" applyFont="1" applyFill="1" applyBorder="1" applyAlignment="1" applyProtection="1">
      <alignment horizontal="center" vertical="center" wrapText="1"/>
      <protection locked="0"/>
    </xf>
    <xf numFmtId="0" fontId="53" fillId="13" borderId="0" xfId="0" applyFont="1" applyFill="1" applyBorder="1" applyAlignment="1" applyProtection="1">
      <protection locked="0"/>
    </xf>
    <xf numFmtId="0" fontId="46" fillId="0" borderId="74" xfId="0" applyNumberFormat="1" applyFont="1" applyFill="1" applyBorder="1" applyAlignment="1" applyProtection="1">
      <alignment horizontal="center" vertical="center" wrapText="1"/>
    </xf>
    <xf numFmtId="0" fontId="46" fillId="0" borderId="76" xfId="0" applyNumberFormat="1" applyFont="1" applyFill="1" applyBorder="1" applyAlignment="1" applyProtection="1">
      <alignment horizontal="center" vertical="center" wrapText="1"/>
    </xf>
    <xf numFmtId="0" fontId="46" fillId="13" borderId="35" xfId="0" applyFont="1" applyFill="1" applyBorder="1" applyAlignment="1" applyProtection="1">
      <alignment horizontal="center" vertical="center"/>
      <protection locked="0"/>
    </xf>
    <xf numFmtId="0" fontId="69" fillId="13" borderId="35" xfId="0" applyFont="1" applyFill="1" applyBorder="1" applyAlignment="1" applyProtection="1">
      <alignment horizontal="center" vertical="center"/>
      <protection locked="0"/>
    </xf>
    <xf numFmtId="0" fontId="53" fillId="13" borderId="35" xfId="0" applyFont="1" applyFill="1" applyBorder="1" applyAlignment="1" applyProtection="1">
      <alignment horizontal="center" vertical="center"/>
      <protection locked="0"/>
    </xf>
    <xf numFmtId="0" fontId="51" fillId="13" borderId="35" xfId="0" applyFont="1" applyFill="1" applyBorder="1" applyAlignment="1" applyProtection="1">
      <alignment horizontal="center" vertical="center"/>
      <protection locked="0"/>
    </xf>
    <xf numFmtId="49" fontId="46" fillId="13" borderId="0" xfId="0" applyNumberFormat="1" applyFont="1" applyFill="1" applyBorder="1" applyAlignment="1" applyProtection="1">
      <alignment horizontal="center" vertical="center"/>
      <protection locked="0"/>
    </xf>
    <xf numFmtId="0" fontId="102" fillId="13" borderId="0" xfId="0" applyFont="1" applyFill="1" applyBorder="1" applyAlignment="1" applyProtection="1">
      <alignment vertical="center"/>
      <protection locked="0"/>
    </xf>
    <xf numFmtId="0" fontId="46" fillId="13" borderId="0" xfId="0" applyFont="1" applyFill="1" applyBorder="1" applyAlignment="1" applyProtection="1">
      <alignment horizontal="center" vertical="center" wrapText="1"/>
      <protection locked="0"/>
    </xf>
    <xf numFmtId="0" fontId="51" fillId="13" borderId="0" xfId="0" applyFont="1" applyFill="1" applyBorder="1" applyAlignment="1" applyProtection="1">
      <alignment horizontal="center" vertical="center" wrapText="1"/>
      <protection locked="0"/>
    </xf>
    <xf numFmtId="0" fontId="46" fillId="13" borderId="0" xfId="0" applyFont="1" applyFill="1" applyBorder="1" applyAlignment="1" applyProtection="1">
      <alignment vertical="center" wrapText="1"/>
      <protection locked="0"/>
    </xf>
    <xf numFmtId="0" fontId="53" fillId="13" borderId="0" xfId="0" applyFont="1" applyFill="1" applyBorder="1" applyAlignment="1" applyProtection="1">
      <alignment horizontal="center" vertical="center" wrapText="1"/>
      <protection locked="0"/>
    </xf>
    <xf numFmtId="0" fontId="74" fillId="13" borderId="0" xfId="0" applyFont="1" applyFill="1" applyAlignment="1" applyProtection="1">
      <alignment horizontal="center" vertical="center"/>
      <protection locked="0"/>
    </xf>
    <xf numFmtId="0" fontId="51" fillId="13" borderId="0" xfId="0" applyFont="1" applyFill="1" applyBorder="1" applyAlignment="1" applyProtection="1">
      <alignment vertical="center" wrapText="1"/>
      <protection locked="0"/>
    </xf>
    <xf numFmtId="0" fontId="53" fillId="6" borderId="40" xfId="8" applyFont="1" applyFill="1" applyBorder="1" applyAlignment="1" applyProtection="1">
      <alignment horizontal="center" vertical="center" wrapText="1"/>
      <protection locked="0"/>
    </xf>
    <xf numFmtId="0" fontId="53" fillId="6" borderId="0" xfId="8" applyFont="1" applyFill="1" applyBorder="1" applyAlignment="1" applyProtection="1">
      <alignment vertical="center" wrapText="1"/>
      <protection locked="0"/>
    </xf>
    <xf numFmtId="10" fontId="55" fillId="6" borderId="61" xfId="8" applyNumberFormat="1" applyFont="1" applyFill="1" applyBorder="1" applyAlignment="1" applyProtection="1">
      <alignment horizontal="center" vertical="center" wrapText="1"/>
    </xf>
    <xf numFmtId="0" fontId="55" fillId="6" borderId="6" xfId="0" applyFont="1" applyFill="1" applyBorder="1" applyAlignment="1" applyProtection="1">
      <alignment horizontal="center" vertical="center" wrapText="1"/>
    </xf>
    <xf numFmtId="0" fontId="55" fillId="6" borderId="10" xfId="0" applyFont="1" applyFill="1" applyBorder="1" applyAlignment="1" applyProtection="1">
      <alignment horizontal="center" vertical="center" wrapText="1"/>
    </xf>
    <xf numFmtId="0" fontId="53" fillId="0" borderId="0" xfId="0" applyFont="1" applyAlignment="1" applyProtection="1">
      <alignment vertical="center" wrapText="1"/>
      <protection locked="0"/>
    </xf>
    <xf numFmtId="0" fontId="55" fillId="7" borderId="0" xfId="8" applyFont="1" applyFill="1" applyAlignment="1" applyProtection="1">
      <alignment horizontal="center" vertical="center" wrapText="1"/>
      <protection locked="0"/>
    </xf>
    <xf numFmtId="0" fontId="55" fillId="0" borderId="0" xfId="8" applyFont="1" applyAlignment="1" applyProtection="1">
      <alignment horizontal="center" vertical="center" wrapText="1"/>
      <protection locked="0"/>
    </xf>
    <xf numFmtId="10" fontId="55" fillId="0" borderId="0" xfId="0" applyNumberFormat="1" applyFont="1" applyAlignment="1" applyProtection="1">
      <alignment horizontal="center" vertical="center" wrapText="1"/>
      <protection locked="0"/>
    </xf>
    <xf numFmtId="0" fontId="53" fillId="0" borderId="0" xfId="0" applyFont="1" applyAlignment="1" applyProtection="1">
      <alignment horizontal="center" vertical="center" wrapText="1"/>
      <protection locked="0"/>
    </xf>
    <xf numFmtId="0" fontId="102" fillId="13" borderId="0" xfId="0" applyFont="1" applyFill="1" applyProtection="1">
      <alignment vertical="center"/>
      <protection locked="0"/>
    </xf>
    <xf numFmtId="0" fontId="130" fillId="13" borderId="0" xfId="0" applyFont="1" applyFill="1" applyProtection="1">
      <alignment vertical="center"/>
      <protection locked="0"/>
    </xf>
    <xf numFmtId="0" fontId="49" fillId="0" borderId="3" xfId="0" applyFont="1" applyFill="1" applyBorder="1" applyProtection="1">
      <alignment vertical="center"/>
      <protection locked="0"/>
    </xf>
    <xf numFmtId="0" fontId="49" fillId="0" borderId="24" xfId="0" applyFont="1" applyFill="1" applyBorder="1" applyProtection="1">
      <alignment vertical="center"/>
      <protection locked="0"/>
    </xf>
    <xf numFmtId="0" fontId="46" fillId="0" borderId="22" xfId="0" applyFont="1" applyFill="1" applyBorder="1" applyProtection="1">
      <alignment vertical="center"/>
      <protection locked="0"/>
    </xf>
    <xf numFmtId="0" fontId="46" fillId="0" borderId="61" xfId="0" applyFont="1" applyFill="1" applyBorder="1" applyProtection="1">
      <alignment vertical="center"/>
      <protection locked="0"/>
    </xf>
    <xf numFmtId="0" fontId="129" fillId="13" borderId="0" xfId="0" applyFont="1" applyFill="1" applyAlignment="1" applyProtection="1">
      <alignment vertical="center"/>
    </xf>
    <xf numFmtId="0" fontId="104" fillId="13" borderId="0" xfId="0" applyFont="1" applyFill="1" applyAlignment="1" applyProtection="1">
      <alignment vertical="center"/>
    </xf>
    <xf numFmtId="0" fontId="253" fillId="13" borderId="0" xfId="0" applyFont="1" applyFill="1" applyAlignment="1" applyProtection="1">
      <alignment horizontal="left" vertical="center"/>
    </xf>
    <xf numFmtId="0" fontId="104" fillId="13" borderId="0" xfId="0" applyFont="1" applyFill="1" applyAlignment="1" applyProtection="1">
      <alignment horizontal="left" vertical="center"/>
    </xf>
    <xf numFmtId="0" fontId="118" fillId="13" borderId="0" xfId="0" applyFont="1" applyFill="1" applyAlignment="1" applyProtection="1">
      <alignment vertical="center"/>
    </xf>
    <xf numFmtId="0" fontId="252" fillId="13" borderId="0" xfId="0" applyFont="1" applyFill="1" applyAlignment="1" applyProtection="1">
      <alignment vertical="center"/>
    </xf>
    <xf numFmtId="0" fontId="129" fillId="13" borderId="0" xfId="0" applyFont="1" applyFill="1" applyAlignment="1" applyProtection="1">
      <alignment horizontal="left" vertical="center"/>
    </xf>
    <xf numFmtId="0" fontId="47" fillId="13" borderId="0" xfId="1" applyFont="1" applyFill="1" applyBorder="1" applyAlignment="1" applyProtection="1">
      <alignment vertical="center"/>
    </xf>
    <xf numFmtId="0" fontId="47" fillId="6" borderId="0" xfId="1" applyFont="1" applyFill="1" applyBorder="1" applyAlignment="1" applyProtection="1">
      <alignment horizontal="center" vertical="center"/>
    </xf>
    <xf numFmtId="49" fontId="145" fillId="6" borderId="0" xfId="0" applyNumberFormat="1" applyFont="1" applyFill="1" applyBorder="1" applyAlignment="1" applyProtection="1">
      <alignment horizontal="left" vertical="center"/>
      <protection locked="0"/>
    </xf>
    <xf numFmtId="0" fontId="149" fillId="12" borderId="125" xfId="9" applyFont="1" applyFill="1" applyBorder="1" applyAlignment="1" applyProtection="1">
      <alignment horizontal="left" vertical="center" wrapText="1"/>
    </xf>
    <xf numFmtId="0" fontId="106" fillId="6" borderId="1" xfId="0" applyFont="1" applyFill="1" applyBorder="1" applyAlignment="1" applyProtection="1">
      <alignment horizontal="center" vertical="center"/>
    </xf>
    <xf numFmtId="0" fontId="106" fillId="2" borderId="1" xfId="0" applyFont="1" applyFill="1" applyBorder="1" applyAlignment="1" applyProtection="1">
      <alignment horizontal="center" vertical="center"/>
      <protection locked="0"/>
    </xf>
    <xf numFmtId="0" fontId="149" fillId="12" borderId="125" xfId="9" applyFont="1" applyFill="1" applyBorder="1" applyAlignment="1" applyProtection="1">
      <alignment horizontal="left" vertical="center" wrapText="1"/>
    </xf>
    <xf numFmtId="0" fontId="111" fillId="0" borderId="0" xfId="0" applyFont="1">
      <alignment vertical="center"/>
    </xf>
    <xf numFmtId="184" fontId="255" fillId="0" borderId="1" xfId="0" applyNumberFormat="1" applyFont="1" applyFill="1" applyBorder="1" applyAlignment="1" applyProtection="1">
      <alignment horizontal="center" vertical="center" shrinkToFit="1"/>
      <protection locked="0"/>
    </xf>
    <xf numFmtId="177" fontId="255" fillId="5" borderId="1" xfId="1" applyNumberFormat="1" applyFont="1" applyFill="1" applyBorder="1" applyAlignment="1" applyProtection="1">
      <alignment horizontal="center" vertical="center"/>
      <protection locked="0"/>
    </xf>
    <xf numFmtId="0" fontId="256" fillId="5" borderId="1" xfId="0" applyFont="1" applyFill="1" applyBorder="1" applyAlignment="1" applyProtection="1">
      <alignment horizontal="center" vertical="center" wrapText="1"/>
      <protection locked="0"/>
    </xf>
    <xf numFmtId="177" fontId="79" fillId="0" borderId="1" xfId="1" applyNumberFormat="1" applyFont="1" applyFill="1" applyBorder="1" applyAlignment="1" applyProtection="1">
      <alignment vertical="center"/>
      <protection locked="0" hidden="1"/>
    </xf>
    <xf numFmtId="0" fontId="111" fillId="0" borderId="0" xfId="0" applyFont="1" applyAlignment="1"/>
    <xf numFmtId="0" fontId="111" fillId="5" borderId="0" xfId="0" applyFont="1" applyFill="1" applyAlignment="1"/>
    <xf numFmtId="0" fontId="98" fillId="0" borderId="0" xfId="0" applyFont="1">
      <alignment vertical="center"/>
    </xf>
    <xf numFmtId="0" fontId="257" fillId="0" borderId="1" xfId="0" applyFont="1" applyBorder="1" applyAlignment="1">
      <alignment horizontal="left" vertical="center"/>
    </xf>
    <xf numFmtId="184" fontId="258" fillId="0" borderId="1" xfId="0" applyNumberFormat="1" applyFont="1" applyFill="1" applyBorder="1" applyAlignment="1" applyProtection="1">
      <alignment horizontal="center" vertical="center" shrinkToFit="1"/>
      <protection locked="0"/>
    </xf>
    <xf numFmtId="0" fontId="49" fillId="0" borderId="1" xfId="0" applyFont="1" applyBorder="1" applyAlignment="1" applyProtection="1">
      <alignment horizontal="left" vertical="center" wrapText="1"/>
      <protection locked="0"/>
    </xf>
    <xf numFmtId="49" fontId="235" fillId="0" borderId="10" xfId="0" applyNumberFormat="1" applyFont="1" applyFill="1" applyBorder="1" applyAlignment="1" applyProtection="1">
      <alignment vertical="center" wrapText="1"/>
      <protection locked="0"/>
    </xf>
    <xf numFmtId="0" fontId="235" fillId="0" borderId="24" xfId="0" applyFont="1" applyBorder="1" applyAlignment="1" applyProtection="1">
      <alignment vertical="center" wrapText="1"/>
      <protection locked="0"/>
    </xf>
    <xf numFmtId="49" fontId="235" fillId="0" borderId="24" xfId="0" applyNumberFormat="1" applyFont="1" applyFill="1" applyBorder="1" applyAlignment="1" applyProtection="1">
      <alignment vertical="center" wrapText="1"/>
      <protection locked="0"/>
    </xf>
    <xf numFmtId="49" fontId="64" fillId="0" borderId="27" xfId="0" applyNumberFormat="1" applyFont="1" applyFill="1" applyBorder="1" applyAlignment="1" applyProtection="1">
      <alignment horizontal="right"/>
      <protection locked="0"/>
    </xf>
    <xf numFmtId="0" fontId="59" fillId="0" borderId="19" xfId="1" applyFont="1" applyFill="1" applyBorder="1" applyAlignment="1" applyProtection="1">
      <alignment vertical="center"/>
    </xf>
    <xf numFmtId="49" fontId="59" fillId="0" borderId="0" xfId="1" applyNumberFormat="1" applyFont="1" applyFill="1" applyBorder="1" applyAlignment="1" applyProtection="1">
      <alignment horizontal="right" vertical="center"/>
    </xf>
    <xf numFmtId="0" fontId="60" fillId="0" borderId="0" xfId="0" applyFont="1" applyFill="1" applyAlignment="1" applyProtection="1">
      <alignment vertical="center"/>
      <protection locked="0"/>
    </xf>
    <xf numFmtId="0" fontId="59" fillId="0" borderId="1" xfId="1" applyFont="1" applyFill="1" applyBorder="1" applyAlignment="1" applyProtection="1">
      <alignment vertical="center"/>
    </xf>
    <xf numFmtId="177" fontId="59" fillId="0" borderId="1" xfId="1" applyNumberFormat="1" applyFont="1" applyFill="1" applyBorder="1" applyAlignment="1" applyProtection="1">
      <alignment horizontal="right" vertical="center"/>
    </xf>
    <xf numFmtId="0" fontId="59" fillId="0" borderId="0" xfId="1" applyFont="1" applyFill="1" applyBorder="1" applyAlignment="1" applyProtection="1">
      <alignment vertical="center"/>
    </xf>
    <xf numFmtId="0" fontId="56" fillId="0" borderId="5" xfId="1" applyFont="1" applyFill="1" applyBorder="1" applyAlignment="1" applyProtection="1">
      <alignment vertical="center"/>
      <protection locked="0"/>
    </xf>
    <xf numFmtId="0" fontId="59" fillId="0" borderId="5" xfId="1" applyFont="1" applyFill="1" applyBorder="1" applyAlignment="1" applyProtection="1">
      <alignment horizontal="right" vertical="center"/>
    </xf>
    <xf numFmtId="0" fontId="59" fillId="0" borderId="3" xfId="1" applyFont="1" applyFill="1" applyBorder="1" applyAlignment="1" applyProtection="1">
      <alignment vertical="center"/>
    </xf>
    <xf numFmtId="0" fontId="59" fillId="0" borderId="1" xfId="1" applyFont="1" applyFill="1" applyBorder="1" applyAlignment="1" applyProtection="1">
      <alignment vertical="center"/>
      <protection locked="0"/>
    </xf>
    <xf numFmtId="0" fontId="59" fillId="0" borderId="13" xfId="1" applyFont="1" applyFill="1" applyBorder="1" applyAlignment="1" applyProtection="1">
      <alignment vertical="center"/>
    </xf>
    <xf numFmtId="0" fontId="59" fillId="0" borderId="13" xfId="1" applyFont="1" applyFill="1" applyBorder="1" applyAlignment="1" applyProtection="1">
      <alignment horizontal="right" vertical="center"/>
    </xf>
    <xf numFmtId="49" fontId="59" fillId="0" borderId="51" xfId="1" applyNumberFormat="1" applyFont="1" applyFill="1" applyBorder="1" applyAlignment="1" applyProtection="1"/>
    <xf numFmtId="49" fontId="59" fillId="0" borderId="20" xfId="1" applyNumberFormat="1" applyFont="1" applyFill="1" applyBorder="1" applyAlignment="1" applyProtection="1"/>
    <xf numFmtId="49" fontId="59" fillId="0" borderId="21" xfId="1" applyNumberFormat="1" applyFont="1" applyFill="1" applyBorder="1" applyAlignment="1" applyProtection="1"/>
    <xf numFmtId="0" fontId="59" fillId="0" borderId="0" xfId="0" applyFont="1" applyFill="1" applyAlignment="1" applyProtection="1">
      <alignment vertical="center"/>
      <protection locked="0"/>
    </xf>
    <xf numFmtId="49" fontId="56" fillId="0" borderId="23" xfId="1" applyNumberFormat="1" applyFont="1" applyFill="1" applyBorder="1" applyAlignment="1" applyProtection="1">
      <alignment horizontal="left"/>
    </xf>
    <xf numFmtId="0" fontId="56" fillId="0" borderId="5" xfId="1" applyFont="1" applyFill="1" applyBorder="1" applyAlignment="1" applyProtection="1"/>
    <xf numFmtId="177" fontId="56" fillId="0" borderId="1" xfId="1" applyNumberFormat="1" applyFont="1" applyFill="1" applyBorder="1" applyAlignment="1" applyProtection="1">
      <alignment horizontal="center"/>
    </xf>
    <xf numFmtId="0" fontId="56" fillId="0" borderId="1" xfId="1" applyFont="1" applyFill="1" applyBorder="1" applyAlignment="1" applyProtection="1">
      <alignment horizontal="center"/>
    </xf>
    <xf numFmtId="0" fontId="56" fillId="0" borderId="24" xfId="1" applyFont="1" applyFill="1" applyBorder="1" applyAlignment="1" applyProtection="1">
      <alignment horizontal="left"/>
    </xf>
    <xf numFmtId="49" fontId="55" fillId="0" borderId="23" xfId="1" applyNumberFormat="1" applyFont="1" applyFill="1" applyBorder="1" applyAlignment="1" applyProtection="1">
      <alignment horizontal="center"/>
    </xf>
    <xf numFmtId="0" fontId="55" fillId="0" borderId="5" xfId="1" applyFont="1" applyFill="1" applyBorder="1" applyAlignment="1" applyProtection="1"/>
    <xf numFmtId="179" fontId="55" fillId="0" borderId="1" xfId="1" applyNumberFormat="1" applyFont="1" applyFill="1" applyBorder="1" applyAlignment="1" applyProtection="1">
      <alignment horizontal="center"/>
    </xf>
    <xf numFmtId="0" fontId="55" fillId="0" borderId="1" xfId="1" applyFont="1" applyFill="1" applyBorder="1" applyAlignment="1" applyProtection="1">
      <alignment horizontal="center"/>
    </xf>
    <xf numFmtId="0" fontId="55" fillId="0" borderId="24" xfId="1" applyFont="1" applyFill="1" applyBorder="1" applyAlignment="1" applyProtection="1">
      <alignment horizontal="left"/>
    </xf>
    <xf numFmtId="177" fontId="55" fillId="0" borderId="1" xfId="1" applyNumberFormat="1" applyFont="1" applyFill="1" applyBorder="1" applyAlignment="1" applyProtection="1">
      <alignment horizontal="center"/>
    </xf>
    <xf numFmtId="10" fontId="55" fillId="0" borderId="1" xfId="1" applyNumberFormat="1" applyFont="1" applyFill="1" applyBorder="1" applyAlignment="1" applyProtection="1">
      <alignment horizontal="center"/>
    </xf>
    <xf numFmtId="177" fontId="55" fillId="0" borderId="1" xfId="1" applyNumberFormat="1" applyFont="1" applyFill="1" applyBorder="1" applyAlignment="1" applyProtection="1"/>
    <xf numFmtId="0" fontId="56" fillId="0" borderId="24" xfId="1" applyFont="1" applyFill="1" applyBorder="1" applyAlignment="1" applyProtection="1">
      <alignment horizontal="left" vertical="center"/>
      <protection locked="0"/>
    </xf>
    <xf numFmtId="0" fontId="61" fillId="0" borderId="23" xfId="1" applyFont="1" applyFill="1" applyBorder="1" applyAlignment="1" applyProtection="1">
      <alignment horizontal="right"/>
    </xf>
    <xf numFmtId="0" fontId="61" fillId="0" borderId="5" xfId="1" applyFont="1" applyFill="1" applyBorder="1" applyAlignment="1" applyProtection="1"/>
    <xf numFmtId="177" fontId="61" fillId="0" borderId="1" xfId="1" applyNumberFormat="1" applyFont="1" applyFill="1" applyBorder="1" applyAlignment="1" applyProtection="1">
      <alignment horizontal="center"/>
    </xf>
    <xf numFmtId="0" fontId="61" fillId="0" borderId="1" xfId="1" applyNumberFormat="1" applyFont="1" applyFill="1" applyBorder="1" applyAlignment="1" applyProtection="1"/>
    <xf numFmtId="0" fontId="55" fillId="0" borderId="24" xfId="1" applyFont="1" applyFill="1" applyBorder="1" applyAlignment="1" applyProtection="1">
      <alignment vertical="center" wrapText="1"/>
    </xf>
    <xf numFmtId="0" fontId="55" fillId="0" borderId="23" xfId="1" applyFont="1" applyFill="1" applyBorder="1" applyAlignment="1" applyProtection="1">
      <alignment horizontal="left"/>
    </xf>
    <xf numFmtId="0" fontId="55" fillId="0" borderId="1" xfId="1" applyNumberFormat="1" applyFont="1" applyFill="1" applyBorder="1" applyAlignment="1" applyProtection="1">
      <alignment horizontal="center"/>
    </xf>
    <xf numFmtId="0" fontId="55" fillId="0" borderId="0" xfId="1" applyFont="1" applyFill="1" applyBorder="1" applyAlignment="1" applyProtection="1">
      <alignment horizontal="center"/>
    </xf>
    <xf numFmtId="0" fontId="55" fillId="0" borderId="1" xfId="0" applyFont="1" applyFill="1" applyBorder="1" applyProtection="1">
      <alignment vertical="center"/>
    </xf>
    <xf numFmtId="0" fontId="55" fillId="0" borderId="1" xfId="0" applyNumberFormat="1" applyFont="1" applyFill="1" applyBorder="1" applyProtection="1">
      <alignment vertical="center"/>
    </xf>
    <xf numFmtId="0" fontId="56" fillId="0" borderId="1" xfId="1" applyNumberFormat="1" applyFont="1" applyFill="1" applyBorder="1" applyAlignment="1" applyProtection="1">
      <alignment horizontal="center"/>
    </xf>
    <xf numFmtId="9" fontId="56" fillId="0" borderId="5" xfId="1" applyNumberFormat="1" applyFont="1" applyFill="1" applyBorder="1" applyAlignment="1" applyProtection="1">
      <alignment horizontal="center"/>
    </xf>
    <xf numFmtId="0" fontId="56" fillId="0" borderId="1" xfId="0" applyFont="1" applyFill="1" applyBorder="1" applyAlignment="1" applyProtection="1">
      <alignment horizontal="center" vertical="center"/>
    </xf>
    <xf numFmtId="10" fontId="56" fillId="0" borderId="5" xfId="1" applyNumberFormat="1" applyFont="1" applyFill="1" applyBorder="1" applyAlignment="1" applyProtection="1">
      <alignment horizontal="center"/>
    </xf>
    <xf numFmtId="0" fontId="56" fillId="0" borderId="24" xfId="0" applyFont="1" applyFill="1" applyBorder="1" applyAlignment="1" applyProtection="1">
      <alignment vertical="center"/>
    </xf>
    <xf numFmtId="0" fontId="56" fillId="0" borderId="1" xfId="0" applyFont="1" applyFill="1" applyBorder="1" applyAlignment="1" applyProtection="1">
      <alignment horizontal="right" vertical="center"/>
    </xf>
    <xf numFmtId="0" fontId="56" fillId="0" borderId="1" xfId="0" applyFont="1" applyFill="1" applyBorder="1" applyAlignment="1" applyProtection="1">
      <alignment horizontal="left" vertical="center"/>
    </xf>
    <xf numFmtId="178" fontId="56" fillId="0" borderId="1" xfId="0" applyNumberFormat="1" applyFont="1" applyFill="1" applyBorder="1" applyAlignment="1" applyProtection="1">
      <alignment horizontal="center" vertical="center"/>
    </xf>
    <xf numFmtId="10" fontId="56" fillId="0" borderId="5" xfId="1" applyNumberFormat="1" applyFont="1" applyFill="1" applyBorder="1" applyAlignment="1" applyProtection="1">
      <alignment horizontal="center" vertical="center"/>
    </xf>
    <xf numFmtId="0" fontId="55" fillId="0" borderId="23" xfId="0" applyFont="1" applyFill="1" applyBorder="1" applyAlignment="1" applyProtection="1">
      <alignment horizontal="center" vertical="center"/>
    </xf>
    <xf numFmtId="178" fontId="55" fillId="0" borderId="1" xfId="0" applyNumberFormat="1" applyFont="1" applyFill="1" applyBorder="1" applyAlignment="1" applyProtection="1">
      <alignment horizontal="center" vertical="center"/>
    </xf>
    <xf numFmtId="0" fontId="55" fillId="0" borderId="1" xfId="0" applyFont="1" applyFill="1" applyBorder="1" applyAlignment="1" applyProtection="1">
      <alignment horizontal="center" vertical="center"/>
    </xf>
    <xf numFmtId="179" fontId="55" fillId="0" borderId="5" xfId="1" applyNumberFormat="1" applyFont="1" applyFill="1" applyBorder="1" applyAlignment="1" applyProtection="1">
      <alignment horizontal="center" vertical="center"/>
    </xf>
    <xf numFmtId="0" fontId="55" fillId="0" borderId="24" xfId="0" applyFont="1" applyFill="1" applyBorder="1" applyAlignment="1" applyProtection="1">
      <alignment vertical="center"/>
    </xf>
    <xf numFmtId="0" fontId="56" fillId="0" borderId="1" xfId="0" applyFont="1" applyFill="1" applyBorder="1" applyAlignment="1" applyProtection="1">
      <alignment vertical="center"/>
    </xf>
    <xf numFmtId="0" fontId="55" fillId="0" borderId="61" xfId="0" applyFont="1" applyFill="1" applyBorder="1" applyAlignment="1" applyProtection="1">
      <alignment vertical="center" wrapText="1"/>
    </xf>
    <xf numFmtId="0" fontId="55" fillId="0" borderId="8" xfId="0" applyFont="1" applyFill="1" applyBorder="1" applyAlignment="1" applyProtection="1">
      <alignment vertical="center"/>
    </xf>
    <xf numFmtId="0" fontId="56" fillId="0" borderId="5" xfId="1" applyFont="1" applyFill="1" applyBorder="1" applyAlignment="1" applyProtection="1">
      <alignment vertical="center"/>
    </xf>
    <xf numFmtId="177" fontId="56" fillId="0" borderId="1" xfId="1" applyNumberFormat="1" applyFont="1" applyFill="1" applyBorder="1" applyAlignment="1" applyProtection="1">
      <alignment horizontal="center" vertical="center"/>
    </xf>
    <xf numFmtId="9" fontId="56" fillId="0" borderId="5" xfId="1" applyNumberFormat="1" applyFont="1" applyFill="1" applyBorder="1" applyAlignment="1" applyProtection="1">
      <alignment horizontal="center" vertical="center"/>
    </xf>
    <xf numFmtId="0" fontId="56" fillId="0" borderId="24" xfId="0" applyFont="1" applyFill="1" applyBorder="1" applyAlignment="1" applyProtection="1">
      <alignment vertical="center" wrapText="1"/>
    </xf>
    <xf numFmtId="0" fontId="55" fillId="0" borderId="5" xfId="1" applyFont="1" applyFill="1" applyBorder="1" applyAlignment="1" applyProtection="1">
      <alignment horizontal="left"/>
    </xf>
    <xf numFmtId="177" fontId="55" fillId="0" borderId="1" xfId="1" applyNumberFormat="1" applyFont="1" applyFill="1" applyBorder="1" applyAlignment="1" applyProtection="1">
      <alignment horizontal="center" vertical="center"/>
    </xf>
    <xf numFmtId="0" fontId="56" fillId="0" borderId="23" xfId="1" applyFont="1" applyFill="1" applyBorder="1" applyAlignment="1" applyProtection="1">
      <alignment horizontal="left"/>
    </xf>
    <xf numFmtId="179" fontId="56" fillId="0" borderId="1" xfId="1" applyNumberFormat="1" applyFont="1" applyFill="1" applyBorder="1" applyAlignment="1" applyProtection="1">
      <alignment horizontal="center"/>
    </xf>
    <xf numFmtId="9" fontId="56" fillId="0" borderId="1" xfId="1" applyNumberFormat="1" applyFont="1" applyFill="1" applyBorder="1" applyAlignment="1" applyProtection="1">
      <alignment horizontal="center"/>
    </xf>
    <xf numFmtId="49" fontId="59" fillId="0" borderId="37" xfId="1" applyNumberFormat="1" applyFont="1" applyFill="1" applyBorder="1" applyAlignment="1" applyProtection="1"/>
    <xf numFmtId="49" fontId="59" fillId="0" borderId="54" xfId="1" applyNumberFormat="1" applyFont="1" applyFill="1" applyBorder="1" applyAlignment="1" applyProtection="1"/>
    <xf numFmtId="49" fontId="59" fillId="0" borderId="48" xfId="1" applyNumberFormat="1" applyFont="1" applyFill="1" applyBorder="1" applyAlignment="1" applyProtection="1"/>
    <xf numFmtId="177" fontId="56" fillId="0" borderId="1" xfId="0" applyNumberFormat="1" applyFont="1" applyFill="1" applyBorder="1" applyAlignment="1" applyProtection="1">
      <alignment horizontal="center" vertical="center"/>
    </xf>
    <xf numFmtId="181" fontId="56" fillId="0" borderId="5" xfId="1" applyNumberFormat="1" applyFont="1" applyFill="1" applyBorder="1" applyAlignment="1" applyProtection="1">
      <alignment horizontal="center"/>
    </xf>
    <xf numFmtId="10" fontId="55" fillId="0" borderId="5" xfId="1" applyNumberFormat="1" applyFont="1" applyFill="1" applyBorder="1" applyAlignment="1" applyProtection="1">
      <alignment horizontal="center"/>
    </xf>
    <xf numFmtId="0" fontId="55" fillId="0" borderId="24" xfId="0" applyFont="1" applyFill="1" applyBorder="1" applyAlignment="1" applyProtection="1">
      <alignment vertical="center" wrapText="1"/>
    </xf>
    <xf numFmtId="0" fontId="55" fillId="0" borderId="24" xfId="1" applyFont="1" applyFill="1" applyBorder="1" applyAlignment="1" applyProtection="1">
      <alignment horizontal="left" vertical="center"/>
    </xf>
    <xf numFmtId="0" fontId="56" fillId="0" borderId="1" xfId="0" applyNumberFormat="1" applyFont="1" applyFill="1" applyBorder="1" applyAlignment="1" applyProtection="1">
      <alignment horizontal="right" vertical="center"/>
    </xf>
    <xf numFmtId="185" fontId="56" fillId="0" borderId="1" xfId="0" applyNumberFormat="1" applyFont="1" applyFill="1" applyBorder="1" applyAlignment="1" applyProtection="1">
      <alignment horizontal="right" vertical="center"/>
    </xf>
    <xf numFmtId="10" fontId="56" fillId="0" borderId="1" xfId="1" applyNumberFormat="1" applyFont="1" applyFill="1" applyBorder="1" applyAlignment="1" applyProtection="1">
      <alignment horizontal="center" vertical="center"/>
    </xf>
    <xf numFmtId="49" fontId="59" fillId="0" borderId="38" xfId="1" applyNumberFormat="1" applyFont="1" applyFill="1" applyBorder="1" applyAlignment="1" applyProtection="1"/>
    <xf numFmtId="49" fontId="59" fillId="0" borderId="52" xfId="1" applyNumberFormat="1" applyFont="1" applyFill="1" applyBorder="1" applyAlignment="1" applyProtection="1"/>
    <xf numFmtId="177" fontId="56" fillId="0" borderId="32" xfId="0" applyNumberFormat="1" applyFont="1" applyFill="1" applyBorder="1" applyAlignment="1" applyProtection="1">
      <alignment horizontal="center" vertical="center"/>
    </xf>
    <xf numFmtId="49" fontId="59" fillId="0" borderId="68" xfId="1" applyNumberFormat="1" applyFont="1" applyFill="1" applyBorder="1" applyAlignment="1" applyProtection="1"/>
    <xf numFmtId="0" fontId="60" fillId="0" borderId="1" xfId="0" applyFont="1" applyFill="1" applyBorder="1" applyAlignment="1" applyProtection="1">
      <alignment horizontal="center" vertical="center"/>
    </xf>
    <xf numFmtId="181" fontId="55" fillId="0" borderId="1" xfId="0" applyNumberFormat="1" applyFont="1" applyFill="1" applyBorder="1" applyAlignment="1" applyProtection="1">
      <alignment horizontal="center"/>
    </xf>
    <xf numFmtId="0" fontId="64" fillId="0" borderId="51" xfId="1" applyFont="1" applyFill="1" applyBorder="1" applyAlignment="1" applyProtection="1">
      <alignment vertical="center"/>
    </xf>
    <xf numFmtId="0" fontId="56" fillId="0" borderId="24" xfId="1" applyFont="1" applyFill="1" applyBorder="1" applyAlignment="1" applyProtection="1">
      <alignment horizontal="right" vertical="center"/>
      <protection locked="0"/>
    </xf>
    <xf numFmtId="0" fontId="56" fillId="0" borderId="3" xfId="0" applyFont="1" applyFill="1" applyBorder="1" applyAlignment="1" applyProtection="1">
      <alignment vertical="center"/>
      <protection locked="0"/>
    </xf>
    <xf numFmtId="0" fontId="56" fillId="0" borderId="1" xfId="0" applyFont="1" applyFill="1" applyBorder="1" applyAlignment="1" applyProtection="1">
      <alignment horizontal="left"/>
    </xf>
    <xf numFmtId="0" fontId="55" fillId="0" borderId="1" xfId="0" applyFont="1" applyFill="1" applyBorder="1" applyAlignment="1" applyProtection="1"/>
    <xf numFmtId="0" fontId="254" fillId="0" borderId="0" xfId="0" applyFont="1" applyAlignment="1"/>
    <xf numFmtId="0" fontId="254" fillId="5" borderId="0" xfId="0" applyFont="1" applyFill="1" applyAlignment="1"/>
    <xf numFmtId="2" fontId="257" fillId="0" borderId="1" xfId="0" applyNumberFormat="1" applyFont="1" applyBorder="1" applyAlignment="1">
      <alignment horizontal="left" vertical="center"/>
    </xf>
    <xf numFmtId="2" fontId="0" fillId="0" borderId="0" xfId="0" applyNumberFormat="1">
      <alignment vertical="center"/>
    </xf>
    <xf numFmtId="0" fontId="79" fillId="0" borderId="24" xfId="0" applyNumberFormat="1" applyFont="1" applyFill="1" applyBorder="1" applyAlignment="1" applyProtection="1">
      <alignment vertical="center" wrapText="1"/>
      <protection locked="0"/>
    </xf>
    <xf numFmtId="0" fontId="235" fillId="0" borderId="13" xfId="0" applyNumberFormat="1" applyFont="1" applyFill="1" applyBorder="1" applyAlignment="1" applyProtection="1">
      <alignment horizontal="center" vertical="center" wrapText="1"/>
      <protection locked="0"/>
    </xf>
    <xf numFmtId="0" fontId="235" fillId="0" borderId="32" xfId="0" applyNumberFormat="1" applyFont="1" applyFill="1" applyBorder="1" applyAlignment="1" applyProtection="1">
      <alignment horizontal="center" vertical="center" wrapText="1"/>
      <protection locked="0"/>
    </xf>
    <xf numFmtId="0" fontId="46" fillId="6" borderId="1" xfId="0" applyFont="1" applyFill="1" applyBorder="1" applyAlignment="1" applyProtection="1">
      <alignment horizontal="center" vertical="center"/>
    </xf>
    <xf numFmtId="0" fontId="46" fillId="6" borderId="1" xfId="0" applyFont="1" applyFill="1" applyBorder="1" applyAlignment="1" applyProtection="1">
      <alignment horizontal="center" vertical="center" wrapText="1"/>
    </xf>
    <xf numFmtId="0" fontId="53" fillId="6" borderId="1" xfId="0" applyFont="1" applyFill="1" applyBorder="1" applyAlignment="1" applyProtection="1">
      <alignment horizontal="center" vertical="center" wrapText="1"/>
    </xf>
    <xf numFmtId="0" fontId="53" fillId="6" borderId="1" xfId="0" applyNumberFormat="1" applyFont="1" applyFill="1" applyBorder="1" applyAlignment="1" applyProtection="1">
      <alignment horizontal="center" vertical="center"/>
    </xf>
    <xf numFmtId="0" fontId="53" fillId="6" borderId="15" xfId="0" applyFont="1" applyFill="1" applyBorder="1" applyAlignment="1" applyProtection="1">
      <alignment horizontal="center" vertical="center"/>
    </xf>
    <xf numFmtId="0" fontId="53" fillId="6" borderId="1" xfId="0" applyFont="1" applyFill="1" applyBorder="1" applyAlignment="1" applyProtection="1">
      <alignment horizontal="center" vertical="center"/>
    </xf>
    <xf numFmtId="0" fontId="53" fillId="6" borderId="9" xfId="0" applyFont="1" applyFill="1" applyBorder="1" applyAlignment="1" applyProtection="1">
      <alignment horizontal="center" vertical="center"/>
    </xf>
    <xf numFmtId="0" fontId="103" fillId="6" borderId="23" xfId="0" applyFont="1" applyFill="1" applyBorder="1" applyAlignment="1" applyProtection="1">
      <alignment horizontal="center" vertical="center"/>
    </xf>
    <xf numFmtId="0" fontId="257" fillId="0" borderId="1" xfId="0" applyFont="1" applyBorder="1" applyAlignment="1">
      <alignment horizontal="right" vertical="center"/>
    </xf>
    <xf numFmtId="0" fontId="79" fillId="7" borderId="60" xfId="0" applyFont="1" applyFill="1" applyBorder="1" applyAlignment="1" applyProtection="1">
      <alignment vertical="center" wrapText="1"/>
      <protection locked="0"/>
    </xf>
    <xf numFmtId="49" fontId="235" fillId="13" borderId="4" xfId="0" applyNumberFormat="1" applyFont="1" applyFill="1" applyBorder="1" applyAlignment="1" applyProtection="1">
      <alignment horizontal="left" vertical="center"/>
      <protection locked="0"/>
    </xf>
    <xf numFmtId="0" fontId="65" fillId="0" borderId="0" xfId="0" applyFont="1" applyFill="1" applyBorder="1" applyAlignment="1" applyProtection="1">
      <alignment horizontal="center" vertical="center"/>
      <protection locked="0"/>
    </xf>
    <xf numFmtId="0" fontId="55" fillId="6" borderId="0" xfId="0" applyFont="1" applyFill="1" applyAlignment="1" applyProtection="1"/>
    <xf numFmtId="0" fontId="134" fillId="0" borderId="44" xfId="0" applyNumberFormat="1" applyFont="1" applyFill="1" applyBorder="1" applyAlignment="1" applyProtection="1">
      <alignment horizontal="center" vertical="center" wrapText="1"/>
      <protection locked="0"/>
    </xf>
    <xf numFmtId="0" fontId="97" fillId="0" borderId="44" xfId="0" applyNumberFormat="1" applyFont="1" applyFill="1" applyBorder="1" applyAlignment="1" applyProtection="1">
      <alignment horizontal="center" vertical="center" wrapText="1"/>
      <protection locked="0"/>
    </xf>
    <xf numFmtId="49" fontId="97" fillId="0" borderId="39" xfId="0" applyNumberFormat="1" applyFont="1" applyFill="1" applyBorder="1" applyAlignment="1" applyProtection="1">
      <alignment horizontal="center" vertical="center" wrapText="1"/>
      <protection locked="0"/>
    </xf>
    <xf numFmtId="49" fontId="97" fillId="0" borderId="35" xfId="0" applyNumberFormat="1" applyFont="1" applyFill="1" applyBorder="1" applyAlignment="1" applyProtection="1">
      <alignment horizontal="center" vertical="center" wrapText="1"/>
      <protection locked="0"/>
    </xf>
    <xf numFmtId="0" fontId="51" fillId="0" borderId="33" xfId="0" applyFont="1" applyFill="1" applyBorder="1" applyAlignment="1" applyProtection="1">
      <alignment horizontal="center" vertical="center"/>
      <protection locked="0"/>
    </xf>
    <xf numFmtId="0" fontId="51" fillId="6" borderId="49" xfId="0" applyNumberFormat="1" applyFont="1" applyFill="1" applyBorder="1" applyAlignment="1" applyProtection="1">
      <alignment horizontal="center" vertical="center" wrapText="1"/>
    </xf>
    <xf numFmtId="0" fontId="53" fillId="6" borderId="28" xfId="0" applyFont="1" applyFill="1" applyBorder="1" applyAlignment="1" applyProtection="1">
      <alignment horizontal="center" vertical="center"/>
    </xf>
    <xf numFmtId="0" fontId="102" fillId="6" borderId="95" xfId="0" applyFont="1" applyFill="1" applyBorder="1" applyAlignment="1" applyProtection="1">
      <alignment horizontal="center" vertical="center"/>
    </xf>
    <xf numFmtId="177" fontId="55" fillId="6" borderId="5" xfId="1" applyNumberFormat="1" applyFont="1" applyFill="1" applyBorder="1" applyAlignment="1" applyProtection="1">
      <alignment horizontal="center"/>
    </xf>
    <xf numFmtId="0" fontId="103" fillId="6" borderId="24" xfId="0" applyFont="1" applyFill="1" applyBorder="1" applyAlignment="1" applyProtection="1">
      <alignment horizontal="center" vertical="center"/>
    </xf>
    <xf numFmtId="0" fontId="103" fillId="6" borderId="86" xfId="0" applyFont="1" applyFill="1" applyBorder="1" applyAlignment="1" applyProtection="1">
      <alignment horizontal="center" vertical="center"/>
    </xf>
    <xf numFmtId="0" fontId="103" fillId="6" borderId="49" xfId="0" applyFont="1" applyFill="1" applyBorder="1" applyAlignment="1" applyProtection="1">
      <alignment horizontal="center" vertical="center"/>
    </xf>
    <xf numFmtId="0" fontId="55" fillId="13" borderId="0" xfId="0" applyFont="1" applyFill="1" applyAlignment="1" applyProtection="1">
      <protection locked="0"/>
    </xf>
    <xf numFmtId="0" fontId="48" fillId="5" borderId="23"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1" fontId="53" fillId="0" borderId="6" xfId="0" applyNumberFormat="1" applyFont="1" applyFill="1" applyBorder="1" applyAlignment="1" applyProtection="1">
      <alignment horizontal="center" vertical="center" wrapText="1"/>
      <protection locked="0"/>
    </xf>
    <xf numFmtId="0" fontId="199" fillId="0" borderId="0" xfId="5" applyFont="1" applyAlignment="1" applyProtection="1">
      <alignment horizontal="left" vertical="top" wrapText="1"/>
    </xf>
    <xf numFmtId="0" fontId="47" fillId="0" borderId="13" xfId="7" applyFont="1" applyFill="1" applyBorder="1" applyAlignment="1" applyProtection="1">
      <alignment horizontal="left" vertical="center" wrapText="1"/>
    </xf>
    <xf numFmtId="0" fontId="47" fillId="0" borderId="15" xfId="7" applyFont="1" applyFill="1" applyBorder="1" applyAlignment="1" applyProtection="1">
      <alignment horizontal="left" vertical="center" wrapText="1"/>
    </xf>
    <xf numFmtId="0" fontId="47" fillId="0" borderId="77" xfId="7" applyFont="1" applyFill="1" applyBorder="1" applyAlignment="1" applyProtection="1">
      <alignment horizontal="left" vertical="center" wrapText="1"/>
    </xf>
    <xf numFmtId="0" fontId="209" fillId="0" borderId="87" xfId="7" applyFont="1" applyBorder="1" applyAlignment="1" applyProtection="1">
      <alignment horizontal="center" vertical="center"/>
    </xf>
    <xf numFmtId="0" fontId="136" fillId="0" borderId="0" xfId="7" applyFont="1" applyAlignment="1" applyProtection="1">
      <alignment horizontal="left" vertical="center" wrapText="1"/>
    </xf>
    <xf numFmtId="0" fontId="209" fillId="0" borderId="0" xfId="7" applyFont="1" applyAlignment="1" applyProtection="1">
      <alignment horizontal="center" vertical="center"/>
    </xf>
    <xf numFmtId="0" fontId="47" fillId="0" borderId="2" xfId="7" applyFont="1" applyFill="1" applyBorder="1" applyAlignment="1" applyProtection="1">
      <alignment horizontal="left" vertical="center" wrapText="1"/>
    </xf>
    <xf numFmtId="0" fontId="47" fillId="0" borderId="13" xfId="7" applyFont="1" applyFill="1" applyBorder="1" applyAlignment="1" applyProtection="1">
      <alignment vertical="center" wrapText="1"/>
    </xf>
    <xf numFmtId="0" fontId="47" fillId="0" borderId="15" xfId="7" applyFont="1" applyFill="1" applyBorder="1" applyAlignment="1" applyProtection="1">
      <alignment vertical="center" wrapText="1"/>
    </xf>
    <xf numFmtId="0" fontId="47" fillId="0" borderId="2" xfId="7" applyFont="1" applyFill="1" applyBorder="1" applyAlignment="1" applyProtection="1">
      <alignment vertical="center" wrapText="1"/>
    </xf>
    <xf numFmtId="0" fontId="63" fillId="0" borderId="78" xfId="0" applyFont="1" applyFill="1" applyBorder="1" applyAlignment="1" applyProtection="1">
      <alignment horizontal="center" vertical="center" wrapText="1"/>
    </xf>
    <xf numFmtId="182" fontId="63" fillId="0" borderId="78" xfId="0" applyNumberFormat="1" applyFont="1" applyFill="1" applyBorder="1" applyAlignment="1" applyProtection="1">
      <alignment horizontal="center" vertical="center" wrapText="1"/>
    </xf>
    <xf numFmtId="0" fontId="49" fillId="0" borderId="0" xfId="0" applyFont="1" applyFill="1" applyBorder="1" applyAlignment="1" applyProtection="1">
      <alignment horizontal="left" vertical="center"/>
    </xf>
    <xf numFmtId="0" fontId="47" fillId="0" borderId="1" xfId="0" applyFont="1" applyFill="1" applyBorder="1" applyAlignment="1" applyProtection="1">
      <alignment horizontal="center" vertical="center" wrapText="1"/>
    </xf>
    <xf numFmtId="0" fontId="63" fillId="0" borderId="1" xfId="0" applyFont="1" applyFill="1" applyBorder="1" applyAlignment="1" applyProtection="1">
      <alignment horizontal="center" vertical="center" wrapText="1"/>
    </xf>
    <xf numFmtId="182" fontId="63" fillId="0" borderId="1" xfId="0" applyNumberFormat="1" applyFont="1" applyFill="1" applyBorder="1" applyAlignment="1" applyProtection="1">
      <alignment horizontal="center" vertical="center" wrapText="1"/>
    </xf>
    <xf numFmtId="182" fontId="63" fillId="0" borderId="5" xfId="0" applyNumberFormat="1" applyFont="1" applyFill="1" applyBorder="1" applyAlignment="1" applyProtection="1">
      <alignment horizontal="center" vertical="center" wrapText="1"/>
    </xf>
    <xf numFmtId="182" fontId="63" fillId="0" borderId="54" xfId="0" applyNumberFormat="1" applyFont="1" applyFill="1" applyBorder="1" applyAlignment="1" applyProtection="1">
      <alignment horizontal="center" vertical="center" wrapText="1"/>
    </xf>
    <xf numFmtId="182" fontId="63" fillId="0" borderId="3" xfId="0" applyNumberFormat="1" applyFont="1" applyFill="1" applyBorder="1" applyAlignment="1" applyProtection="1">
      <alignment horizontal="center" vertical="center" wrapText="1"/>
    </xf>
    <xf numFmtId="0" fontId="218" fillId="0" borderId="0" xfId="0" applyFont="1" applyFill="1" applyBorder="1" applyAlignment="1" applyProtection="1">
      <alignment horizontal="center" vertical="center"/>
    </xf>
    <xf numFmtId="0" fontId="63" fillId="0" borderId="44" xfId="0" applyFont="1" applyFill="1" applyBorder="1" applyAlignment="1" applyProtection="1">
      <alignment horizontal="center" vertical="center" wrapText="1"/>
    </xf>
    <xf numFmtId="0" fontId="131" fillId="0" borderId="0" xfId="0" applyFont="1" applyBorder="1" applyAlignment="1" applyProtection="1">
      <alignment horizontal="left" vertical="center" wrapText="1"/>
    </xf>
    <xf numFmtId="194" fontId="213" fillId="0" borderId="0" xfId="0" applyNumberFormat="1" applyFont="1" applyAlignment="1" applyProtection="1">
      <alignment horizontal="right" vertical="center"/>
      <protection locked="0"/>
    </xf>
    <xf numFmtId="0" fontId="226" fillId="0" borderId="0" xfId="0" applyFont="1" applyBorder="1" applyAlignment="1" applyProtection="1">
      <alignment horizontal="left" vertical="center" wrapText="1"/>
      <protection locked="0"/>
    </xf>
    <xf numFmtId="0" fontId="102" fillId="0" borderId="0" xfId="0" applyFont="1" applyAlignment="1" applyProtection="1">
      <alignment vertical="center" wrapText="1"/>
    </xf>
    <xf numFmtId="0" fontId="175" fillId="0" borderId="0" xfId="0" applyFont="1" applyAlignment="1" applyProtection="1">
      <alignment vertical="center" wrapText="1"/>
      <protection locked="0"/>
    </xf>
    <xf numFmtId="0" fontId="130" fillId="0" borderId="0" xfId="0" applyFont="1" applyBorder="1" applyAlignment="1" applyProtection="1">
      <alignment horizontal="left" vertical="center" wrapText="1"/>
    </xf>
    <xf numFmtId="0" fontId="209" fillId="0" borderId="0" xfId="0" applyFont="1" applyBorder="1" applyAlignment="1" applyProtection="1">
      <alignment horizontal="left" vertical="center"/>
    </xf>
    <xf numFmtId="0" fontId="209" fillId="0" borderId="0" xfId="0" applyFont="1" applyBorder="1" applyAlignment="1" applyProtection="1">
      <alignment horizontal="justify" vertical="center" wrapText="1"/>
    </xf>
    <xf numFmtId="0" fontId="63" fillId="0" borderId="0" xfId="0" applyFont="1" applyBorder="1" applyAlignment="1" applyProtection="1">
      <alignment horizontal="left" vertical="center" wrapText="1"/>
    </xf>
    <xf numFmtId="0" fontId="230" fillId="0" borderId="5"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5" xfId="0" applyFont="1" applyBorder="1" applyAlignment="1" applyProtection="1">
      <alignment horizontal="left" vertical="center"/>
    </xf>
    <xf numFmtId="0" fontId="98" fillId="0" borderId="1"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5" borderId="13" xfId="0" applyFont="1" applyFill="1" applyBorder="1" applyAlignment="1" applyProtection="1">
      <alignment horizontal="left" vertical="center"/>
    </xf>
    <xf numFmtId="0" fontId="98" fillId="5" borderId="15"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123" fillId="5" borderId="1" xfId="5" applyFont="1" applyFill="1" applyBorder="1" applyAlignment="1">
      <alignment horizontal="left" vertical="center"/>
    </xf>
    <xf numFmtId="0" fontId="124" fillId="0" borderId="1" xfId="5" applyFont="1" applyBorder="1" applyAlignment="1">
      <alignment horizontal="left" vertical="center"/>
    </xf>
    <xf numFmtId="0" fontId="124" fillId="0" borderId="156" xfId="5" applyFont="1" applyBorder="1" applyAlignment="1">
      <alignment horizontal="left" vertical="center"/>
    </xf>
    <xf numFmtId="0" fontId="98" fillId="6" borderId="0" xfId="0" applyFont="1" applyFill="1" applyBorder="1" applyAlignment="1" applyProtection="1">
      <alignment horizontal="center" vertical="center" wrapText="1"/>
    </xf>
    <xf numFmtId="0" fontId="49" fillId="6" borderId="1" xfId="0" applyFont="1" applyFill="1" applyBorder="1" applyAlignment="1" applyProtection="1">
      <alignment horizontal="center" vertical="center" wrapText="1"/>
    </xf>
    <xf numFmtId="0" fontId="49" fillId="6" borderId="15" xfId="0" applyFont="1" applyFill="1" applyBorder="1" applyAlignment="1" applyProtection="1">
      <alignment horizontal="left" vertical="center"/>
    </xf>
    <xf numFmtId="0" fontId="49" fillId="6" borderId="2" xfId="0" applyFont="1" applyFill="1" applyBorder="1" applyAlignment="1" applyProtection="1">
      <alignment horizontal="left" vertical="center"/>
    </xf>
    <xf numFmtId="0" fontId="49" fillId="0" borderId="5" xfId="0" applyFont="1" applyBorder="1" applyAlignment="1" applyProtection="1">
      <alignment horizontal="left" vertical="center" wrapText="1"/>
      <protection locked="0"/>
    </xf>
    <xf numFmtId="0" fontId="49" fillId="0" borderId="3" xfId="0" applyFont="1" applyBorder="1" applyAlignment="1" applyProtection="1">
      <alignment horizontal="left" vertical="center" wrapText="1"/>
      <protection locked="0"/>
    </xf>
    <xf numFmtId="0" fontId="49" fillId="6" borderId="22" xfId="0" applyFont="1" applyFill="1" applyBorder="1" applyAlignment="1" applyProtection="1">
      <alignment horizontal="left" vertical="center"/>
    </xf>
    <xf numFmtId="0" fontId="49" fillId="6" borderId="35" xfId="0" applyFont="1" applyFill="1" applyBorder="1" applyAlignment="1" applyProtection="1">
      <alignment horizontal="left" vertical="center"/>
    </xf>
    <xf numFmtId="0" fontId="49" fillId="6" borderId="1" xfId="0" applyNumberFormat="1" applyFont="1" applyFill="1" applyBorder="1" applyAlignment="1" applyProtection="1">
      <alignment horizontal="center" vertical="center" wrapText="1"/>
    </xf>
    <xf numFmtId="0" fontId="49" fillId="6" borderId="34" xfId="0" applyFont="1" applyFill="1" applyBorder="1" applyAlignment="1" applyProtection="1">
      <alignment horizontal="left" vertical="center" wrapText="1"/>
    </xf>
    <xf numFmtId="0" fontId="49" fillId="6" borderId="64" xfId="0" applyFont="1" applyFill="1" applyBorder="1" applyAlignment="1" applyProtection="1">
      <alignment horizontal="left" vertical="center" wrapText="1"/>
    </xf>
    <xf numFmtId="0" fontId="49" fillId="6" borderId="65" xfId="0" applyFont="1" applyFill="1" applyBorder="1" applyAlignment="1" applyProtection="1">
      <alignment horizontal="left" vertical="center" wrapText="1"/>
    </xf>
    <xf numFmtId="0" fontId="49" fillId="17" borderId="13" xfId="0" applyFont="1" applyFill="1" applyBorder="1" applyAlignment="1" applyProtection="1">
      <alignment horizontal="center" vertical="center" wrapText="1"/>
    </xf>
    <xf numFmtId="0" fontId="49" fillId="17" borderId="103" xfId="0" applyFont="1" applyFill="1" applyBorder="1" applyAlignment="1" applyProtection="1">
      <alignment horizontal="center" vertical="center" wrapText="1"/>
    </xf>
    <xf numFmtId="0" fontId="49" fillId="6" borderId="58" xfId="0" applyFont="1" applyFill="1" applyBorder="1" applyAlignment="1" applyProtection="1">
      <alignment horizontal="center" vertical="center" wrapText="1"/>
    </xf>
    <xf numFmtId="0" fontId="49" fillId="6" borderId="6" xfId="0" applyFont="1" applyFill="1" applyBorder="1" applyAlignment="1" applyProtection="1">
      <alignment vertical="center"/>
    </xf>
    <xf numFmtId="0" fontId="49" fillId="6" borderId="10" xfId="0" applyFont="1" applyFill="1" applyBorder="1" applyAlignment="1" applyProtection="1">
      <alignment vertical="center"/>
    </xf>
    <xf numFmtId="0" fontId="49" fillId="6" borderId="51" xfId="0" applyFont="1" applyFill="1" applyBorder="1" applyAlignment="1" applyProtection="1">
      <alignment vertical="center"/>
    </xf>
    <xf numFmtId="0" fontId="49" fillId="6" borderId="20" xfId="0" applyFont="1" applyFill="1" applyBorder="1" applyAlignment="1" applyProtection="1">
      <alignment vertical="center"/>
    </xf>
    <xf numFmtId="49" fontId="177" fillId="0" borderId="4" xfId="0" applyNumberFormat="1" applyFont="1" applyFill="1" applyBorder="1" applyAlignment="1" applyProtection="1">
      <alignment horizontal="left" vertical="center"/>
      <protection locked="0"/>
    </xf>
    <xf numFmtId="49" fontId="177" fillId="0" borderId="54" xfId="0" applyNumberFormat="1" applyFont="1" applyFill="1" applyBorder="1" applyAlignment="1" applyProtection="1">
      <alignment horizontal="left" vertical="center"/>
      <protection locked="0"/>
    </xf>
    <xf numFmtId="49" fontId="177" fillId="0" borderId="3" xfId="0" applyNumberFormat="1" applyFont="1" applyFill="1" applyBorder="1" applyAlignment="1" applyProtection="1">
      <alignment horizontal="left" vertical="center"/>
      <protection locked="0"/>
    </xf>
    <xf numFmtId="0" fontId="177" fillId="0" borderId="5" xfId="0" applyNumberFormat="1" applyFont="1" applyBorder="1" applyAlignment="1" applyProtection="1">
      <alignment horizontal="left" vertical="center"/>
      <protection locked="0"/>
    </xf>
    <xf numFmtId="0" fontId="177" fillId="0" borderId="54" xfId="0" applyNumberFormat="1" applyFont="1" applyBorder="1" applyAlignment="1" applyProtection="1">
      <alignment horizontal="left" vertical="center"/>
      <protection locked="0"/>
    </xf>
    <xf numFmtId="0" fontId="177" fillId="0" borderId="3" xfId="0" applyNumberFormat="1" applyFont="1" applyBorder="1" applyAlignment="1" applyProtection="1">
      <alignment horizontal="left" vertical="center"/>
      <protection locked="0"/>
    </xf>
    <xf numFmtId="49" fontId="177" fillId="7" borderId="5" xfId="0" applyNumberFormat="1" applyFont="1" applyFill="1" applyBorder="1" applyAlignment="1" applyProtection="1">
      <alignment horizontal="left" vertical="center"/>
      <protection locked="0"/>
    </xf>
    <xf numFmtId="49" fontId="177" fillId="7" borderId="54" xfId="0" applyNumberFormat="1" applyFont="1" applyFill="1" applyBorder="1" applyAlignment="1" applyProtection="1">
      <alignment horizontal="left" vertical="center"/>
      <protection locked="0"/>
    </xf>
    <xf numFmtId="49" fontId="177" fillId="7" borderId="3" xfId="0" applyNumberFormat="1" applyFont="1" applyFill="1" applyBorder="1" applyAlignment="1" applyProtection="1">
      <alignment horizontal="left" vertical="center"/>
      <protection locked="0"/>
    </xf>
    <xf numFmtId="49" fontId="177" fillId="7" borderId="85" xfId="0" applyNumberFormat="1" applyFont="1" applyFill="1" applyBorder="1" applyAlignment="1" applyProtection="1">
      <alignment horizontal="left" vertical="center"/>
      <protection locked="0"/>
    </xf>
    <xf numFmtId="49" fontId="177" fillId="7" borderId="88" xfId="0" applyNumberFormat="1" applyFont="1" applyFill="1" applyBorder="1" applyAlignment="1" applyProtection="1">
      <alignment horizontal="left" vertical="center"/>
      <protection locked="0"/>
    </xf>
    <xf numFmtId="49" fontId="177" fillId="7" borderId="118" xfId="0" applyNumberFormat="1" applyFont="1" applyFill="1" applyBorder="1" applyAlignment="1" applyProtection="1">
      <alignment horizontal="left" vertical="center"/>
      <protection locked="0"/>
    </xf>
    <xf numFmtId="0" fontId="257" fillId="0" borderId="1" xfId="0" applyFont="1" applyBorder="1" applyAlignment="1">
      <alignment horizontal="left" vertical="center"/>
    </xf>
    <xf numFmtId="0" fontId="23" fillId="0" borderId="1" xfId="0" applyFont="1" applyFill="1" applyBorder="1" applyAlignment="1" applyProtection="1">
      <alignment horizontal="center" vertical="center" wrapText="1"/>
    </xf>
    <xf numFmtId="0" fontId="101" fillId="0" borderId="1" xfId="0" applyFont="1" applyBorder="1" applyAlignment="1">
      <alignment horizontal="center" vertical="center" wrapText="1"/>
    </xf>
    <xf numFmtId="0" fontId="46" fillId="6" borderId="6" xfId="0" applyFont="1" applyFill="1" applyBorder="1" applyAlignment="1" applyProtection="1">
      <alignment horizontal="center" vertical="center"/>
    </xf>
    <xf numFmtId="0" fontId="46" fillId="6" borderId="9" xfId="0" applyFont="1" applyFill="1" applyBorder="1" applyAlignment="1" applyProtection="1">
      <alignment horizontal="center" vertical="center"/>
    </xf>
    <xf numFmtId="0" fontId="46" fillId="6" borderId="10" xfId="0" applyFont="1" applyFill="1" applyBorder="1" applyAlignment="1" applyProtection="1">
      <alignment horizontal="center" vertical="center"/>
    </xf>
    <xf numFmtId="0" fontId="48" fillId="6" borderId="40" xfId="0" applyFont="1" applyFill="1" applyBorder="1" applyAlignment="1" applyProtection="1">
      <alignment horizontal="center" vertical="center"/>
    </xf>
    <xf numFmtId="0" fontId="48" fillId="6" borderId="17" xfId="0" applyFont="1" applyFill="1" applyBorder="1" applyAlignment="1" applyProtection="1">
      <alignment horizontal="center" vertical="center"/>
    </xf>
    <xf numFmtId="0" fontId="48" fillId="6" borderId="62" xfId="0" applyFont="1" applyFill="1" applyBorder="1" applyAlignment="1" applyProtection="1">
      <alignment horizontal="center" vertical="center"/>
    </xf>
    <xf numFmtId="0" fontId="46" fillId="6" borderId="51" xfId="0" applyFont="1" applyFill="1" applyBorder="1" applyAlignment="1" applyProtection="1">
      <alignment horizontal="center" vertical="center"/>
    </xf>
    <xf numFmtId="0" fontId="46" fillId="6" borderId="20" xfId="0" applyFont="1" applyFill="1" applyBorder="1" applyAlignment="1" applyProtection="1">
      <alignment horizontal="center" vertical="center"/>
    </xf>
    <xf numFmtId="0" fontId="46" fillId="6" borderId="30" xfId="0" applyFont="1" applyFill="1" applyBorder="1" applyAlignment="1" applyProtection="1">
      <alignment horizontal="center" vertical="center"/>
    </xf>
    <xf numFmtId="0" fontId="48" fillId="6" borderId="1" xfId="0" applyFont="1" applyFill="1" applyBorder="1" applyAlignment="1" applyProtection="1">
      <alignment horizontal="center" vertical="center"/>
    </xf>
    <xf numFmtId="0" fontId="48" fillId="6" borderId="13" xfId="0" applyFont="1" applyFill="1" applyBorder="1" applyAlignment="1" applyProtection="1">
      <alignment horizontal="center" vertical="center"/>
    </xf>
    <xf numFmtId="0" fontId="48" fillId="6" borderId="51" xfId="0" applyFont="1" applyFill="1" applyBorder="1" applyAlignment="1" applyProtection="1">
      <alignment horizontal="center" vertical="center"/>
    </xf>
    <xf numFmtId="0" fontId="48" fillId="6" borderId="20" xfId="0" applyFont="1" applyFill="1" applyBorder="1" applyAlignment="1" applyProtection="1">
      <alignment horizontal="center" vertical="center"/>
    </xf>
    <xf numFmtId="0" fontId="48" fillId="6" borderId="30" xfId="0" applyFont="1" applyFill="1" applyBorder="1" applyAlignment="1" applyProtection="1">
      <alignment horizontal="center" vertical="center"/>
    </xf>
    <xf numFmtId="0" fontId="46" fillId="6" borderId="1" xfId="0" applyFont="1" applyFill="1" applyBorder="1" applyAlignment="1" applyProtection="1">
      <alignment horizontal="center" vertical="center"/>
    </xf>
    <xf numFmtId="0" fontId="71" fillId="6" borderId="105" xfId="0" applyFont="1" applyFill="1" applyBorder="1" applyAlignment="1" applyProtection="1">
      <alignment vertical="center"/>
    </xf>
    <xf numFmtId="0" fontId="71" fillId="6" borderId="101" xfId="0" applyFont="1" applyFill="1" applyBorder="1" applyAlignment="1" applyProtection="1">
      <alignment vertical="center"/>
    </xf>
    <xf numFmtId="0" fontId="49" fillId="6" borderId="54" xfId="0" applyFont="1" applyFill="1" applyBorder="1" applyAlignment="1" applyProtection="1">
      <alignment horizontal="left" vertical="center" wrapText="1"/>
    </xf>
    <xf numFmtId="0" fontId="46" fillId="6" borderId="1" xfId="0" applyFont="1" applyFill="1" applyBorder="1" applyAlignment="1" applyProtection="1">
      <alignment horizontal="center" vertical="center" wrapText="1"/>
    </xf>
    <xf numFmtId="0" fontId="54" fillId="6" borderId="51" xfId="0" applyFont="1" applyFill="1" applyBorder="1" applyAlignment="1" applyProtection="1">
      <alignment horizontal="center" vertical="center" wrapText="1"/>
    </xf>
    <xf numFmtId="0" fontId="54" fillId="6" borderId="20" xfId="0" applyFont="1" applyFill="1" applyBorder="1" applyAlignment="1" applyProtection="1">
      <alignment horizontal="center" vertical="center" wrapText="1"/>
    </xf>
    <xf numFmtId="0" fontId="54" fillId="6" borderId="21" xfId="0" applyFont="1" applyFill="1" applyBorder="1" applyAlignment="1" applyProtection="1">
      <alignment horizontal="center" vertical="center" wrapText="1"/>
    </xf>
    <xf numFmtId="0" fontId="54" fillId="6" borderId="46" xfId="0" applyFont="1" applyFill="1" applyBorder="1" applyAlignment="1" applyProtection="1">
      <alignment horizontal="left" vertical="center" wrapText="1"/>
    </xf>
    <xf numFmtId="0" fontId="54" fillId="6" borderId="36" xfId="0" applyFont="1" applyFill="1" applyBorder="1" applyAlignment="1" applyProtection="1">
      <alignment horizontal="left" vertical="center" wrapText="1"/>
    </xf>
    <xf numFmtId="0" fontId="54" fillId="6" borderId="22" xfId="0" applyFont="1" applyFill="1" applyBorder="1" applyAlignment="1" applyProtection="1">
      <alignment horizontal="left" vertical="center" wrapText="1"/>
    </xf>
    <xf numFmtId="0" fontId="48" fillId="6" borderId="40" xfId="0" applyFont="1" applyFill="1" applyBorder="1" applyAlignment="1" applyProtection="1">
      <alignment horizontal="left" vertical="center" wrapText="1"/>
    </xf>
    <xf numFmtId="0" fontId="48" fillId="6" borderId="41" xfId="0" applyFont="1" applyFill="1" applyBorder="1" applyAlignment="1" applyProtection="1">
      <alignment horizontal="left" vertical="center" wrapText="1"/>
    </xf>
    <xf numFmtId="10" fontId="49" fillId="6" borderId="5" xfId="0" applyNumberFormat="1" applyFont="1" applyFill="1" applyBorder="1" applyAlignment="1" applyProtection="1">
      <alignment horizontal="left" vertical="center" wrapText="1"/>
    </xf>
    <xf numFmtId="10" fontId="49" fillId="6" borderId="54" xfId="0" applyNumberFormat="1" applyFont="1" applyFill="1" applyBorder="1" applyAlignment="1" applyProtection="1">
      <alignment horizontal="left" vertical="center" wrapText="1"/>
    </xf>
    <xf numFmtId="0" fontId="48" fillId="6" borderId="21" xfId="0" applyFont="1" applyFill="1" applyBorder="1" applyAlignment="1" applyProtection="1">
      <alignment horizontal="center" vertical="center"/>
    </xf>
    <xf numFmtId="0" fontId="54" fillId="6" borderId="47" xfId="0" applyFont="1" applyFill="1" applyBorder="1" applyAlignment="1" applyProtection="1">
      <alignment horizontal="center" vertical="center"/>
    </xf>
    <xf numFmtId="0" fontId="46" fillId="6" borderId="1" xfId="0" applyFont="1" applyFill="1" applyBorder="1" applyAlignment="1" applyProtection="1">
      <alignment horizontal="left" vertical="center" wrapText="1"/>
    </xf>
    <xf numFmtId="0" fontId="49" fillId="6" borderId="23" xfId="0" applyFont="1" applyFill="1" applyBorder="1" applyAlignment="1" applyProtection="1">
      <alignment horizontal="left" vertical="center" wrapText="1"/>
    </xf>
    <xf numFmtId="0" fontId="49" fillId="6" borderId="1" xfId="0" applyFont="1" applyFill="1" applyBorder="1" applyAlignment="1" applyProtection="1">
      <alignment horizontal="left" vertical="center" wrapText="1"/>
    </xf>
    <xf numFmtId="0" fontId="46" fillId="0" borderId="13" xfId="0" applyFont="1" applyBorder="1" applyAlignment="1" applyProtection="1">
      <alignment horizontal="center" vertical="center"/>
      <protection locked="0"/>
    </xf>
    <xf numFmtId="0" fontId="46" fillId="0" borderId="15" xfId="0" applyFont="1" applyBorder="1" applyAlignment="1" applyProtection="1">
      <alignment horizontal="center" vertical="center"/>
      <protection locked="0"/>
    </xf>
    <xf numFmtId="0" fontId="46" fillId="0" borderId="2" xfId="0" applyFont="1" applyBorder="1" applyAlignment="1" applyProtection="1">
      <alignment horizontal="center" vertical="center"/>
      <protection locked="0"/>
    </xf>
    <xf numFmtId="10" fontId="49" fillId="6" borderId="48" xfId="0" applyNumberFormat="1" applyFont="1" applyFill="1" applyBorder="1" applyAlignment="1" applyProtection="1">
      <alignment horizontal="left" vertical="center" wrapText="1"/>
    </xf>
    <xf numFmtId="10" fontId="118" fillId="6" borderId="5" xfId="0" applyNumberFormat="1" applyFont="1" applyFill="1" applyBorder="1" applyAlignment="1" applyProtection="1">
      <alignment horizontal="left" vertical="center" wrapText="1"/>
    </xf>
    <xf numFmtId="10" fontId="118" fillId="6" borderId="54" xfId="0" applyNumberFormat="1" applyFont="1" applyFill="1" applyBorder="1" applyAlignment="1" applyProtection="1">
      <alignment horizontal="left" vertical="center" wrapText="1"/>
    </xf>
    <xf numFmtId="10" fontId="118" fillId="6" borderId="48" xfId="0" applyNumberFormat="1" applyFont="1" applyFill="1" applyBorder="1" applyAlignment="1" applyProtection="1">
      <alignment horizontal="left" vertical="center" wrapText="1"/>
    </xf>
    <xf numFmtId="0" fontId="135" fillId="6" borderId="58" xfId="0" applyFont="1" applyFill="1" applyBorder="1" applyAlignment="1" applyProtection="1">
      <alignment horizontal="left" vertical="center" wrapText="1"/>
    </xf>
    <xf numFmtId="0" fontId="135" fillId="6" borderId="0" xfId="0" applyFont="1" applyFill="1" applyAlignment="1" applyProtection="1">
      <alignment horizontal="left" vertical="center" wrapText="1"/>
    </xf>
    <xf numFmtId="0" fontId="49" fillId="6" borderId="5" xfId="0" applyFont="1" applyFill="1" applyBorder="1" applyAlignment="1" applyProtection="1">
      <alignment horizontal="left" vertical="center" wrapText="1"/>
    </xf>
    <xf numFmtId="0" fontId="49" fillId="6" borderId="3" xfId="0" applyFont="1" applyFill="1" applyBorder="1" applyAlignment="1" applyProtection="1">
      <alignment horizontal="left" vertical="center" wrapText="1"/>
    </xf>
    <xf numFmtId="0" fontId="48" fillId="6" borderId="40" xfId="0" applyFont="1" applyFill="1" applyBorder="1" applyAlignment="1" applyProtection="1">
      <alignment horizontal="center" vertical="center" wrapText="1"/>
    </xf>
    <xf numFmtId="0" fontId="48" fillId="6" borderId="14" xfId="0" applyFont="1" applyFill="1" applyBorder="1" applyAlignment="1" applyProtection="1">
      <alignment horizontal="center" vertical="center" wrapText="1"/>
    </xf>
    <xf numFmtId="0" fontId="48" fillId="6" borderId="12" xfId="0" applyFont="1" applyFill="1" applyBorder="1" applyAlignment="1" applyProtection="1">
      <alignment horizontal="center" vertical="center" wrapText="1"/>
    </xf>
    <xf numFmtId="0" fontId="56" fillId="6" borderId="6" xfId="0" applyFont="1" applyFill="1" applyBorder="1" applyAlignment="1" applyProtection="1">
      <alignment horizontal="left" vertical="center" wrapText="1"/>
    </xf>
    <xf numFmtId="0" fontId="56" fillId="6" borderId="9" xfId="0" applyFont="1" applyFill="1" applyBorder="1" applyAlignment="1" applyProtection="1">
      <alignment horizontal="left" vertical="center" wrapText="1"/>
    </xf>
    <xf numFmtId="0" fontId="49" fillId="6" borderId="11" xfId="0" applyFont="1" applyFill="1" applyBorder="1" applyAlignment="1" applyProtection="1">
      <alignment horizontal="left" vertical="center" wrapText="1"/>
    </xf>
    <xf numFmtId="0" fontId="104" fillId="6" borderId="63" xfId="0" applyFont="1" applyFill="1" applyBorder="1" applyAlignment="1" applyProtection="1">
      <alignment horizontal="center" vertical="center"/>
    </xf>
    <xf numFmtId="0" fontId="104" fillId="6" borderId="64" xfId="0" applyFont="1" applyFill="1" applyBorder="1" applyAlignment="1" applyProtection="1">
      <alignment horizontal="center" vertical="center"/>
    </xf>
    <xf numFmtId="0" fontId="104" fillId="6" borderId="65" xfId="0" applyFont="1" applyFill="1" applyBorder="1" applyAlignment="1" applyProtection="1">
      <alignment horizontal="center" vertical="center"/>
    </xf>
    <xf numFmtId="0" fontId="46" fillId="0" borderId="1" xfId="0" applyFont="1" applyBorder="1" applyAlignment="1" applyProtection="1">
      <alignment horizontal="center" vertical="center"/>
      <protection locked="0"/>
    </xf>
    <xf numFmtId="0" fontId="49" fillId="6" borderId="69" xfId="0" applyFont="1" applyFill="1" applyBorder="1" applyAlignment="1" applyProtection="1">
      <alignment horizontal="center" vertical="center"/>
    </xf>
    <xf numFmtId="0" fontId="49" fillId="6" borderId="60" xfId="0" applyFont="1" applyFill="1" applyBorder="1" applyAlignment="1" applyProtection="1">
      <alignment horizontal="center" vertical="center"/>
    </xf>
    <xf numFmtId="0" fontId="49" fillId="6" borderId="5" xfId="0" applyFont="1" applyFill="1" applyBorder="1" applyAlignment="1" applyProtection="1">
      <alignment horizontal="center" vertical="center" wrapText="1"/>
    </xf>
    <xf numFmtId="0" fontId="49" fillId="6" borderId="54" xfId="0" applyFont="1" applyFill="1" applyBorder="1" applyAlignment="1" applyProtection="1">
      <alignment horizontal="center" vertical="center" wrapText="1"/>
    </xf>
    <xf numFmtId="0" fontId="49" fillId="6" borderId="3" xfId="0" applyFont="1" applyFill="1" applyBorder="1" applyAlignment="1" applyProtection="1">
      <alignment horizontal="center" vertical="center" wrapText="1"/>
    </xf>
    <xf numFmtId="0" fontId="48" fillId="6" borderId="23" xfId="0" applyFont="1" applyFill="1" applyBorder="1" applyAlignment="1" applyProtection="1">
      <alignment horizontal="left" vertical="center"/>
    </xf>
    <xf numFmtId="0" fontId="48" fillId="6" borderId="1" xfId="0" applyFont="1" applyFill="1" applyBorder="1" applyAlignment="1" applyProtection="1">
      <alignment horizontal="left" vertical="center"/>
    </xf>
    <xf numFmtId="0" fontId="48" fillId="6" borderId="1" xfId="0" applyFont="1" applyFill="1" applyBorder="1" applyAlignment="1" applyProtection="1">
      <alignment horizontal="left" vertical="center" wrapText="1"/>
    </xf>
    <xf numFmtId="0" fontId="131" fillId="6" borderId="23" xfId="0" applyFont="1" applyFill="1" applyBorder="1" applyAlignment="1" applyProtection="1">
      <alignment horizontal="left" vertical="center"/>
    </xf>
    <xf numFmtId="0" fontId="131" fillId="6" borderId="25" xfId="0" applyFont="1" applyFill="1" applyBorder="1" applyAlignment="1" applyProtection="1">
      <alignment horizontal="left" vertical="center"/>
    </xf>
    <xf numFmtId="0" fontId="49" fillId="6" borderId="19"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protection locked="0"/>
    </xf>
    <xf numFmtId="0" fontId="46" fillId="5" borderId="2" xfId="0" applyFont="1" applyFill="1" applyBorder="1" applyAlignment="1" applyProtection="1">
      <alignment horizontal="left" vertical="center" wrapText="1"/>
      <protection locked="0"/>
    </xf>
    <xf numFmtId="0" fontId="49" fillId="6" borderId="48" xfId="0" applyFont="1" applyFill="1" applyBorder="1" applyAlignment="1" applyProtection="1">
      <alignment horizontal="left" vertical="center" wrapText="1"/>
    </xf>
    <xf numFmtId="0" fontId="56" fillId="6" borderId="18" xfId="0" applyFont="1" applyFill="1" applyBorder="1" applyAlignment="1" applyProtection="1">
      <alignment horizontal="center" vertical="center" wrapText="1"/>
    </xf>
    <xf numFmtId="0" fontId="56" fillId="6" borderId="0" xfId="0" applyFont="1" applyFill="1" applyBorder="1" applyAlignment="1" applyProtection="1">
      <alignment horizontal="center" vertical="center" wrapText="1"/>
    </xf>
    <xf numFmtId="182" fontId="46" fillId="6" borderId="5" xfId="0" applyNumberFormat="1" applyFont="1" applyFill="1" applyBorder="1" applyAlignment="1" applyProtection="1">
      <alignment horizontal="left" vertical="center" wrapText="1"/>
    </xf>
    <xf numFmtId="182" fontId="46" fillId="6" borderId="54" xfId="0" applyNumberFormat="1" applyFont="1" applyFill="1" applyBorder="1" applyAlignment="1" applyProtection="1">
      <alignment horizontal="left" vertical="center" wrapText="1"/>
    </xf>
    <xf numFmtId="182" fontId="46" fillId="6" borderId="3" xfId="0" applyNumberFormat="1"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protection locked="0"/>
    </xf>
    <xf numFmtId="0" fontId="46" fillId="6" borderId="5" xfId="0" applyFont="1" applyFill="1" applyBorder="1" applyAlignment="1" applyProtection="1">
      <alignment horizontal="left" vertical="center" wrapText="1"/>
    </xf>
    <xf numFmtId="0" fontId="46" fillId="6" borderId="54" xfId="0" applyFont="1" applyFill="1" applyBorder="1" applyAlignment="1" applyProtection="1">
      <alignment horizontal="left" vertical="center" wrapText="1"/>
    </xf>
    <xf numFmtId="0" fontId="46" fillId="6" borderId="3" xfId="0" applyFont="1" applyFill="1" applyBorder="1" applyAlignment="1" applyProtection="1">
      <alignment horizontal="left" vertical="center" wrapText="1"/>
    </xf>
    <xf numFmtId="0" fontId="48" fillId="6" borderId="5" xfId="0" applyFont="1" applyFill="1" applyBorder="1" applyAlignment="1" applyProtection="1">
      <alignment horizontal="center" vertical="center"/>
    </xf>
    <xf numFmtId="0" fontId="48" fillId="6" borderId="54" xfId="0" applyFont="1" applyFill="1" applyBorder="1" applyAlignment="1" applyProtection="1">
      <alignment horizontal="center" vertical="center"/>
    </xf>
    <xf numFmtId="0" fontId="48" fillId="6" borderId="3" xfId="0" applyFont="1" applyFill="1" applyBorder="1" applyAlignment="1" applyProtection="1">
      <alignment horizontal="center" vertical="center"/>
    </xf>
    <xf numFmtId="0" fontId="49" fillId="6" borderId="36" xfId="0" applyFont="1" applyFill="1" applyBorder="1" applyAlignment="1" applyProtection="1">
      <alignment horizontal="left" vertical="center"/>
    </xf>
    <xf numFmtId="0" fontId="46" fillId="5" borderId="5" xfId="0" applyFont="1" applyFill="1" applyBorder="1" applyAlignment="1" applyProtection="1">
      <alignment horizontal="left" vertical="center" wrapText="1"/>
      <protection locked="0"/>
    </xf>
    <xf numFmtId="0" fontId="46" fillId="5" borderId="3" xfId="0" applyFont="1" applyFill="1" applyBorder="1" applyAlignment="1" applyProtection="1">
      <alignment horizontal="left" vertical="center" wrapText="1"/>
      <protection locked="0"/>
    </xf>
    <xf numFmtId="0" fontId="106" fillId="6" borderId="1" xfId="0" applyFont="1" applyFill="1" applyBorder="1" applyAlignment="1" applyProtection="1">
      <alignment horizontal="left" vertical="center" wrapText="1"/>
    </xf>
    <xf numFmtId="0" fontId="103" fillId="6" borderId="1" xfId="0" applyFont="1" applyFill="1" applyBorder="1" applyAlignment="1" applyProtection="1">
      <alignment horizontal="left" vertical="center" wrapText="1"/>
    </xf>
    <xf numFmtId="0" fontId="103" fillId="6" borderId="13" xfId="0" applyFont="1" applyFill="1" applyBorder="1" applyAlignment="1" applyProtection="1">
      <alignment horizontal="left" vertical="center" wrapText="1"/>
    </xf>
    <xf numFmtId="0" fontId="103" fillId="6" borderId="2" xfId="0" applyFont="1" applyFill="1" applyBorder="1" applyAlignment="1" applyProtection="1">
      <alignment horizontal="left" vertical="center" wrapText="1"/>
    </xf>
    <xf numFmtId="0" fontId="49" fillId="6" borderId="25" xfId="0" applyFont="1" applyFill="1" applyBorder="1" applyAlignment="1" applyProtection="1">
      <alignment horizontal="left" vertical="center" wrapText="1"/>
    </xf>
    <xf numFmtId="0" fontId="49" fillId="6" borderId="32" xfId="0" applyFont="1" applyFill="1" applyBorder="1" applyAlignment="1" applyProtection="1">
      <alignment horizontal="left" vertical="center" wrapText="1"/>
    </xf>
    <xf numFmtId="0" fontId="49" fillId="6" borderId="61" xfId="0" applyFont="1" applyFill="1" applyBorder="1" applyAlignment="1" applyProtection="1">
      <alignment horizontal="left" vertical="center"/>
    </xf>
    <xf numFmtId="0" fontId="49" fillId="6" borderId="53" xfId="0" applyFont="1" applyFill="1" applyBorder="1" applyAlignment="1" applyProtection="1">
      <alignment horizontal="left" vertical="center"/>
    </xf>
    <xf numFmtId="0" fontId="49" fillId="6" borderId="8" xfId="0" applyFont="1" applyFill="1" applyBorder="1" applyAlignment="1" applyProtection="1">
      <alignment horizontal="left" vertical="center"/>
    </xf>
    <xf numFmtId="0" fontId="108" fillId="6" borderId="106" xfId="0" applyFont="1" applyFill="1" applyBorder="1" applyProtection="1">
      <alignment vertical="center"/>
    </xf>
    <xf numFmtId="0" fontId="108" fillId="6" borderId="107" xfId="0" applyFont="1" applyFill="1" applyBorder="1" applyProtection="1">
      <alignment vertical="center"/>
    </xf>
    <xf numFmtId="0" fontId="48" fillId="6" borderId="23" xfId="0" applyFont="1" applyFill="1" applyBorder="1" applyAlignment="1" applyProtection="1">
      <alignment horizontal="left" vertical="center" wrapText="1"/>
    </xf>
    <xf numFmtId="0" fontId="48" fillId="6" borderId="25" xfId="0" applyFont="1" applyFill="1" applyBorder="1" applyAlignment="1" applyProtection="1">
      <alignment horizontal="left" vertical="center" wrapText="1"/>
    </xf>
    <xf numFmtId="0" fontId="48" fillId="6" borderId="32" xfId="0" applyFont="1" applyFill="1" applyBorder="1" applyAlignment="1" applyProtection="1">
      <alignment horizontal="left" vertical="center" wrapText="1"/>
    </xf>
    <xf numFmtId="0" fontId="48" fillId="6" borderId="5" xfId="0" applyFont="1" applyFill="1" applyBorder="1" applyAlignment="1" applyProtection="1">
      <alignment horizontal="left" vertical="center" wrapText="1"/>
    </xf>
    <xf numFmtId="0" fontId="48" fillId="6" borderId="54" xfId="0" applyFont="1" applyFill="1" applyBorder="1" applyAlignment="1" applyProtection="1">
      <alignment horizontal="left" vertical="center" wrapText="1"/>
    </xf>
    <xf numFmtId="0" fontId="48" fillId="6" borderId="3" xfId="0" applyFont="1" applyFill="1" applyBorder="1" applyAlignment="1" applyProtection="1">
      <alignment horizontal="left" vertical="center" wrapText="1"/>
    </xf>
    <xf numFmtId="0" fontId="48" fillId="5" borderId="37" xfId="0" applyFont="1" applyFill="1" applyBorder="1" applyAlignment="1" applyProtection="1">
      <alignment horizontal="left" vertical="center" wrapText="1"/>
      <protection locked="0"/>
    </xf>
    <xf numFmtId="0" fontId="48" fillId="5" borderId="3" xfId="0" applyFont="1" applyFill="1" applyBorder="1" applyAlignment="1" applyProtection="1">
      <alignment horizontal="left" vertical="center" wrapText="1"/>
      <protection locked="0"/>
    </xf>
    <xf numFmtId="0" fontId="106" fillId="6" borderId="1" xfId="0" applyFont="1" applyFill="1" applyBorder="1" applyAlignment="1" applyProtection="1">
      <alignment horizontal="center" vertical="center" wrapText="1"/>
    </xf>
    <xf numFmtId="0" fontId="132" fillId="6" borderId="1" xfId="0" applyFont="1" applyFill="1" applyBorder="1" applyAlignment="1" applyProtection="1">
      <alignment horizontal="center" vertical="center" wrapText="1"/>
      <protection locked="0"/>
    </xf>
    <xf numFmtId="192" fontId="132" fillId="6" borderId="1" xfId="0" applyNumberFormat="1" applyFont="1" applyFill="1" applyBorder="1" applyAlignment="1" applyProtection="1">
      <alignment horizontal="center" vertical="center" wrapText="1"/>
    </xf>
    <xf numFmtId="0" fontId="132" fillId="6" borderId="1" xfId="0" applyFont="1" applyFill="1" applyBorder="1" applyAlignment="1" applyProtection="1">
      <alignment horizontal="center" vertical="center" wrapText="1"/>
    </xf>
    <xf numFmtId="0" fontId="48" fillId="6" borderId="3" xfId="0" applyFont="1" applyFill="1" applyBorder="1" applyAlignment="1" applyProtection="1">
      <alignment horizontal="left" vertical="center"/>
    </xf>
    <xf numFmtId="0" fontId="49" fillId="6" borderId="5" xfId="0" applyFont="1" applyFill="1" applyBorder="1" applyAlignment="1" applyProtection="1">
      <alignment horizontal="left" vertical="center"/>
    </xf>
    <xf numFmtId="0" fontId="49" fillId="6" borderId="54" xfId="0" applyFont="1" applyFill="1" applyBorder="1" applyAlignment="1" applyProtection="1">
      <alignment horizontal="left" vertical="center"/>
    </xf>
    <xf numFmtId="0" fontId="172" fillId="6" borderId="1" xfId="0" applyFont="1" applyFill="1" applyBorder="1" applyAlignment="1">
      <alignment horizontal="left" vertical="center" wrapText="1"/>
    </xf>
    <xf numFmtId="0" fontId="49" fillId="6" borderId="3" xfId="0" applyFont="1" applyFill="1" applyBorder="1" applyAlignment="1" applyProtection="1">
      <alignment horizontal="left" vertical="center"/>
    </xf>
    <xf numFmtId="10" fontId="79" fillId="6" borderId="1" xfId="0" applyNumberFormat="1" applyFont="1" applyFill="1" applyBorder="1" applyAlignment="1" applyProtection="1">
      <alignment horizontal="left" vertical="center" wrapText="1"/>
    </xf>
    <xf numFmtId="10" fontId="49" fillId="6" borderId="1" xfId="0" applyNumberFormat="1" applyFont="1" applyFill="1" applyBorder="1" applyAlignment="1" applyProtection="1">
      <alignment horizontal="left" vertical="center" wrapText="1"/>
    </xf>
    <xf numFmtId="186" fontId="53" fillId="6" borderId="1" xfId="0" applyNumberFormat="1" applyFont="1" applyFill="1" applyBorder="1" applyAlignment="1" applyProtection="1">
      <alignment horizontal="center" vertical="center"/>
    </xf>
    <xf numFmtId="0" fontId="53" fillId="6" borderId="5" xfId="0" applyFont="1" applyFill="1" applyBorder="1" applyAlignment="1" applyProtection="1">
      <alignment horizontal="center" vertical="center" wrapText="1"/>
    </xf>
    <xf numFmtId="0" fontId="53" fillId="6" borderId="3" xfId="0" applyFont="1" applyFill="1" applyBorder="1" applyAlignment="1" applyProtection="1">
      <alignment horizontal="center" vertical="center" wrapText="1"/>
    </xf>
    <xf numFmtId="186" fontId="52" fillId="19" borderId="1" xfId="0" applyNumberFormat="1" applyFont="1" applyFill="1" applyBorder="1" applyAlignment="1" applyProtection="1">
      <alignment horizontal="center" vertical="center"/>
    </xf>
    <xf numFmtId="0" fontId="53" fillId="6" borderId="6" xfId="0" applyFont="1" applyFill="1" applyBorder="1" applyAlignment="1" applyProtection="1">
      <alignment horizontal="center" vertical="center" wrapText="1"/>
    </xf>
    <xf numFmtId="0" fontId="53" fillId="6" borderId="9" xfId="0" applyFont="1" applyFill="1" applyBorder="1" applyAlignment="1" applyProtection="1">
      <alignment horizontal="center" vertical="center" wrapText="1"/>
    </xf>
    <xf numFmtId="0" fontId="53" fillId="6" borderId="23" xfId="0" applyFont="1" applyFill="1" applyBorder="1" applyAlignment="1" applyProtection="1">
      <alignment horizontal="center" vertical="center" wrapText="1"/>
    </xf>
    <xf numFmtId="0" fontId="53" fillId="6" borderId="1" xfId="0" applyFont="1" applyFill="1" applyBorder="1" applyAlignment="1" applyProtection="1">
      <alignment horizontal="center" vertical="center" wrapText="1"/>
    </xf>
    <xf numFmtId="0" fontId="103" fillId="6" borderId="23" xfId="0" applyFont="1" applyFill="1" applyBorder="1" applyAlignment="1" applyProtection="1">
      <alignment horizontal="center" vertical="center"/>
    </xf>
    <xf numFmtId="0" fontId="53" fillId="6" borderId="13" xfId="0" applyFont="1" applyFill="1" applyBorder="1" applyAlignment="1" applyProtection="1">
      <alignment horizontal="center" vertical="center" wrapText="1"/>
    </xf>
    <xf numFmtId="0" fontId="53" fillId="6" borderId="15" xfId="0" applyFont="1" applyFill="1" applyBorder="1" applyAlignment="1" applyProtection="1">
      <alignment horizontal="center" vertical="center" wrapText="1"/>
    </xf>
    <xf numFmtId="0" fontId="53" fillId="6" borderId="13" xfId="0" applyFont="1" applyFill="1" applyBorder="1" applyAlignment="1" applyProtection="1">
      <alignment horizontal="center" vertical="center" textRotation="255" wrapText="1"/>
    </xf>
    <xf numFmtId="0" fontId="53" fillId="6" borderId="15" xfId="0" applyFont="1" applyFill="1" applyBorder="1" applyAlignment="1" applyProtection="1">
      <alignment horizontal="center" vertical="center" textRotation="255" wrapText="1"/>
    </xf>
    <xf numFmtId="0" fontId="53" fillId="6" borderId="1" xfId="0" applyFont="1" applyFill="1" applyBorder="1" applyAlignment="1" applyProtection="1">
      <alignment horizontal="center" vertical="center"/>
    </xf>
    <xf numFmtId="0" fontId="53" fillId="6" borderId="13" xfId="0" applyFont="1" applyFill="1" applyBorder="1" applyAlignment="1" applyProtection="1">
      <alignment horizontal="center" vertical="center"/>
    </xf>
    <xf numFmtId="0" fontId="53" fillId="6" borderId="15" xfId="0" applyFont="1" applyFill="1" applyBorder="1" applyAlignment="1" applyProtection="1">
      <alignment horizontal="center" vertical="center"/>
    </xf>
    <xf numFmtId="0" fontId="53" fillId="6" borderId="2" xfId="0" applyFont="1" applyFill="1" applyBorder="1" applyAlignment="1" applyProtection="1">
      <alignment horizontal="center" vertical="center"/>
    </xf>
    <xf numFmtId="0" fontId="53" fillId="6" borderId="10" xfId="0" applyFont="1" applyFill="1" applyBorder="1" applyAlignment="1" applyProtection="1">
      <alignment horizontal="center" vertical="center" wrapText="1"/>
    </xf>
    <xf numFmtId="0" fontId="53" fillId="6" borderId="30" xfId="0" applyFont="1" applyFill="1" applyBorder="1" applyAlignment="1" applyProtection="1">
      <alignment horizontal="center" vertical="center" wrapText="1"/>
    </xf>
    <xf numFmtId="0" fontId="53" fillId="6" borderId="28" xfId="0" applyFont="1" applyFill="1" applyBorder="1" applyAlignment="1" applyProtection="1">
      <alignment horizontal="center" vertical="center" wrapText="1"/>
    </xf>
    <xf numFmtId="0" fontId="53" fillId="6" borderId="46" xfId="0" applyFont="1" applyFill="1" applyBorder="1" applyAlignment="1" applyProtection="1">
      <alignment horizontal="center" vertical="center" wrapText="1"/>
    </xf>
    <xf numFmtId="0" fontId="53" fillId="6" borderId="22" xfId="0" applyFont="1" applyFill="1" applyBorder="1" applyAlignment="1" applyProtection="1">
      <alignment horizontal="center" vertical="center" wrapText="1"/>
    </xf>
    <xf numFmtId="0" fontId="53" fillId="6" borderId="58" xfId="0" applyFont="1" applyFill="1" applyBorder="1" applyAlignment="1" applyProtection="1">
      <alignment horizontal="center" vertical="center" wrapText="1"/>
    </xf>
    <xf numFmtId="0" fontId="53" fillId="6" borderId="35" xfId="0" applyFont="1" applyFill="1" applyBorder="1" applyAlignment="1" applyProtection="1">
      <alignment horizontal="center" vertical="center" wrapText="1"/>
    </xf>
    <xf numFmtId="0" fontId="53" fillId="6" borderId="4" xfId="0" applyFont="1" applyFill="1" applyBorder="1" applyAlignment="1" applyProtection="1">
      <alignment horizontal="center" vertical="center" wrapText="1"/>
    </xf>
    <xf numFmtId="0" fontId="53" fillId="6" borderId="7" xfId="0" applyFont="1" applyFill="1" applyBorder="1" applyAlignment="1" applyProtection="1">
      <alignment horizontal="center" vertical="center" wrapText="1"/>
    </xf>
    <xf numFmtId="0" fontId="53" fillId="6" borderId="46" xfId="0" applyFont="1" applyFill="1" applyBorder="1" applyAlignment="1" applyProtection="1">
      <alignment horizontal="center" vertical="center"/>
    </xf>
    <xf numFmtId="0" fontId="53" fillId="6" borderId="22" xfId="0" applyFont="1" applyFill="1" applyBorder="1" applyAlignment="1" applyProtection="1">
      <alignment horizontal="center" vertical="center"/>
    </xf>
    <xf numFmtId="0" fontId="53" fillId="6" borderId="58" xfId="0" applyFont="1" applyFill="1" applyBorder="1" applyAlignment="1" applyProtection="1">
      <alignment horizontal="center" vertical="center"/>
    </xf>
    <xf numFmtId="0" fontId="53" fillId="6" borderId="35" xfId="0" applyFont="1" applyFill="1" applyBorder="1" applyAlignment="1" applyProtection="1">
      <alignment horizontal="center" vertical="center"/>
    </xf>
    <xf numFmtId="0" fontId="53" fillId="6" borderId="4" xfId="0" applyFont="1" applyFill="1" applyBorder="1" applyAlignment="1" applyProtection="1">
      <alignment horizontal="center" vertical="center"/>
    </xf>
    <xf numFmtId="0" fontId="53" fillId="6" borderId="7" xfId="0" applyFont="1" applyFill="1" applyBorder="1" applyAlignment="1" applyProtection="1">
      <alignment horizontal="center" vertical="center"/>
    </xf>
    <xf numFmtId="0" fontId="175" fillId="0" borderId="11" xfId="0" applyFont="1" applyFill="1" applyBorder="1" applyAlignment="1" applyProtection="1">
      <alignment horizontal="center" vertical="center" wrapText="1"/>
      <protection locked="0"/>
    </xf>
    <xf numFmtId="0" fontId="175" fillId="0" borderId="61" xfId="0" applyFont="1" applyFill="1" applyBorder="1" applyAlignment="1" applyProtection="1">
      <alignment horizontal="center" vertical="center" wrapText="1"/>
      <protection locked="0"/>
    </xf>
    <xf numFmtId="0" fontId="175" fillId="0" borderId="23" xfId="0" applyFont="1" applyFill="1" applyBorder="1" applyAlignment="1" applyProtection="1">
      <alignment horizontal="center" vertical="center" wrapText="1"/>
      <protection locked="0"/>
    </xf>
    <xf numFmtId="0" fontId="175" fillId="0" borderId="24" xfId="0" applyFont="1" applyFill="1" applyBorder="1" applyAlignment="1" applyProtection="1">
      <alignment horizontal="center" vertical="center" wrapText="1"/>
      <protection locked="0"/>
    </xf>
    <xf numFmtId="0" fontId="46" fillId="6" borderId="5" xfId="0" applyFont="1" applyFill="1" applyBorder="1" applyAlignment="1" applyProtection="1">
      <alignment horizontal="center" vertical="center"/>
    </xf>
    <xf numFmtId="0" fontId="46" fillId="6" borderId="3" xfId="0" applyFont="1" applyFill="1" applyBorder="1" applyAlignment="1" applyProtection="1">
      <alignment horizontal="center" vertical="center"/>
    </xf>
    <xf numFmtId="0" fontId="46" fillId="6" borderId="54" xfId="0" applyFont="1" applyFill="1" applyBorder="1" applyAlignment="1" applyProtection="1">
      <alignment horizontal="center" vertical="center"/>
    </xf>
    <xf numFmtId="0" fontId="175" fillId="0" borderId="22" xfId="0" applyFont="1" applyFill="1" applyBorder="1" applyAlignment="1" applyProtection="1">
      <alignment horizontal="center" vertical="center" wrapText="1"/>
      <protection locked="0"/>
    </xf>
    <xf numFmtId="0" fontId="175" fillId="0" borderId="46" xfId="0" applyFont="1" applyFill="1" applyBorder="1" applyAlignment="1" applyProtection="1">
      <alignment horizontal="center" vertical="center" wrapText="1"/>
      <protection locked="0"/>
    </xf>
    <xf numFmtId="0" fontId="175" fillId="0" borderId="3" xfId="0" applyFont="1" applyFill="1" applyBorder="1" applyAlignment="1" applyProtection="1">
      <alignment horizontal="center" vertical="center" wrapText="1"/>
      <protection locked="0"/>
    </xf>
    <xf numFmtId="0" fontId="175" fillId="0" borderId="5" xfId="0" applyFont="1" applyFill="1" applyBorder="1" applyAlignment="1" applyProtection="1">
      <alignment horizontal="center" vertical="center" wrapText="1"/>
      <protection locked="0"/>
    </xf>
    <xf numFmtId="0" fontId="55" fillId="6" borderId="54" xfId="8" applyFont="1" applyFill="1" applyBorder="1" applyAlignment="1" applyProtection="1">
      <alignment horizontal="right" vertical="center" wrapText="1"/>
      <protection locked="0"/>
    </xf>
    <xf numFmtId="0" fontId="55" fillId="6" borderId="3" xfId="8" applyFont="1" applyFill="1" applyBorder="1" applyAlignment="1" applyProtection="1">
      <alignment horizontal="right" vertical="center" wrapText="1"/>
      <protection locked="0"/>
    </xf>
    <xf numFmtId="0" fontId="55" fillId="6" borderId="3" xfId="8" applyFont="1" applyFill="1" applyBorder="1" applyAlignment="1" applyProtection="1">
      <alignment horizontal="center" vertical="center" wrapText="1"/>
      <protection locked="0"/>
    </xf>
    <xf numFmtId="0" fontId="59" fillId="6" borderId="5" xfId="0" applyFont="1" applyFill="1" applyBorder="1" applyAlignment="1" applyProtection="1">
      <alignment horizontal="center" vertical="center" wrapText="1"/>
    </xf>
    <xf numFmtId="0" fontId="59" fillId="6" borderId="54" xfId="0" applyFont="1" applyFill="1" applyBorder="1" applyAlignment="1" applyProtection="1">
      <alignment horizontal="center" vertical="center" wrapText="1"/>
    </xf>
    <xf numFmtId="0" fontId="59" fillId="6" borderId="0" xfId="0" applyFont="1" applyFill="1" applyBorder="1" applyAlignment="1" applyProtection="1">
      <alignment horizontal="center" vertical="center" wrapText="1"/>
    </xf>
    <xf numFmtId="0" fontId="59" fillId="6" borderId="22" xfId="0" applyFont="1" applyFill="1" applyBorder="1" applyAlignment="1" applyProtection="1">
      <alignment horizontal="center" vertical="center" wrapText="1"/>
    </xf>
    <xf numFmtId="49" fontId="55" fillId="6" borderId="40" xfId="0" applyNumberFormat="1" applyFont="1" applyFill="1" applyBorder="1" applyAlignment="1" applyProtection="1">
      <alignment horizontal="center" vertical="center" wrapText="1"/>
    </xf>
    <xf numFmtId="49" fontId="55" fillId="6" borderId="14" xfId="0" applyNumberFormat="1" applyFont="1" applyFill="1" applyBorder="1" applyAlignment="1" applyProtection="1">
      <alignment horizontal="center" vertical="center" wrapText="1"/>
    </xf>
    <xf numFmtId="49" fontId="102" fillId="6" borderId="18" xfId="0" applyNumberFormat="1" applyFont="1" applyFill="1" applyBorder="1" applyAlignment="1" applyProtection="1">
      <alignment horizontal="center" vertical="center" wrapText="1"/>
    </xf>
    <xf numFmtId="49" fontId="102" fillId="6" borderId="12" xfId="0" applyNumberFormat="1" applyFont="1" applyFill="1" applyBorder="1" applyAlignment="1" applyProtection="1">
      <alignment horizontal="center" vertical="center" wrapText="1"/>
    </xf>
    <xf numFmtId="49" fontId="55" fillId="6" borderId="12" xfId="0" applyNumberFormat="1" applyFont="1" applyFill="1" applyBorder="1" applyAlignment="1" applyProtection="1">
      <alignment horizontal="center" vertical="center" wrapText="1"/>
    </xf>
    <xf numFmtId="0" fontId="106" fillId="6" borderId="0" xfId="0" applyFont="1" applyFill="1" applyAlignment="1" applyProtection="1">
      <alignment horizontal="center" vertical="center"/>
    </xf>
    <xf numFmtId="0" fontId="103" fillId="0" borderId="0" xfId="0" applyFont="1" applyAlignment="1" applyProtection="1">
      <alignment horizontal="left" vertical="center"/>
    </xf>
    <xf numFmtId="0" fontId="103" fillId="6" borderId="1" xfId="0" applyFont="1" applyFill="1" applyBorder="1" applyAlignment="1" applyProtection="1">
      <alignment horizontal="center" vertical="center"/>
    </xf>
    <xf numFmtId="0" fontId="103" fillId="6" borderId="13" xfId="0" applyFont="1" applyFill="1" applyBorder="1" applyAlignment="1" applyProtection="1">
      <alignment horizontal="center" vertical="center"/>
    </xf>
    <xf numFmtId="0" fontId="103" fillId="6" borderId="15" xfId="0" applyFont="1" applyFill="1" applyBorder="1" applyAlignment="1" applyProtection="1">
      <alignment horizontal="center" vertical="center"/>
    </xf>
    <xf numFmtId="0" fontId="103" fillId="6" borderId="2" xfId="0" applyFont="1" applyFill="1" applyBorder="1" applyAlignment="1" applyProtection="1">
      <alignment horizontal="center" vertical="center"/>
    </xf>
    <xf numFmtId="0" fontId="103" fillId="6" borderId="13" xfId="0" applyFont="1" applyFill="1" applyBorder="1" applyAlignment="1" applyProtection="1">
      <alignment horizontal="center" vertical="center" wrapText="1"/>
    </xf>
    <xf numFmtId="0" fontId="103" fillId="6" borderId="2" xfId="0" applyFont="1" applyFill="1" applyBorder="1" applyAlignment="1" applyProtection="1">
      <alignment horizontal="center" vertical="center" wrapText="1"/>
    </xf>
    <xf numFmtId="0" fontId="145" fillId="6" borderId="13" xfId="0" applyFont="1" applyFill="1" applyBorder="1" applyAlignment="1" applyProtection="1">
      <alignment vertical="center" wrapText="1"/>
    </xf>
    <xf numFmtId="0" fontId="145" fillId="6" borderId="15" xfId="0" applyFont="1" applyFill="1" applyBorder="1" applyAlignment="1" applyProtection="1">
      <alignment vertical="center" wrapText="1"/>
    </xf>
    <xf numFmtId="0" fontId="145" fillId="6" borderId="2" xfId="0" applyFont="1" applyFill="1" applyBorder="1" applyAlignment="1" applyProtection="1">
      <alignment vertical="center" wrapText="1"/>
    </xf>
    <xf numFmtId="0" fontId="55" fillId="6" borderId="29" xfId="0" applyFont="1" applyFill="1" applyBorder="1" applyAlignment="1" applyProtection="1">
      <alignment horizontal="center" vertical="center" wrapText="1"/>
    </xf>
    <xf numFmtId="0" fontId="55" fillId="6" borderId="39" xfId="0" applyFont="1" applyFill="1" applyBorder="1" applyAlignment="1" applyProtection="1">
      <alignment horizontal="center" vertical="center" wrapText="1"/>
    </xf>
    <xf numFmtId="0" fontId="144" fillId="6" borderId="13" xfId="0" applyFont="1" applyFill="1" applyBorder="1" applyAlignment="1" applyProtection="1">
      <alignment vertical="center" wrapText="1"/>
    </xf>
    <xf numFmtId="0" fontId="55" fillId="0" borderId="61" xfId="0" applyFont="1" applyFill="1" applyBorder="1" applyAlignment="1" applyProtection="1">
      <alignment horizontal="left" vertical="center"/>
    </xf>
    <xf numFmtId="0" fontId="55" fillId="0" borderId="53" xfId="0" applyFont="1" applyFill="1" applyBorder="1" applyAlignment="1" applyProtection="1">
      <alignment horizontal="left" vertical="center"/>
    </xf>
    <xf numFmtId="0" fontId="55" fillId="0" borderId="8" xfId="0" applyFont="1" applyFill="1" applyBorder="1" applyAlignment="1" applyProtection="1">
      <alignment horizontal="left" vertical="center"/>
    </xf>
    <xf numFmtId="0" fontId="55" fillId="6" borderId="61" xfId="0" applyFont="1" applyFill="1" applyBorder="1" applyAlignment="1" applyProtection="1">
      <alignment horizontal="left" vertical="center"/>
    </xf>
    <xf numFmtId="0" fontId="55" fillId="6" borderId="53" xfId="0" applyFont="1" applyFill="1" applyBorder="1" applyAlignment="1" applyProtection="1">
      <alignment horizontal="left" vertical="center"/>
    </xf>
    <xf numFmtId="0" fontId="55" fillId="6" borderId="8" xfId="0" applyFont="1" applyFill="1" applyBorder="1" applyAlignment="1" applyProtection="1">
      <alignment horizontal="left" vertical="center"/>
    </xf>
    <xf numFmtId="0" fontId="118" fillId="6" borderId="34" xfId="0" applyFont="1" applyFill="1" applyBorder="1" applyAlignment="1" applyProtection="1">
      <alignment horizontal="left" vertical="center" wrapText="1"/>
    </xf>
    <xf numFmtId="0" fontId="118" fillId="6" borderId="65" xfId="0" applyFont="1" applyFill="1" applyBorder="1" applyAlignment="1" applyProtection="1">
      <alignment horizontal="left" vertical="center" wrapText="1"/>
    </xf>
    <xf numFmtId="0" fontId="49" fillId="6" borderId="13" xfId="0" applyFont="1" applyFill="1" applyBorder="1" applyAlignment="1" applyProtection="1">
      <alignment vertical="top" wrapText="1"/>
    </xf>
    <xf numFmtId="0" fontId="49" fillId="6" borderId="15" xfId="0" applyFont="1" applyFill="1" applyBorder="1" applyAlignment="1" applyProtection="1">
      <alignment vertical="top" wrapText="1"/>
    </xf>
    <xf numFmtId="0" fontId="49" fillId="6" borderId="2" xfId="0" applyFont="1" applyFill="1" applyBorder="1" applyAlignment="1" applyProtection="1">
      <alignment vertical="top" wrapText="1"/>
    </xf>
    <xf numFmtId="0" fontId="217" fillId="6" borderId="5" xfId="0" applyFont="1" applyFill="1" applyBorder="1" applyAlignment="1">
      <alignment horizontal="center" vertical="center"/>
    </xf>
    <xf numFmtId="0" fontId="217" fillId="6" borderId="3" xfId="0" applyFont="1" applyFill="1" applyBorder="1" applyAlignment="1">
      <alignment horizontal="center" vertical="center"/>
    </xf>
    <xf numFmtId="0" fontId="142" fillId="11" borderId="5" xfId="0" applyFont="1" applyFill="1" applyBorder="1" applyAlignment="1">
      <alignment horizontal="left" vertical="center"/>
    </xf>
    <xf numFmtId="0" fontId="142" fillId="11" borderId="54" xfId="0" applyFont="1" applyFill="1" applyBorder="1" applyAlignment="1">
      <alignment horizontal="left" vertical="center"/>
    </xf>
    <xf numFmtId="0" fontId="142" fillId="11" borderId="3" xfId="0" applyFont="1" applyFill="1" applyBorder="1" applyAlignment="1">
      <alignment horizontal="left" vertical="center"/>
    </xf>
    <xf numFmtId="0" fontId="83" fillId="11" borderId="1" xfId="0" applyFont="1" applyFill="1" applyBorder="1" applyAlignment="1">
      <alignment horizontal="center" vertical="center"/>
    </xf>
    <xf numFmtId="0" fontId="19" fillId="0" borderId="1" xfId="0" applyFont="1" applyBorder="1" applyAlignment="1">
      <alignment horizontal="center"/>
    </xf>
    <xf numFmtId="0" fontId="19" fillId="0" borderId="1" xfId="0" applyFont="1" applyBorder="1" applyAlignment="1"/>
    <xf numFmtId="0" fontId="83" fillId="6" borderId="23" xfId="0" applyFont="1" applyFill="1" applyBorder="1" applyAlignment="1">
      <alignment horizontal="left" vertical="center" wrapText="1"/>
    </xf>
    <xf numFmtId="0" fontId="19" fillId="0" borderId="1" xfId="0" applyFont="1" applyFill="1" applyBorder="1" applyAlignment="1">
      <alignment horizontal="center" vertical="center"/>
    </xf>
    <xf numFmtId="0" fontId="83" fillId="0" borderId="1" xfId="0" applyFont="1" applyFill="1" applyBorder="1" applyAlignment="1">
      <alignment horizontal="center" vertical="center"/>
    </xf>
    <xf numFmtId="0" fontId="83" fillId="6" borderId="1" xfId="0" applyFont="1" applyFill="1" applyBorder="1" applyAlignment="1">
      <alignment horizontal="left" vertical="center" wrapText="1"/>
    </xf>
    <xf numFmtId="0" fontId="142" fillId="6" borderId="55" xfId="0" applyFont="1" applyFill="1" applyBorder="1" applyAlignment="1">
      <alignment vertical="center"/>
    </xf>
    <xf numFmtId="0" fontId="142" fillId="6" borderId="36" xfId="0" applyFont="1" applyFill="1" applyBorder="1" applyAlignment="1">
      <alignment vertical="center"/>
    </xf>
    <xf numFmtId="0" fontId="142" fillId="6" borderId="22" xfId="0" applyFont="1" applyFill="1" applyBorder="1" applyAlignment="1">
      <alignment vertical="center"/>
    </xf>
    <xf numFmtId="0" fontId="142" fillId="6" borderId="42" xfId="0" applyFont="1" applyFill="1" applyBorder="1" applyAlignment="1">
      <alignment vertical="center"/>
    </xf>
    <xf numFmtId="0" fontId="142" fillId="6" borderId="47" xfId="0" applyFont="1" applyFill="1" applyBorder="1" applyAlignment="1">
      <alignment vertical="center"/>
    </xf>
    <xf numFmtId="0" fontId="142" fillId="6" borderId="73" xfId="0" applyFont="1" applyFill="1" applyBorder="1" applyAlignment="1">
      <alignment vertical="center"/>
    </xf>
    <xf numFmtId="0" fontId="139" fillId="6" borderId="37" xfId="0" applyFont="1" applyFill="1" applyBorder="1" applyAlignment="1">
      <alignment horizontal="left" vertical="center"/>
    </xf>
    <xf numFmtId="0" fontId="139" fillId="6" borderId="54" xfId="0" applyFont="1" applyFill="1" applyBorder="1" applyAlignment="1">
      <alignment horizontal="left" vertical="center"/>
    </xf>
    <xf numFmtId="0" fontId="139" fillId="6" borderId="3" xfId="0" applyFont="1" applyFill="1" applyBorder="1" applyAlignment="1">
      <alignment horizontal="left" vertical="center"/>
    </xf>
    <xf numFmtId="0" fontId="141" fillId="6" borderId="1" xfId="0" applyFont="1" applyFill="1" applyBorder="1" applyAlignment="1">
      <alignment horizontal="center" vertical="center"/>
    </xf>
    <xf numFmtId="0" fontId="141" fillId="6" borderId="24" xfId="0" applyFont="1" applyFill="1" applyBorder="1" applyAlignment="1">
      <alignment horizontal="center" vertical="center"/>
    </xf>
    <xf numFmtId="0" fontId="52" fillId="19" borderId="1" xfId="0" applyNumberFormat="1" applyFont="1" applyFill="1" applyBorder="1" applyAlignment="1" applyProtection="1">
      <alignment horizontal="center" vertical="center"/>
    </xf>
    <xf numFmtId="0" fontId="53" fillId="6" borderId="1" xfId="0" applyNumberFormat="1" applyFont="1" applyFill="1" applyBorder="1" applyAlignment="1" applyProtection="1">
      <alignment horizontal="center" vertical="center"/>
    </xf>
    <xf numFmtId="0" fontId="53" fillId="6" borderId="11" xfId="0" applyFont="1" applyFill="1" applyBorder="1" applyAlignment="1" applyProtection="1">
      <alignment horizontal="center" vertical="center" textRotation="255" wrapText="1"/>
    </xf>
    <xf numFmtId="0" fontId="53" fillId="6" borderId="14" xfId="0" applyFont="1" applyFill="1" applyBorder="1" applyAlignment="1" applyProtection="1">
      <alignment horizontal="center" vertical="center" textRotation="255" wrapText="1"/>
    </xf>
    <xf numFmtId="0" fontId="53" fillId="6" borderId="41" xfId="0" applyFont="1" applyFill="1" applyBorder="1" applyAlignment="1" applyProtection="1">
      <alignment horizontal="center" vertical="center" textRotation="255" wrapText="1"/>
    </xf>
    <xf numFmtId="0" fontId="53" fillId="6" borderId="2" xfId="0" applyFont="1" applyFill="1" applyBorder="1" applyAlignment="1" applyProtection="1">
      <alignment horizontal="center" vertical="center" textRotation="255" wrapText="1"/>
    </xf>
    <xf numFmtId="0" fontId="53" fillId="6" borderId="11" xfId="0" applyFont="1" applyFill="1" applyBorder="1" applyAlignment="1" applyProtection="1">
      <alignment horizontal="center" vertical="center" wrapText="1"/>
    </xf>
    <xf numFmtId="0" fontId="53" fillId="6" borderId="14" xfId="0" applyFont="1" applyFill="1" applyBorder="1" applyAlignment="1" applyProtection="1">
      <alignment horizontal="center" vertical="center" wrapText="1"/>
    </xf>
    <xf numFmtId="0" fontId="53" fillId="6" borderId="38" xfId="0" applyFont="1" applyFill="1" applyBorder="1" applyAlignment="1" applyProtection="1">
      <alignment horizontal="center" vertical="center" wrapText="1"/>
    </xf>
    <xf numFmtId="0" fontId="53" fillId="6" borderId="66" xfId="0" applyFont="1" applyFill="1" applyBorder="1" applyAlignment="1" applyProtection="1">
      <alignment horizontal="center" vertical="center" wrapText="1"/>
    </xf>
    <xf numFmtId="0" fontId="52" fillId="6" borderId="32" xfId="0" applyNumberFormat="1" applyFont="1" applyFill="1" applyBorder="1" applyAlignment="1" applyProtection="1">
      <alignment horizontal="center" vertical="center"/>
    </xf>
    <xf numFmtId="0" fontId="53" fillId="6" borderId="62" xfId="0" applyFont="1" applyFill="1" applyBorder="1" applyAlignment="1" applyProtection="1">
      <alignment horizontal="center" vertical="center"/>
    </xf>
    <xf numFmtId="0" fontId="53" fillId="6" borderId="53" xfId="0" applyFont="1" applyFill="1" applyBorder="1" applyAlignment="1" applyProtection="1">
      <alignment horizontal="center" vertical="center"/>
    </xf>
    <xf numFmtId="0" fontId="53" fillId="6" borderId="8" xfId="0" applyFont="1" applyFill="1" applyBorder="1" applyAlignment="1" applyProtection="1">
      <alignment horizontal="center" vertical="center"/>
    </xf>
    <xf numFmtId="0" fontId="53" fillId="6" borderId="16" xfId="0" applyFont="1" applyFill="1" applyBorder="1" applyAlignment="1" applyProtection="1">
      <alignment horizontal="center" vertical="center" wrapText="1"/>
    </xf>
    <xf numFmtId="0" fontId="53" fillId="6" borderId="39" xfId="0" applyFont="1" applyFill="1" applyBorder="1" applyAlignment="1" applyProtection="1">
      <alignment horizontal="center" vertical="center" wrapText="1"/>
    </xf>
    <xf numFmtId="0" fontId="53" fillId="6" borderId="18" xfId="0" applyFont="1" applyFill="1" applyBorder="1" applyAlignment="1" applyProtection="1">
      <alignment horizontal="center" vertical="center" wrapText="1"/>
    </xf>
    <xf numFmtId="0" fontId="53" fillId="6" borderId="69" xfId="0" applyFont="1" applyFill="1" applyBorder="1" applyAlignment="1" applyProtection="1">
      <alignment horizontal="center" vertical="center" wrapText="1"/>
    </xf>
    <xf numFmtId="0" fontId="53" fillId="6" borderId="29" xfId="0" applyFont="1" applyFill="1" applyBorder="1" applyAlignment="1" applyProtection="1">
      <alignment horizontal="center" vertical="center"/>
    </xf>
    <xf numFmtId="0" fontId="53" fillId="6" borderId="39" xfId="0" applyFont="1" applyFill="1" applyBorder="1" applyAlignment="1" applyProtection="1">
      <alignment horizontal="center" vertical="center"/>
    </xf>
    <xf numFmtId="0" fontId="53" fillId="6" borderId="9" xfId="0" applyFont="1" applyFill="1" applyBorder="1" applyAlignment="1" applyProtection="1">
      <alignment horizontal="center" vertical="center"/>
    </xf>
    <xf numFmtId="0" fontId="46" fillId="6" borderId="37" xfId="0" applyFont="1" applyFill="1" applyBorder="1" applyAlignment="1" applyProtection="1">
      <alignment horizontal="center" vertical="center"/>
    </xf>
    <xf numFmtId="0" fontId="53" fillId="6" borderId="17" xfId="0" applyFont="1" applyFill="1" applyBorder="1" applyAlignment="1" applyProtection="1">
      <alignment horizontal="center" vertical="center"/>
    </xf>
    <xf numFmtId="0" fontId="52" fillId="6" borderId="1" xfId="0" applyNumberFormat="1" applyFont="1" applyFill="1" applyBorder="1" applyAlignment="1" applyProtection="1">
      <alignment horizontal="center" vertical="center"/>
    </xf>
    <xf numFmtId="0" fontId="53" fillId="0" borderId="11" xfId="0" applyFont="1" applyFill="1" applyBorder="1" applyAlignment="1" applyProtection="1">
      <alignment horizontal="center" vertical="center" wrapText="1"/>
      <protection locked="0"/>
    </xf>
    <xf numFmtId="0" fontId="53" fillId="0" borderId="61" xfId="0" applyFont="1" applyFill="1" applyBorder="1" applyAlignment="1" applyProtection="1">
      <alignment horizontal="center" vertical="center" wrapText="1"/>
      <protection locked="0"/>
    </xf>
    <xf numFmtId="0" fontId="53" fillId="0" borderId="22" xfId="0" applyFont="1" applyFill="1" applyBorder="1" applyAlignment="1" applyProtection="1">
      <alignment horizontal="center" vertical="center" wrapText="1"/>
      <protection locked="0"/>
    </xf>
    <xf numFmtId="0" fontId="53" fillId="0" borderId="46" xfId="0" applyFont="1" applyFill="1" applyBorder="1" applyAlignment="1" applyProtection="1">
      <alignment horizontal="center" vertical="center" wrapText="1"/>
      <protection locked="0"/>
    </xf>
    <xf numFmtId="0" fontId="111" fillId="6" borderId="1" xfId="0" applyFont="1" applyFill="1" applyBorder="1" applyAlignment="1" applyProtection="1">
      <alignment horizontal="center" vertical="center"/>
    </xf>
    <xf numFmtId="0" fontId="149" fillId="12" borderId="131" xfId="9" applyFont="1" applyFill="1" applyBorder="1" applyAlignment="1" applyProtection="1">
      <alignment horizontal="left" vertical="center" wrapText="1"/>
    </xf>
    <xf numFmtId="0" fontId="149" fillId="12" borderId="125" xfId="9" applyFont="1" applyFill="1" applyBorder="1" applyAlignment="1" applyProtection="1">
      <alignment horizontal="left" vertical="center" wrapText="1"/>
    </xf>
    <xf numFmtId="0" fontId="149" fillId="12" borderId="127" xfId="9" applyFont="1" applyFill="1" applyBorder="1" applyAlignment="1" applyProtection="1">
      <alignment horizontal="left" vertical="center" wrapText="1"/>
    </xf>
    <xf numFmtId="0" fontId="142" fillId="0" borderId="0" xfId="9" applyFont="1" applyAlignment="1">
      <alignment horizontal="left" vertical="center"/>
    </xf>
    <xf numFmtId="0" fontId="106" fillId="0" borderId="0" xfId="9" applyFont="1" applyAlignment="1">
      <alignment horizontal="left" vertical="center"/>
    </xf>
    <xf numFmtId="0" fontId="147" fillId="0" borderId="0" xfId="9" applyFont="1" applyAlignment="1">
      <alignment horizontal="left" vertical="center"/>
    </xf>
    <xf numFmtId="0" fontId="149" fillId="12" borderId="122" xfId="9" applyFont="1" applyFill="1" applyBorder="1" applyAlignment="1" applyProtection="1">
      <alignment horizontal="left" vertical="center" wrapText="1"/>
    </xf>
    <xf numFmtId="0" fontId="103" fillId="12" borderId="131" xfId="9" applyFont="1" applyFill="1" applyBorder="1" applyAlignment="1" applyProtection="1">
      <alignment horizontal="left" vertical="center" wrapText="1"/>
    </xf>
    <xf numFmtId="0" fontId="103" fillId="12" borderId="125" xfId="9" applyFont="1" applyFill="1" applyBorder="1" applyAlignment="1" applyProtection="1">
      <alignment horizontal="left" vertical="center" wrapText="1"/>
    </xf>
    <xf numFmtId="0" fontId="103" fillId="12" borderId="127" xfId="9" applyFont="1" applyFill="1" applyBorder="1" applyAlignment="1" applyProtection="1">
      <alignment horizontal="left" vertical="center" wrapText="1"/>
    </xf>
    <xf numFmtId="0" fontId="149" fillId="12" borderId="153" xfId="9" applyFont="1" applyFill="1" applyBorder="1" applyAlignment="1" applyProtection="1">
      <alignment horizontal="left" vertical="center" wrapText="1"/>
    </xf>
    <xf numFmtId="0" fontId="49" fillId="6" borderId="5" xfId="0" applyFont="1" applyFill="1" applyBorder="1" applyAlignment="1" applyProtection="1">
      <alignment horizontal="center" vertical="center"/>
    </xf>
    <xf numFmtId="0" fontId="49" fillId="6" borderId="54" xfId="0" applyFont="1" applyFill="1" applyBorder="1" applyAlignment="1" applyProtection="1">
      <alignment horizontal="center" vertical="center"/>
    </xf>
    <xf numFmtId="0" fontId="49" fillId="6" borderId="3" xfId="0" applyFont="1" applyFill="1" applyBorder="1" applyAlignment="1" applyProtection="1">
      <alignment horizontal="center" vertical="center"/>
    </xf>
    <xf numFmtId="0" fontId="49" fillId="6" borderId="75" xfId="0" applyFont="1" applyFill="1" applyBorder="1" applyAlignment="1" applyProtection="1">
      <alignment horizontal="center" vertical="center"/>
      <protection locked="0"/>
    </xf>
    <xf numFmtId="0" fontId="49" fillId="6" borderId="47" xfId="0" applyFont="1" applyFill="1" applyBorder="1" applyAlignment="1" applyProtection="1">
      <alignment horizontal="center" vertical="center"/>
      <protection locked="0"/>
    </xf>
    <xf numFmtId="0" fontId="49" fillId="6" borderId="73" xfId="0" applyFont="1" applyFill="1" applyBorder="1" applyAlignment="1" applyProtection="1">
      <alignment horizontal="center" vertical="center"/>
      <protection locked="0"/>
    </xf>
    <xf numFmtId="0" fontId="127" fillId="6" borderId="0" xfId="0" applyFont="1" applyFill="1" applyAlignment="1" applyProtection="1">
      <alignment horizontal="center" vertical="center"/>
    </xf>
    <xf numFmtId="0" fontId="116" fillId="6" borderId="0" xfId="0" applyFont="1" applyFill="1" applyBorder="1" applyAlignment="1" applyProtection="1">
      <alignment horizontal="left" vertical="center"/>
    </xf>
    <xf numFmtId="0" fontId="115" fillId="6" borderId="6" xfId="0" applyFont="1" applyFill="1" applyBorder="1" applyAlignment="1" applyProtection="1">
      <alignment horizontal="center" vertical="center" wrapText="1"/>
    </xf>
    <xf numFmtId="0" fontId="115" fillId="6" borderId="25" xfId="0" applyFont="1" applyFill="1" applyBorder="1" applyAlignment="1" applyProtection="1">
      <alignment horizontal="center" vertical="center" wrapText="1"/>
    </xf>
    <xf numFmtId="0" fontId="257" fillId="0" borderId="5" xfId="0" applyFont="1" applyBorder="1" applyAlignment="1">
      <alignment horizontal="center" vertical="center"/>
    </xf>
    <xf numFmtId="0" fontId="257" fillId="0" borderId="54" xfId="0" applyFont="1" applyBorder="1" applyAlignment="1">
      <alignment horizontal="center" vertical="center"/>
    </xf>
    <xf numFmtId="0" fontId="257" fillId="0" borderId="3" xfId="0" applyFont="1" applyBorder="1" applyAlignment="1">
      <alignment horizontal="center" vertical="center"/>
    </xf>
  </cellXfs>
  <cellStyles count="18">
    <cellStyle name="百分比 2" xfId="14"/>
    <cellStyle name="常规" xfId="0" builtinId="0"/>
    <cellStyle name="常规 10" xfId="17"/>
    <cellStyle name="常规 16" xfId="10"/>
    <cellStyle name="常规 2" xfId="1"/>
    <cellStyle name="常规 2 2" xfId="8"/>
    <cellStyle name="常规 2 2 2 2 3" xfId="15"/>
    <cellStyle name="常规 3" xfId="2"/>
    <cellStyle name="常规 3 2" xfId="3"/>
    <cellStyle name="常规 4" xfId="4"/>
    <cellStyle name="常规 5" xfId="5"/>
    <cellStyle name="常规 6" xfId="6"/>
    <cellStyle name="常规 6 2" xfId="9"/>
    <cellStyle name="常规 6 2 2" xfId="16"/>
    <cellStyle name="常规 6 2 3" xfId="13"/>
    <cellStyle name="常规 7" xfId="7"/>
    <cellStyle name="常规 8" xfId="11"/>
    <cellStyle name="常规 9" xfId="12"/>
  </cellStyles>
  <dxfs count="231">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rgb="FFFFFF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FFFFFF"/>
      <color rgb="FF57EF57"/>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8" Type="http://schemas.openxmlformats.org/officeDocument/2006/relationships/worksheet" Target="worksheets/sheet8.xml"/><Relationship Id="rId51"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52</xdr:row>
      <xdr:rowOff>0</xdr:rowOff>
    </xdr:from>
    <xdr:to>
      <xdr:col>53</xdr:col>
      <xdr:colOff>101459</xdr:colOff>
      <xdr:row>105</xdr:row>
      <xdr:rowOff>104283</xdr:rowOff>
    </xdr:to>
    <xdr:pic>
      <xdr:nvPicPr>
        <xdr:cNvPr id="2" name="图片 1"/>
        <xdr:cNvPicPr>
          <a:picLocks noChangeAspect="1"/>
        </xdr:cNvPicPr>
      </xdr:nvPicPr>
      <xdr:blipFill>
        <a:blip xmlns:r="http://schemas.openxmlformats.org/officeDocument/2006/relationships" r:embed="rId1"/>
        <a:stretch>
          <a:fillRect/>
        </a:stretch>
      </xdr:blipFill>
      <xdr:spPr>
        <a:xfrm>
          <a:off x="0" y="5020235"/>
          <a:ext cx="17571430" cy="841904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1608;&#24420;/&#25253;&#21578;/2021/2021-1-0154&#36830;&#20113;&#28207;4&#21495;&#21830;&#19994;&#22320;&#22359;/&#23545;&#20844;&#20107;&#19994;&#37096;&#8212;&#30005;&#31639;&#34920;-&#28023;&#24030;&#38182;&#23631;&#23665;4&#21495;&#22320;-&#19968;&#2345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1 (储备)"/>
      <sheetName val="预评函-2"/>
      <sheetName val="预评函-3"/>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剩余法-现房"/>
      <sheetName val="比较法-住宅、综合"/>
      <sheetName val="比较法-工业"/>
      <sheetName val="基准地价"/>
      <sheetName val="修正"/>
      <sheetName val="区片价"/>
      <sheetName val="容积率修正"/>
      <sheetName val="因素修正幅度"/>
      <sheetName val="地价"/>
      <sheetName val="基准地价（汇总）"/>
      <sheetName val="收益还原法"/>
      <sheetName val="剩余法-待开发"/>
      <sheetName val="不动产收益法"/>
      <sheetName val="酒店收入计算"/>
      <sheetName val="成本逼近法"/>
      <sheetName val="不动产收益法车"/>
      <sheetName val="不动产比较法-住宅"/>
      <sheetName val="不动产比较法-商业"/>
      <sheetName val="不动产比较法-办公"/>
      <sheetName val="不动产比较法-工业"/>
      <sheetName val="不动产比较法-车位"/>
      <sheetName val="不动产比较法-仓储"/>
      <sheetName val="典型户型修正"/>
      <sheetName val="存贷款利率"/>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3">
          <cell r="D3" t="str">
            <v>土地估价师</v>
          </cell>
        </row>
      </sheetData>
      <sheetData sheetId="8">
        <row r="1">
          <cell r="A1" t="str">
            <v>用途类型</v>
          </cell>
        </row>
        <row r="2">
          <cell r="A2" t="str">
            <v>平层住宅</v>
          </cell>
        </row>
        <row r="3">
          <cell r="A3" t="str">
            <v>LOFT住宅</v>
          </cell>
        </row>
        <row r="4">
          <cell r="A4" t="str">
            <v>普通住宅</v>
          </cell>
        </row>
        <row r="5">
          <cell r="A5" t="str">
            <v>公寓</v>
          </cell>
        </row>
        <row r="6">
          <cell r="A6" t="str">
            <v>洋房</v>
          </cell>
        </row>
        <row r="7">
          <cell r="A7" t="str">
            <v>叠拼</v>
          </cell>
        </row>
        <row r="8">
          <cell r="A8" t="str">
            <v>联排</v>
          </cell>
        </row>
        <row r="9">
          <cell r="A9" t="str">
            <v>双拼</v>
          </cell>
        </row>
        <row r="10">
          <cell r="A10" t="str">
            <v>独栋</v>
          </cell>
        </row>
        <row r="11">
          <cell r="A11" t="str">
            <v>底商</v>
          </cell>
        </row>
        <row r="12">
          <cell r="A12" t="str">
            <v>独立商业</v>
          </cell>
        </row>
        <row r="13">
          <cell r="A13" t="str">
            <v>商业街</v>
          </cell>
        </row>
        <row r="14">
          <cell r="A14" t="str">
            <v>酒店</v>
          </cell>
        </row>
        <row r="15">
          <cell r="A15" t="str">
            <v>标准厂房</v>
          </cell>
        </row>
        <row r="16">
          <cell r="A16" t="str">
            <v>特殊厂房</v>
          </cell>
        </row>
        <row r="17">
          <cell r="A17" t="str">
            <v>办公楼</v>
          </cell>
        </row>
        <row r="18">
          <cell r="A18" t="str">
            <v>宿舍</v>
          </cell>
        </row>
        <row r="19">
          <cell r="A19" t="str">
            <v>食堂</v>
          </cell>
        </row>
        <row r="20">
          <cell r="A20" t="str">
            <v>车库</v>
          </cell>
        </row>
        <row r="21">
          <cell r="A21" t="str">
            <v>戊类库房</v>
          </cell>
        </row>
        <row r="22">
          <cell r="A22" t="str">
            <v>燃品库房</v>
          </cell>
        </row>
        <row r="23">
          <cell r="A23" t="str">
            <v>非燃品库房</v>
          </cell>
        </row>
        <row r="24">
          <cell r="A24" t="str">
            <v>——</v>
          </cell>
        </row>
        <row r="25">
          <cell r="A25" t="str">
            <v>限价商品房</v>
          </cell>
        </row>
        <row r="26">
          <cell r="A26" t="str">
            <v>自住商品房</v>
          </cell>
        </row>
        <row r="27">
          <cell r="A27" t="str">
            <v>*</v>
          </cell>
        </row>
        <row r="28">
          <cell r="A28" t="str">
            <v>*</v>
          </cell>
        </row>
        <row r="29">
          <cell r="A29" t="str">
            <v>*</v>
          </cell>
        </row>
        <row r="30">
          <cell r="A30" t="str">
            <v>*</v>
          </cell>
        </row>
        <row r="31">
          <cell r="A31" t="str">
            <v>*</v>
          </cell>
        </row>
        <row r="32">
          <cell r="A32" t="str">
            <v>*</v>
          </cell>
        </row>
        <row r="33">
          <cell r="A33" t="str">
            <v>*</v>
          </cell>
        </row>
        <row r="34">
          <cell r="A34" t="str">
            <v>*</v>
          </cell>
        </row>
        <row r="35">
          <cell r="A35" t="str">
            <v>*</v>
          </cell>
        </row>
        <row r="36">
          <cell r="A36" t="str">
            <v>*</v>
          </cell>
        </row>
        <row r="37">
          <cell r="A37" t="str">
            <v>*</v>
          </cell>
        </row>
        <row r="38">
          <cell r="A38" t="str">
            <v>*</v>
          </cell>
        </row>
        <row r="39">
          <cell r="A39" t="str">
            <v>*</v>
          </cell>
        </row>
        <row r="40">
          <cell r="A40" t="str">
            <v>*</v>
          </cell>
        </row>
        <row r="41">
          <cell r="A41" t="str">
            <v>*</v>
          </cell>
        </row>
        <row r="42">
          <cell r="A42" t="str">
            <v>*</v>
          </cell>
        </row>
        <row r="43">
          <cell r="A43" t="str">
            <v>*</v>
          </cell>
        </row>
        <row r="44">
          <cell r="A44" t="str">
            <v>*</v>
          </cell>
        </row>
        <row r="45">
          <cell r="A45" t="str">
            <v>*</v>
          </cell>
        </row>
        <row r="46">
          <cell r="A46" t="str">
            <v>*</v>
          </cell>
        </row>
        <row r="47">
          <cell r="A47" t="str">
            <v>*</v>
          </cell>
        </row>
        <row r="48">
          <cell r="A48" t="str">
            <v>*</v>
          </cell>
        </row>
        <row r="49">
          <cell r="A49" t="str">
            <v>*</v>
          </cell>
        </row>
        <row r="50">
          <cell r="A50" t="str">
            <v>*</v>
          </cell>
        </row>
      </sheetData>
      <sheetData sheetId="9">
        <row r="41">
          <cell r="F41" t="str">
            <v>江苏省</v>
          </cell>
        </row>
      </sheetData>
      <sheetData sheetId="10">
        <row r="3">
          <cell r="A3">
            <v>85225.54</v>
          </cell>
        </row>
      </sheetData>
      <sheetData sheetId="11" refreshError="1"/>
      <sheetData sheetId="12">
        <row r="3">
          <cell r="D3">
            <v>85225.54</v>
          </cell>
        </row>
      </sheetData>
      <sheetData sheetId="13">
        <row r="2">
          <cell r="B2">
            <v>44277</v>
          </cell>
        </row>
      </sheetData>
      <sheetData sheetId="14">
        <row r="15">
          <cell r="C15" t="str">
            <v>估价对象周边居住用地比例一般、居住小区规模和社区发展完善程度一般，有格林童话施姐、郦城水岸等项目，综合评价居住社区成熟度一般</v>
          </cell>
        </row>
      </sheetData>
      <sheetData sheetId="15" refreshError="1"/>
      <sheetData sheetId="16" refreshError="1"/>
      <sheetData sheetId="17" refreshError="1"/>
      <sheetData sheetId="18"/>
      <sheetData sheetId="19">
        <row r="72">
          <cell r="B72" t="str">
            <v>用途</v>
          </cell>
        </row>
        <row r="99">
          <cell r="B99" t="str">
            <v>毗邻道路的类型与等级</v>
          </cell>
        </row>
        <row r="114">
          <cell r="B114" t="str">
            <v>宗地开发程度</v>
          </cell>
        </row>
        <row r="116">
          <cell r="B116" t="str">
            <v>工程地质条件</v>
          </cell>
        </row>
      </sheetData>
      <sheetData sheetId="20">
        <row r="21">
          <cell r="N21" t="str">
            <v>商业</v>
          </cell>
        </row>
      </sheetData>
      <sheetData sheetId="21">
        <row r="6">
          <cell r="A6" t="str">
            <v>通路</v>
          </cell>
        </row>
      </sheetData>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ow r="61">
          <cell r="A61" t="str">
            <v>交易情况</v>
          </cell>
        </row>
      </sheetData>
      <sheetData sheetId="34">
        <row r="61">
          <cell r="A61" t="str">
            <v>交易情况</v>
          </cell>
        </row>
      </sheetData>
      <sheetData sheetId="35">
        <row r="62">
          <cell r="A62" t="str">
            <v>交易情况</v>
          </cell>
        </row>
      </sheetData>
      <sheetData sheetId="36">
        <row r="55">
          <cell r="A55" t="str">
            <v>交易情况</v>
          </cell>
        </row>
      </sheetData>
      <sheetData sheetId="37">
        <row r="51">
          <cell r="A51" t="str">
            <v>交易情况</v>
          </cell>
        </row>
      </sheetData>
      <sheetData sheetId="38">
        <row r="49">
          <cell r="A49" t="str">
            <v>交易情况</v>
          </cell>
        </row>
      </sheetData>
      <sheetData sheetId="39">
        <row r="5">
          <cell r="B5" t="str">
            <v>修正项2</v>
          </cell>
        </row>
      </sheetData>
      <sheetData sheetId="40" refreshError="1"/>
      <sheetData sheetId="41">
        <row r="2">
          <cell r="A2" t="str">
            <v>海州区香海湖路北、为民路东</v>
          </cell>
        </row>
      </sheetData>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8.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1.v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6.v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7.v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8.v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2.vml"/><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3.vml"/><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4.vml"/><Relationship Id="rId1" Type="http://schemas.openxmlformats.org/officeDocument/2006/relationships/printerSettings" Target="../printerSettings/printerSettings32.bin"/></Relationships>
</file>

<file path=xl/worksheets/_rels/sheet35.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5.vml"/><Relationship Id="rId1" Type="http://schemas.openxmlformats.org/officeDocument/2006/relationships/printerSettings" Target="../printerSettings/printerSettings33.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comments" Target="../comments21.xml"/><Relationship Id="rId1" Type="http://schemas.openxmlformats.org/officeDocument/2006/relationships/vmlDrawing" Target="../drawings/vmlDrawing26.vml"/></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7.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4"/>
  <sheetViews>
    <sheetView zoomScale="80" zoomScaleNormal="80" workbookViewId="0">
      <selection activeCell="B19" sqref="B19"/>
    </sheetView>
  </sheetViews>
  <sheetFormatPr defaultColWidth="9" defaultRowHeight="14.25"/>
  <cols>
    <col min="1" max="1" width="35.625" style="1344" customWidth="1"/>
    <col min="2" max="2" width="81" style="1361" customWidth="1"/>
    <col min="3" max="16384" width="9" style="1359"/>
  </cols>
  <sheetData>
    <row r="1" spans="1:2" s="1347" customFormat="1" ht="16.5" thickBot="1">
      <c r="A1" s="1346" t="s">
        <v>1186</v>
      </c>
      <c r="B1" s="1345" t="s">
        <v>1265</v>
      </c>
    </row>
    <row r="2" spans="1:2" s="1350" customFormat="1" ht="15" thickTop="1">
      <c r="A2" s="1348" t="s">
        <v>1187</v>
      </c>
      <c r="B2" s="1349" t="str">
        <f>'预评函-封皮'!B37:I37</f>
        <v>湖南省湘潭市岳塘区芙蓉路以南、晓塘路以北万达酒店出让国有建设用地使用权及在建建筑物预评估</v>
      </c>
    </row>
    <row r="3" spans="1:2" s="1353" customFormat="1">
      <c r="A3" s="1351" t="s">
        <v>1188</v>
      </c>
      <c r="B3" s="1352">
        <f>'预评函-封皮'!B40</f>
        <v>0</v>
      </c>
    </row>
    <row r="4" spans="1:2" s="1353" customFormat="1">
      <c r="A4" s="1351" t="s">
        <v>1189</v>
      </c>
      <c r="B4" s="1352" t="str">
        <f>'预评函-封皮'!B46</f>
        <v>（注册号：0)、（注册号：0)</v>
      </c>
    </row>
    <row r="5" spans="1:2" s="1347" customFormat="1" ht="15" thickBot="1">
      <c r="A5" s="1354" t="s">
        <v>1190</v>
      </c>
      <c r="B5" s="1355" t="str">
        <f>'预评函-封皮'!B49</f>
        <v>康正预评字号</v>
      </c>
    </row>
    <row r="6" spans="1:2" s="1350" customFormat="1" ht="15" thickTop="1">
      <c r="A6" s="1348" t="s">
        <v>1191</v>
      </c>
      <c r="B6" s="1349" t="str">
        <f>'预评函-1'!A4</f>
        <v>受贵公司委托，我公司对湖南省湘潭市岳塘区芙蓉路以南、晓塘路以北万达酒店出让国有建设用地使用权及在建建筑物房地产抵押价值进行了预评估。</v>
      </c>
    </row>
    <row r="7" spans="1:2" s="1353" customFormat="1">
      <c r="A7" s="1351" t="s">
        <v>1231</v>
      </c>
      <c r="B7" s="1352" t="str">
        <f>'预评函-1'!A7</f>
        <v>估价对象为湖南省湘潭市岳塘区芙蓉路以南、晓塘路以北万达酒店出让国有建设用地使用权及在建建筑物房地产，为所有。根据《国有土地使用证》[]，估价对象（分摊）出让国有建设用地使用权面积为0平方米，建筑面积为29932.76平方米。</v>
      </c>
    </row>
    <row r="8" spans="1:2" s="1353" customFormat="1">
      <c r="A8" s="1351" t="s">
        <v>1232</v>
      </c>
      <c r="B8" s="1352" t="str">
        <f>'预评函-1'!A8</f>
        <v>估价对象简述。项目推广名，项目类型（用途），估价对象分布，各用途面积明细情况：XX用途建筑面积XX平方米，XX用途建筑面积XX平方米，……。复杂面积清单需设‘附表’列示：抵押物清单详见附表</v>
      </c>
    </row>
    <row r="9" spans="1:2" s="1353" customFormat="1">
      <c r="A9" s="1351" t="s">
        <v>1233</v>
      </c>
      <c r="B9" s="1352" t="str">
        <f>'预评函-1'!A10</f>
        <v>估价对象为湖南省湘潭市岳塘区芙蓉路以南、晓塘路以北万达酒店出让国有建设用地使用权及在建建筑物房地产,属开发建设的商业项目，该项目尚在开发建设中。根据《国有土地使用证》[]，估价对象（分摊）出让国有建设用地使用权面积为0平方米，规划建筑面积为29932.76平方米。</v>
      </c>
    </row>
    <row r="10" spans="1:2" s="1353" customFormat="1">
      <c r="A10" s="1351" t="s">
        <v>1234</v>
      </c>
      <c r="B10" s="1352"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s="1353" customFormat="1">
      <c r="A11" s="1351" t="s">
        <v>1192</v>
      </c>
      <c r="B11" s="1352" t="str">
        <f>'预评函-1'!A13</f>
        <v>拟使用湖南省湘潭市岳塘区芙蓉路以南、晓塘路以北万达酒店出让国有建设用地使用权及在建建筑物房地产作为抵押担保物，向办理贷款手续。特委托北京康正宏基房地产评估有限公司对上述抵押物进行评估。本次评估为确定房地产抵押贷款额度提供参考依据而评估房地产抵押价值。</v>
      </c>
    </row>
    <row r="12" spans="1:2" s="1353" customFormat="1">
      <c r="A12" s="1351" t="s">
        <v>1193</v>
      </c>
      <c r="B12" s="1352" t="str">
        <f>'预评函-1'!A15</f>
        <v>2021年3月25日（评估专业人员实地查勘之日）</v>
      </c>
    </row>
    <row r="13" spans="1:2" s="1353" customFormat="1">
      <c r="A13" s="1351" t="s">
        <v>1194</v>
      </c>
      <c r="B13" s="1352" t="str">
        <f>'预评函-1'!A18</f>
        <v>本次估价的“房地产价值”是指在正常市场情况下，在价值时点2021年3月25日，估价对象规划用途为，土地取得方式为出让，出让国有建设用地使用权剩余土地使用年限为，假定未设立法定优先受偿款下的房地产市场价值。</v>
      </c>
    </row>
    <row r="14" spans="1:2" s="1353" customFormat="1">
      <c r="A14" s="1351" t="s">
        <v>1195</v>
      </c>
      <c r="B14" s="1352" t="str">
        <f>'预评函-1'!A19</f>
        <v>其中，“出让国有建设用地使用权价值”是指估价对象用途为，实际开发程度为宗地红线外“七通”（即通路、通电、通讯、通上水、通下水、通热、燃气）、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pans="1:2" s="1353" customFormat="1">
      <c r="A15" s="1351" t="s">
        <v>1196</v>
      </c>
      <c r="B15" s="1352" t="str">
        <f>'预评函-1'!A20</f>
        <v>本次估价的“房地产抵押价值”是指估价对象在价值时点的“房地产价值”扣减估价师于价值时点所知悉的法定优先受偿款后的余额。</v>
      </c>
    </row>
    <row r="16" spans="1:2" s="1353" customFormat="1">
      <c r="A16" s="1351" t="s">
        <v>1197</v>
      </c>
      <c r="B16" s="1352" t="str">
        <f>'预评函-1'!A21</f>
        <v>法定优先受偿款是指假定在价值时点实现抵押权时，法律规定优先于本次抵押贷款受偿的款额，包括发包人拖欠承包人的建筑工程款，已抵押担保的债权数额以及其他法定优先受偿款。</v>
      </c>
    </row>
    <row r="17" spans="1:2" s="1353" customFormat="1">
      <c r="A17" s="1351" t="s">
        <v>1198</v>
      </c>
      <c r="B17" s="1352" t="str">
        <f>'预评函-1'!A22</f>
        <v>本次估价的“抵押净值”是指估价对象“房地产抵押价值”减去估价对象在价值时点以“房地产销售收入”为基数计算的预计抵押权实现进行处置时需缴纳的各项费用、税金等相关费用后的价值。</v>
      </c>
    </row>
    <row r="18" spans="1:2" s="1347" customFormat="1" ht="15" thickBot="1">
      <c r="A18" s="1354" t="s">
        <v>1199</v>
      </c>
      <c r="B18" s="1355" t="str">
        <f>'预评函-1'!A24</f>
        <v>本次评估采用的主估价方法为成本法和收益法。</v>
      </c>
    </row>
    <row r="19" spans="1:2" s="1350" customFormat="1" ht="15" thickTop="1">
      <c r="A19" s="1348" t="s">
        <v>1200</v>
      </c>
      <c r="B19" s="1349"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pans="1:2" s="1353" customFormat="1">
      <c r="A20" s="1351" t="s">
        <v>1201</v>
      </c>
      <c r="B20" s="1352" t="e">
        <f ca="1">'预评函-2'!D5</f>
        <v>#REF!</v>
      </c>
    </row>
    <row r="21" spans="1:2" s="1353" customFormat="1">
      <c r="A21" s="1351" t="s">
        <v>1202</v>
      </c>
      <c r="B21" s="1352" t="e">
        <f ca="1">'预评函-2'!D7</f>
        <v>#REF!</v>
      </c>
    </row>
    <row r="22" spans="1:2" s="1353" customFormat="1">
      <c r="A22" s="1351" t="s">
        <v>1203</v>
      </c>
      <c r="B22" s="1352" t="e">
        <f ca="1">'预评函-2'!D6</f>
        <v>#REF!</v>
      </c>
    </row>
    <row r="23" spans="1:2" s="1353" customFormat="1">
      <c r="A23" s="1351" t="s">
        <v>1254</v>
      </c>
      <c r="B23" s="1352" t="str">
        <f>'预评函-2'!B8</f>
        <v>2.估价师知悉的法定优先受偿款</v>
      </c>
    </row>
    <row r="24" spans="1:2" s="1353" customFormat="1">
      <c r="A24" s="1351" t="s">
        <v>1260</v>
      </c>
      <c r="B24" s="1352">
        <f>'预评函-2'!D8</f>
        <v>0</v>
      </c>
    </row>
    <row r="25" spans="1:2" s="1353" customFormat="1">
      <c r="A25" s="1351" t="s">
        <v>1204</v>
      </c>
      <c r="B25" s="1352" t="str">
        <f>'预评函-2'!D9</f>
        <v>零元整</v>
      </c>
    </row>
    <row r="26" spans="1:2" s="1353" customFormat="1">
      <c r="A26" s="1351" t="s">
        <v>1205</v>
      </c>
      <c r="B26" s="1352">
        <f>'预评函-2'!D10</f>
        <v>0</v>
      </c>
    </row>
    <row r="27" spans="1:2" s="1353" customFormat="1">
      <c r="A27" s="1351" t="s">
        <v>1206</v>
      </c>
      <c r="B27" s="1352">
        <f>'预评函-2'!D11</f>
        <v>0</v>
      </c>
    </row>
    <row r="28" spans="1:2" s="1353" customFormat="1">
      <c r="A28" s="1351" t="s">
        <v>1207</v>
      </c>
      <c r="B28" s="1352">
        <f>'预评函-2'!D12</f>
        <v>0</v>
      </c>
    </row>
    <row r="29" spans="1:2" s="1353" customFormat="1">
      <c r="A29" s="1351" t="s">
        <v>1258</v>
      </c>
      <c r="B29" s="1352" t="str">
        <f>'预评函-2'!B13</f>
        <v>3.房地产抵押价值</v>
      </c>
    </row>
    <row r="30" spans="1:2" s="1353" customFormat="1">
      <c r="A30" s="1351" t="s">
        <v>1259</v>
      </c>
      <c r="B30" s="1352" t="e">
        <f ca="1">'预评函-2'!D13</f>
        <v>#REF!</v>
      </c>
    </row>
    <row r="31" spans="1:2" s="1353" customFormat="1">
      <c r="A31" s="1351" t="s">
        <v>1241</v>
      </c>
      <c r="B31" s="1352" t="e">
        <f ca="1">'预评函-2'!D15</f>
        <v>#REF!</v>
      </c>
    </row>
    <row r="32" spans="1:2" s="1353" customFormat="1">
      <c r="A32" s="1351" t="s">
        <v>1208</v>
      </c>
      <c r="B32" s="1352" t="e">
        <f ca="1">'预评函-2'!D14</f>
        <v>#REF!</v>
      </c>
    </row>
    <row r="33" spans="1:2" s="1353" customFormat="1">
      <c r="A33" s="1351" t="s">
        <v>1243</v>
      </c>
      <c r="B33" s="1352" t="str">
        <f>'预评函-2'!B16</f>
        <v>——</v>
      </c>
    </row>
    <row r="34" spans="1:2" s="1353" customFormat="1">
      <c r="A34" s="1351" t="s">
        <v>1261</v>
      </c>
      <c r="B34" s="1352" t="str">
        <f>'预评函-2'!D16</f>
        <v>——</v>
      </c>
    </row>
    <row r="35" spans="1:2" s="1353" customFormat="1">
      <c r="A35" s="1351" t="s">
        <v>1242</v>
      </c>
      <c r="B35" s="1352" t="str">
        <f>'预评函-2'!D18</f>
        <v>——</v>
      </c>
    </row>
    <row r="36" spans="1:2" s="1353" customFormat="1">
      <c r="A36" s="1351" t="s">
        <v>1209</v>
      </c>
      <c r="B36" s="1352" t="e">
        <f>'预评函-2'!D17</f>
        <v>#VALUE!</v>
      </c>
    </row>
    <row r="37" spans="1:2" s="1353" customFormat="1">
      <c r="A37" s="1351" t="s">
        <v>1244</v>
      </c>
      <c r="B37" s="1352" t="str">
        <f>'预评函-2'!B19</f>
        <v>——</v>
      </c>
    </row>
    <row r="38" spans="1:2" s="1353" customFormat="1">
      <c r="A38" s="1351" t="s">
        <v>1262</v>
      </c>
      <c r="B38" s="1352" t="str">
        <f>'预评函-2'!D19</f>
        <v>——</v>
      </c>
    </row>
    <row r="39" spans="1:2" s="1353" customFormat="1">
      <c r="A39" s="1351" t="s">
        <v>1210</v>
      </c>
      <c r="B39" s="1352" t="str">
        <f>'预评函-2'!D21</f>
        <v>——</v>
      </c>
    </row>
    <row r="40" spans="1:2" s="1353" customFormat="1">
      <c r="A40" s="1351" t="s">
        <v>1211</v>
      </c>
      <c r="B40" s="1352" t="e">
        <f>'预评函-2'!D20</f>
        <v>#VALUE!</v>
      </c>
    </row>
    <row r="41" spans="1:2" s="1353" customFormat="1">
      <c r="A41" s="1351" t="s">
        <v>1257</v>
      </c>
      <c r="B41" s="1352" t="str">
        <f>'预评函-3'!A4</f>
        <v>湖南省湘潭市岳塘区芙蓉路以南、晓塘路以北万达酒店出让国有建设用地使用权及在建建筑物房地产</v>
      </c>
    </row>
    <row r="42" spans="1:2" s="1353" customFormat="1">
      <c r="A42" s="1351" t="s">
        <v>1255</v>
      </c>
      <c r="B42" s="1352" t="str">
        <f>'预评函-3'!B2</f>
        <v>建筑面积</v>
      </c>
    </row>
    <row r="43" spans="1:2" s="1353" customFormat="1">
      <c r="A43" s="1351" t="s">
        <v>1256</v>
      </c>
      <c r="B43" s="1352">
        <f>'预评函-3'!B4</f>
        <v>29932.760000000009</v>
      </c>
    </row>
    <row r="44" spans="1:2" s="1353" customFormat="1">
      <c r="A44" s="1351" t="s">
        <v>1240</v>
      </c>
      <c r="B44" s="1352" t="str">
        <f>'预评函-3'!C2</f>
        <v>(分摊)土地面积</v>
      </c>
    </row>
    <row r="45" spans="1:2" s="1353" customFormat="1">
      <c r="A45" s="1351" t="s">
        <v>1212</v>
      </c>
      <c r="B45" s="1352">
        <f>'预评函-3'!C4</f>
        <v>0</v>
      </c>
    </row>
    <row r="46" spans="1:2" s="1353" customFormat="1">
      <c r="A46" s="1351" t="s">
        <v>1238</v>
      </c>
      <c r="B46" s="1352" t="str">
        <f>'预评函-3'!D2</f>
        <v>出让国有建设用地使用权价值</v>
      </c>
    </row>
    <row r="47" spans="1:2" s="1353" customFormat="1">
      <c r="A47" s="1351" t="s">
        <v>1213</v>
      </c>
      <c r="B47" s="1352" t="e">
        <f ca="1">'预评函-3'!D4</f>
        <v>#REF!</v>
      </c>
    </row>
    <row r="48" spans="1:2" s="1353" customFormat="1">
      <c r="A48" s="1351" t="s">
        <v>1214</v>
      </c>
      <c r="B48" s="1352" t="e">
        <f ca="1">'预评函-3'!E4</f>
        <v>#REF!</v>
      </c>
    </row>
    <row r="49" spans="1:2" s="1353" customFormat="1">
      <c r="A49" s="1351" t="s">
        <v>1215</v>
      </c>
      <c r="B49" s="1352" t="e">
        <f ca="1">'预评函-3'!D5</f>
        <v>#REF!</v>
      </c>
    </row>
    <row r="50" spans="1:2" s="1353" customFormat="1">
      <c r="A50" s="1351" t="s">
        <v>1239</v>
      </c>
      <c r="B50" s="1352" t="str">
        <f>'预评函-3'!F2</f>
        <v>在建建筑物价值</v>
      </c>
    </row>
    <row r="51" spans="1:2" s="1353" customFormat="1">
      <c r="A51" s="1351" t="s">
        <v>1216</v>
      </c>
      <c r="B51" s="1352" t="e">
        <f ca="1">'预评函-3'!F4</f>
        <v>#REF!</v>
      </c>
    </row>
    <row r="52" spans="1:2" s="1353" customFormat="1">
      <c r="A52" s="1351" t="s">
        <v>1217</v>
      </c>
      <c r="B52" s="1352" t="e">
        <f ca="1">'预评函-3'!G4</f>
        <v>#REF!</v>
      </c>
    </row>
    <row r="53" spans="1:2" s="1353" customFormat="1">
      <c r="A53" s="1351" t="s">
        <v>1245</v>
      </c>
      <c r="B53" s="1352" t="e">
        <f ca="1">'预评函-3'!F5</f>
        <v>#REF!</v>
      </c>
    </row>
    <row r="54" spans="1:2" s="1353" customFormat="1">
      <c r="A54" s="1351" t="s">
        <v>1263</v>
      </c>
      <c r="B54" s="1352" t="str">
        <f>'预评函-3'!A8</f>
        <v>房地产抵押价值</v>
      </c>
    </row>
    <row r="55" spans="1:2" s="1353" customFormat="1">
      <c r="A55" s="1351" t="s">
        <v>1246</v>
      </c>
      <c r="B55" s="1352" t="str">
        <f>'预评函-3'!A10</f>
        <v/>
      </c>
    </row>
    <row r="56" spans="1:2" s="1353" customFormat="1">
      <c r="A56" s="1351" t="s">
        <v>1247</v>
      </c>
      <c r="B56" s="1352" t="str">
        <f>'预评函-3'!A12</f>
        <v/>
      </c>
    </row>
    <row r="57" spans="1:2" s="1347" customFormat="1" ht="15" thickBot="1">
      <c r="A57" s="1354" t="s">
        <v>1264</v>
      </c>
      <c r="B57" s="1355" t="str">
        <f>'预评函-3'!A6</f>
        <v>估价师知悉的法定优先受偿款</v>
      </c>
    </row>
    <row r="58" spans="1:2" s="1350" customFormat="1" ht="15" thickTop="1">
      <c r="A58" s="1348" t="s">
        <v>1218</v>
      </c>
      <c r="B58" s="1349" t="str">
        <f>'预评函-4'!A12</f>
        <v>2.本《评估意见函》仅供金融机构进行内部审核使用，不做其他目的之用。</v>
      </c>
    </row>
    <row r="59" spans="1:2" s="1353" customFormat="1">
      <c r="A59" s="1351" t="s">
        <v>1219</v>
      </c>
      <c r="B59" s="1352" t="str">
        <f>'预评函-4'!A13</f>
        <v>3.抵押双方在办理抵押登记手续时，应使用本公司出具的正式《房地产评估报告》，特提醒报告使用者注意。</v>
      </c>
    </row>
    <row r="60" spans="1:2" s="1353" customFormat="1">
      <c r="A60" s="1351" t="s">
        <v>1220</v>
      </c>
      <c r="B60" s="1352" t="str">
        <f>'预评函-4'!A14</f>
        <v>4.本次评估估价师所知悉的法定优先受偿款情况说明如下：</v>
      </c>
    </row>
    <row r="61" spans="1:2" s="1353" customFormat="1">
      <c r="A61" s="1351" t="s">
        <v>1221</v>
      </c>
      <c r="B61" s="1352" t="str">
        <f>'预评函-4'!A15</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62" spans="1:2" s="1353" customFormat="1">
      <c r="A62" s="1351" t="s">
        <v>1222</v>
      </c>
      <c r="B62" s="1352" t="str">
        <f>'预评函-4'!A16</f>
        <v>（2）根据《工程款支付情况说明》，截至价值时点，估价对象不存在应付未付工程款项。（只要没有施工方盖章的，均“设定”进行表述）</v>
      </c>
    </row>
    <row r="63" spans="1:2" s="1353" customFormat="1">
      <c r="A63" s="1351" t="s">
        <v>1223</v>
      </c>
      <c r="B63" s="1352"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s="1353" customFormat="1">
      <c r="A64" s="1351" t="s">
        <v>1235</v>
      </c>
      <c r="B64" s="1352" t="str">
        <f>'预评函-4'!A18</f>
        <v>故，本次评估不存在估价师知悉的法定优先受偿款</v>
      </c>
    </row>
    <row r="65" spans="1:2" s="1353" customFormat="1">
      <c r="A65" s="1351" t="s">
        <v>1224</v>
      </c>
      <c r="B65" s="1352"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s="1353" customFormat="1">
      <c r="A66" s="1351" t="s">
        <v>1225</v>
      </c>
      <c r="B66" s="1352" t="str">
        <f>'预评函-4'!A20</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row>
    <row r="67" spans="1:2" s="1353" customFormat="1">
      <c r="A67" s="1351" t="s">
        <v>1236</v>
      </c>
      <c r="B67" s="1352" t="str">
        <f>'预评函-4'!A21</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row>
    <row r="68" spans="1:2" s="1353" customFormat="1">
      <c r="A68" s="1351" t="s">
        <v>1237</v>
      </c>
      <c r="B68" s="1352" t="str">
        <f>'预评函-4'!A22</f>
        <v>8.其他需特殊说明事项：无（注意调整序号）</v>
      </c>
    </row>
    <row r="69" spans="1:2" s="1347" customFormat="1" ht="15" thickBot="1">
      <c r="A69" s="1354" t="s">
        <v>1226</v>
      </c>
      <c r="B69" s="1356">
        <f>'预评函-4'!C31</f>
        <v>42551</v>
      </c>
    </row>
    <row r="70" spans="1:2" ht="15" thickTop="1">
      <c r="A70" s="1357" t="s">
        <v>1227</v>
      </c>
      <c r="B70" s="1358">
        <f>'预评函-4'!A4</f>
        <v>0</v>
      </c>
    </row>
    <row r="71" spans="1:2">
      <c r="A71" s="1351" t="s">
        <v>1228</v>
      </c>
      <c r="B71" s="1352">
        <f>'预评函-4'!B4</f>
        <v>0</v>
      </c>
    </row>
    <row r="72" spans="1:2">
      <c r="A72" s="1351" t="s">
        <v>1229</v>
      </c>
      <c r="B72" s="1360">
        <f>'预评函-4'!A5</f>
        <v>0</v>
      </c>
    </row>
    <row r="73" spans="1:2" s="1347" customFormat="1" ht="15" thickBot="1">
      <c r="A73" s="1354" t="s">
        <v>1230</v>
      </c>
      <c r="B73" s="1355">
        <f>'预评函-4'!B5</f>
        <v>0</v>
      </c>
    </row>
    <row r="74" spans="1:2" ht="15" thickTop="1">
      <c r="A74" s="1344" t="s">
        <v>1266</v>
      </c>
      <c r="B74" s="1361" t="str">
        <f>'预评函-4'!A8</f>
        <v>XX</v>
      </c>
    </row>
  </sheetData>
  <sheetProtection sheet="1" objects="1" scenarios="1"/>
  <phoneticPr fontId="140"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W127"/>
  <sheetViews>
    <sheetView workbookViewId="0">
      <selection activeCell="A7" sqref="A7"/>
    </sheetView>
  </sheetViews>
  <sheetFormatPr defaultColWidth="9" defaultRowHeight="13.5"/>
  <cols>
    <col min="1" max="1" width="13.5" style="1731" customWidth="1"/>
    <col min="2" max="2" width="23.25" style="1682" customWidth="1"/>
    <col min="3" max="3" width="13" style="1726" customWidth="1"/>
    <col min="4" max="4" width="5.75" style="1723" customWidth="1"/>
    <col min="5" max="5" width="7.125" style="1723" customWidth="1"/>
    <col min="6" max="6" width="10.625" style="1723" customWidth="1"/>
    <col min="7" max="7" width="7.5" style="1723" customWidth="1"/>
    <col min="8" max="8" width="9" style="1726" customWidth="1"/>
    <col min="9" max="9" width="11.625" style="1726" customWidth="1"/>
    <col min="10" max="10" width="9" style="1726" customWidth="1"/>
    <col min="11" max="19" width="9" style="1723" customWidth="1"/>
    <col min="20" max="23" width="9" style="1726" customWidth="1"/>
    <col min="24" max="24" width="21.125" style="1682" customWidth="1"/>
    <col min="25" max="16384" width="9" style="1682"/>
  </cols>
  <sheetData>
    <row r="1" spans="1:23" s="1720" customFormat="1" ht="27">
      <c r="A1" s="1714" t="s">
        <v>71</v>
      </c>
      <c r="B1" s="1715" t="s">
        <v>1655</v>
      </c>
      <c r="C1" s="1716" t="s">
        <v>759</v>
      </c>
      <c r="D1" s="1717" t="s">
        <v>1656</v>
      </c>
      <c r="E1" s="1717" t="s">
        <v>1657</v>
      </c>
      <c r="F1" s="1717" t="s">
        <v>1658</v>
      </c>
      <c r="G1" s="1717" t="s">
        <v>1659</v>
      </c>
      <c r="H1" s="1717" t="s">
        <v>1660</v>
      </c>
      <c r="I1" s="1717" t="s">
        <v>1661</v>
      </c>
      <c r="J1" s="1717" t="s">
        <v>1662</v>
      </c>
      <c r="K1" s="1717" t="s">
        <v>1663</v>
      </c>
      <c r="L1" s="1717" t="s">
        <v>1664</v>
      </c>
      <c r="M1" s="1717" t="s">
        <v>1665</v>
      </c>
      <c r="N1" s="1717" t="s">
        <v>1666</v>
      </c>
      <c r="O1" s="1717" t="s">
        <v>1667</v>
      </c>
      <c r="P1" s="1718" t="s">
        <v>753</v>
      </c>
      <c r="Q1" s="1718" t="s">
        <v>1112</v>
      </c>
      <c r="R1" s="1717" t="s">
        <v>1106</v>
      </c>
      <c r="S1" s="1717" t="s">
        <v>1668</v>
      </c>
      <c r="T1" s="1719" t="s">
        <v>1669</v>
      </c>
      <c r="U1" s="1717" t="s">
        <v>1670</v>
      </c>
      <c r="V1" s="1717" t="s">
        <v>1671</v>
      </c>
      <c r="W1" s="1717" t="s">
        <v>755</v>
      </c>
    </row>
    <row r="2" spans="1:23">
      <c r="A2" s="1721" t="s">
        <v>22</v>
      </c>
      <c r="B2" s="1721" t="s">
        <v>1672</v>
      </c>
      <c r="C2" s="1722" t="s">
        <v>760</v>
      </c>
      <c r="D2" s="1723" t="s">
        <v>1673</v>
      </c>
      <c r="E2" s="1723" t="s">
        <v>1674</v>
      </c>
      <c r="F2" s="1723" t="s">
        <v>1675</v>
      </c>
      <c r="G2" s="1723">
        <v>40</v>
      </c>
      <c r="H2" s="1723" t="s">
        <v>1675</v>
      </c>
      <c r="I2" s="1723" t="s">
        <v>1676</v>
      </c>
      <c r="J2" s="1723" t="s">
        <v>1677</v>
      </c>
      <c r="K2" s="1723" t="s">
        <v>1678</v>
      </c>
      <c r="L2" s="1723" t="s">
        <v>1678</v>
      </c>
      <c r="M2" s="1723" t="s">
        <v>1678</v>
      </c>
      <c r="N2" s="1723" t="s">
        <v>1678</v>
      </c>
      <c r="O2" s="1723" t="s">
        <v>1678</v>
      </c>
      <c r="P2" s="1723" t="s">
        <v>1678</v>
      </c>
      <c r="Q2" s="1723" t="s">
        <v>1678</v>
      </c>
      <c r="R2" s="1723" t="s">
        <v>1108</v>
      </c>
      <c r="S2" s="1723" t="s">
        <v>1678</v>
      </c>
      <c r="T2" s="1723" t="s">
        <v>1679</v>
      </c>
      <c r="U2" s="1723" t="s">
        <v>1678</v>
      </c>
      <c r="V2" s="1723" t="s">
        <v>1680</v>
      </c>
      <c r="W2" s="1723" t="s">
        <v>1678</v>
      </c>
    </row>
    <row r="3" spans="1:23">
      <c r="A3" s="1721" t="s">
        <v>1681</v>
      </c>
      <c r="B3" s="1724" t="s">
        <v>1113</v>
      </c>
      <c r="C3" s="1725" t="s">
        <v>761</v>
      </c>
      <c r="D3" s="1723" t="s">
        <v>1682</v>
      </c>
      <c r="E3" s="1723" t="s">
        <v>16</v>
      </c>
      <c r="F3" s="1723" t="s">
        <v>1683</v>
      </c>
      <c r="G3" s="1723">
        <v>50</v>
      </c>
      <c r="H3" s="1723" t="s">
        <v>1683</v>
      </c>
      <c r="I3" s="1723" t="s">
        <v>1684</v>
      </c>
      <c r="J3" s="1723" t="s">
        <v>1685</v>
      </c>
      <c r="K3" s="1723" t="s">
        <v>1686</v>
      </c>
      <c r="L3" s="1723" t="s">
        <v>1686</v>
      </c>
      <c r="M3" s="1723" t="s">
        <v>1686</v>
      </c>
      <c r="N3" s="1723" t="s">
        <v>1686</v>
      </c>
      <c r="O3" s="1723" t="s">
        <v>1686</v>
      </c>
      <c r="P3" s="1723" t="s">
        <v>1686</v>
      </c>
      <c r="Q3" s="1723" t="s">
        <v>1686</v>
      </c>
      <c r="R3" s="1723" t="s">
        <v>1107</v>
      </c>
      <c r="S3" s="1723" t="s">
        <v>1686</v>
      </c>
      <c r="T3" s="1723" t="s">
        <v>1687</v>
      </c>
      <c r="U3" s="1723" t="s">
        <v>1686</v>
      </c>
      <c r="V3" s="1723" t="s">
        <v>1688</v>
      </c>
      <c r="W3" s="1723" t="s">
        <v>1686</v>
      </c>
    </row>
    <row r="4" spans="1:23">
      <c r="A4" s="1721" t="s">
        <v>1689</v>
      </c>
      <c r="B4" s="1721" t="s">
        <v>1690</v>
      </c>
      <c r="C4" s="1722" t="s">
        <v>762</v>
      </c>
      <c r="D4" s="1723" t="s">
        <v>836</v>
      </c>
      <c r="E4" s="1723" t="s">
        <v>1691</v>
      </c>
      <c r="F4" s="1723" t="s">
        <v>1692</v>
      </c>
      <c r="G4" s="1723">
        <v>70</v>
      </c>
      <c r="H4" s="1723" t="s">
        <v>1692</v>
      </c>
      <c r="I4" s="1723" t="s">
        <v>1693</v>
      </c>
      <c r="K4" s="1723" t="s">
        <v>1694</v>
      </c>
      <c r="L4" s="1723" t="s">
        <v>1694</v>
      </c>
      <c r="M4" s="1723" t="s">
        <v>1694</v>
      </c>
      <c r="N4" s="1723" t="s">
        <v>1694</v>
      </c>
      <c r="O4" s="1723" t="s">
        <v>1694</v>
      </c>
      <c r="P4" s="1723" t="s">
        <v>1694</v>
      </c>
      <c r="Q4" s="1723" t="s">
        <v>1694</v>
      </c>
      <c r="R4" s="1723" t="s">
        <v>1109</v>
      </c>
      <c r="S4" s="1723" t="s">
        <v>1694</v>
      </c>
      <c r="T4" s="1723" t="s">
        <v>1695</v>
      </c>
      <c r="U4" s="1723" t="s">
        <v>1694</v>
      </c>
      <c r="W4" s="1723" t="s">
        <v>1694</v>
      </c>
    </row>
    <row r="5" spans="1:23">
      <c r="A5" s="1721" t="s">
        <v>1696</v>
      </c>
      <c r="B5" s="1721" t="s">
        <v>1697</v>
      </c>
      <c r="C5" s="1722" t="s">
        <v>763</v>
      </c>
      <c r="F5" s="1723" t="s">
        <v>1698</v>
      </c>
      <c r="H5" s="1723" t="s">
        <v>1699</v>
      </c>
      <c r="I5" s="1723" t="s">
        <v>1700</v>
      </c>
      <c r="K5" s="1723" t="s">
        <v>1701</v>
      </c>
      <c r="L5" s="1723" t="s">
        <v>1701</v>
      </c>
      <c r="M5" s="1723" t="s">
        <v>1701</v>
      </c>
      <c r="N5" s="1723" t="s">
        <v>1701</v>
      </c>
      <c r="O5" s="1723" t="s">
        <v>1701</v>
      </c>
      <c r="P5" s="1723" t="s">
        <v>1701</v>
      </c>
      <c r="Q5" s="1723" t="s">
        <v>1701</v>
      </c>
      <c r="R5" s="1723" t="s">
        <v>1110</v>
      </c>
      <c r="S5" s="1723" t="s">
        <v>1701</v>
      </c>
      <c r="T5" s="1723" t="s">
        <v>1702</v>
      </c>
      <c r="U5" s="1723" t="s">
        <v>1701</v>
      </c>
      <c r="W5" s="1723" t="s">
        <v>1701</v>
      </c>
    </row>
    <row r="6" spans="1:23">
      <c r="A6" s="1724" t="s">
        <v>3592</v>
      </c>
      <c r="B6" s="1724" t="s">
        <v>1114</v>
      </c>
      <c r="C6" s="1727" t="s">
        <v>30</v>
      </c>
      <c r="F6" s="1723" t="s">
        <v>1699</v>
      </c>
      <c r="H6" s="1723" t="s">
        <v>1703</v>
      </c>
      <c r="I6" s="1723" t="s">
        <v>1704</v>
      </c>
      <c r="K6" s="1723" t="s">
        <v>1705</v>
      </c>
      <c r="L6" s="1723" t="s">
        <v>1705</v>
      </c>
      <c r="M6" s="1723" t="s">
        <v>1705</v>
      </c>
      <c r="N6" s="1723" t="s">
        <v>1705</v>
      </c>
      <c r="O6" s="1723" t="s">
        <v>1705</v>
      </c>
      <c r="P6" s="1723" t="s">
        <v>1705</v>
      </c>
      <c r="Q6" s="1723" t="s">
        <v>1705</v>
      </c>
      <c r="R6" s="1723" t="s">
        <v>1111</v>
      </c>
      <c r="S6" s="1723" t="s">
        <v>1705</v>
      </c>
      <c r="T6" s="1723"/>
      <c r="U6" s="1723" t="s">
        <v>1705</v>
      </c>
      <c r="W6" s="1723" t="s">
        <v>1705</v>
      </c>
    </row>
    <row r="7" spans="1:23">
      <c r="A7" s="1721" t="s">
        <v>1706</v>
      </c>
      <c r="B7" s="1724" t="s">
        <v>1115</v>
      </c>
      <c r="C7" s="1722" t="s">
        <v>31</v>
      </c>
      <c r="F7" s="1723" t="s">
        <v>1707</v>
      </c>
      <c r="H7" s="1723" t="s">
        <v>1708</v>
      </c>
      <c r="I7" s="1723" t="s">
        <v>1709</v>
      </c>
    </row>
    <row r="8" spans="1:23">
      <c r="A8" s="1721" t="s">
        <v>1710</v>
      </c>
      <c r="B8" s="1721" t="s">
        <v>1711</v>
      </c>
      <c r="C8" s="1722" t="s">
        <v>764</v>
      </c>
      <c r="F8" s="1723" t="s">
        <v>1712</v>
      </c>
      <c r="H8" s="1723"/>
      <c r="I8" s="1723" t="s">
        <v>1713</v>
      </c>
    </row>
    <row r="9" spans="1:23">
      <c r="A9" s="1721" t="s">
        <v>1714</v>
      </c>
      <c r="B9" s="1721" t="s">
        <v>1715</v>
      </c>
      <c r="C9" s="1722" t="s">
        <v>765</v>
      </c>
      <c r="F9" s="1723" t="s">
        <v>1716</v>
      </c>
      <c r="H9" s="1723"/>
    </row>
    <row r="10" spans="1:23">
      <c r="A10" s="1721" t="s">
        <v>1717</v>
      </c>
      <c r="B10" s="1721" t="s">
        <v>1718</v>
      </c>
      <c r="C10" s="1722" t="s">
        <v>766</v>
      </c>
      <c r="F10" s="1723" t="s">
        <v>16</v>
      </c>
    </row>
    <row r="11" spans="1:23">
      <c r="A11" s="1721" t="s">
        <v>1719</v>
      </c>
      <c r="B11" s="1721" t="s">
        <v>1720</v>
      </c>
      <c r="C11" s="1722" t="s">
        <v>767</v>
      </c>
    </row>
    <row r="12" spans="1:23">
      <c r="A12" s="1721" t="s">
        <v>1721</v>
      </c>
      <c r="B12" s="1721" t="s">
        <v>1722</v>
      </c>
      <c r="C12" s="1722" t="s">
        <v>768</v>
      </c>
    </row>
    <row r="13" spans="1:23">
      <c r="A13" s="1721" t="s">
        <v>1723</v>
      </c>
      <c r="B13" s="1721" t="s">
        <v>1724</v>
      </c>
      <c r="C13" s="1722" t="s">
        <v>769</v>
      </c>
    </row>
    <row r="14" spans="1:23">
      <c r="A14" s="1721" t="s">
        <v>1725</v>
      </c>
      <c r="B14" s="1721" t="s">
        <v>1726</v>
      </c>
      <c r="C14" s="1723" t="s">
        <v>16</v>
      </c>
    </row>
    <row r="15" spans="1:23">
      <c r="A15" s="1721" t="s">
        <v>1727</v>
      </c>
      <c r="B15" s="1721" t="s">
        <v>1728</v>
      </c>
      <c r="C15" s="1722"/>
    </row>
    <row r="16" spans="1:23">
      <c r="A16" s="1721" t="s">
        <v>1729</v>
      </c>
      <c r="B16" s="1721" t="s">
        <v>756</v>
      </c>
      <c r="C16" s="1722"/>
    </row>
    <row r="17" spans="1:3">
      <c r="A17" s="1721" t="s">
        <v>1730</v>
      </c>
      <c r="B17" s="1721" t="s">
        <v>3019</v>
      </c>
      <c r="C17" s="1722"/>
    </row>
    <row r="18" spans="1:3">
      <c r="A18" s="1721" t="s">
        <v>1731</v>
      </c>
      <c r="B18" s="1721" t="s">
        <v>757</v>
      </c>
      <c r="C18" s="1722"/>
    </row>
    <row r="19" spans="1:3">
      <c r="A19" s="1721" t="s">
        <v>1732</v>
      </c>
      <c r="B19" s="1721" t="s">
        <v>757</v>
      </c>
      <c r="C19" s="1722"/>
    </row>
    <row r="20" spans="1:3">
      <c r="A20" s="1721" t="s">
        <v>1733</v>
      </c>
      <c r="B20" s="1721" t="s">
        <v>757</v>
      </c>
      <c r="C20" s="1722"/>
    </row>
    <row r="21" spans="1:3">
      <c r="A21" s="1721" t="s">
        <v>1734</v>
      </c>
      <c r="B21" s="1721" t="s">
        <v>757</v>
      </c>
      <c r="C21" s="1722"/>
    </row>
    <row r="22" spans="1:3">
      <c r="A22" s="1721" t="s">
        <v>1735</v>
      </c>
      <c r="B22" s="1721" t="s">
        <v>757</v>
      </c>
      <c r="C22" s="1722"/>
    </row>
    <row r="23" spans="1:3">
      <c r="A23" s="1721" t="s">
        <v>1736</v>
      </c>
      <c r="B23" s="1721" t="s">
        <v>757</v>
      </c>
      <c r="C23" s="1722"/>
    </row>
    <row r="24" spans="1:3">
      <c r="A24" s="1721" t="s">
        <v>1737</v>
      </c>
      <c r="B24" s="1721" t="s">
        <v>757</v>
      </c>
      <c r="C24" s="1722"/>
    </row>
    <row r="25" spans="1:3">
      <c r="A25" s="1721" t="s">
        <v>1738</v>
      </c>
      <c r="B25" s="1721" t="s">
        <v>757</v>
      </c>
      <c r="C25" s="1722"/>
    </row>
    <row r="26" spans="1:3">
      <c r="A26" s="1721" t="s">
        <v>1739</v>
      </c>
      <c r="B26" s="1721" t="s">
        <v>757</v>
      </c>
      <c r="C26" s="1722"/>
    </row>
    <row r="27" spans="1:3">
      <c r="A27" s="1721" t="s">
        <v>3059</v>
      </c>
      <c r="B27" s="1721" t="s">
        <v>757</v>
      </c>
      <c r="C27" s="1722"/>
    </row>
    <row r="28" spans="1:3">
      <c r="A28" s="1721" t="s">
        <v>757</v>
      </c>
      <c r="B28" s="1721" t="s">
        <v>757</v>
      </c>
      <c r="C28" s="1722"/>
    </row>
    <row r="29" spans="1:3">
      <c r="A29" s="1721" t="s">
        <v>757</v>
      </c>
      <c r="B29" s="1721" t="s">
        <v>757</v>
      </c>
      <c r="C29" s="1722"/>
    </row>
    <row r="30" spans="1:3">
      <c r="A30" s="1721" t="s">
        <v>757</v>
      </c>
      <c r="B30" s="1721" t="s">
        <v>757</v>
      </c>
      <c r="C30" s="1722"/>
    </row>
    <row r="31" spans="1:3">
      <c r="A31" s="1721" t="s">
        <v>757</v>
      </c>
      <c r="B31" s="1721" t="s">
        <v>757</v>
      </c>
      <c r="C31" s="1722"/>
    </row>
    <row r="32" spans="1:3">
      <c r="A32" s="1721" t="s">
        <v>757</v>
      </c>
      <c r="B32" s="1721" t="s">
        <v>757</v>
      </c>
      <c r="C32" s="1722"/>
    </row>
    <row r="33" spans="1:3">
      <c r="A33" s="1721" t="s">
        <v>757</v>
      </c>
      <c r="B33" s="1721" t="s">
        <v>757</v>
      </c>
      <c r="C33" s="1722"/>
    </row>
    <row r="34" spans="1:3">
      <c r="A34" s="1721" t="s">
        <v>757</v>
      </c>
      <c r="B34" s="1721" t="s">
        <v>757</v>
      </c>
      <c r="C34" s="1722"/>
    </row>
    <row r="35" spans="1:3">
      <c r="A35" s="1721" t="s">
        <v>757</v>
      </c>
      <c r="B35" s="1721" t="s">
        <v>757</v>
      </c>
      <c r="C35" s="1722"/>
    </row>
    <row r="36" spans="1:3">
      <c r="A36" s="1721" t="s">
        <v>757</v>
      </c>
      <c r="B36" s="1721" t="s">
        <v>757</v>
      </c>
      <c r="C36" s="1722"/>
    </row>
    <row r="37" spans="1:3">
      <c r="A37" s="1721" t="s">
        <v>757</v>
      </c>
      <c r="B37" s="1721" t="s">
        <v>757</v>
      </c>
      <c r="C37" s="1722"/>
    </row>
    <row r="38" spans="1:3">
      <c r="A38" s="1721" t="s">
        <v>757</v>
      </c>
      <c r="B38" s="1721" t="s">
        <v>757</v>
      </c>
      <c r="C38" s="1722"/>
    </row>
    <row r="39" spans="1:3">
      <c r="A39" s="1721" t="s">
        <v>757</v>
      </c>
      <c r="B39" s="1721" t="s">
        <v>757</v>
      </c>
      <c r="C39" s="1722"/>
    </row>
    <row r="40" spans="1:3">
      <c r="A40" s="1721" t="s">
        <v>757</v>
      </c>
      <c r="B40" s="1721" t="s">
        <v>757</v>
      </c>
      <c r="C40" s="1722"/>
    </row>
    <row r="41" spans="1:3">
      <c r="A41" s="1721" t="s">
        <v>757</v>
      </c>
      <c r="B41" s="1721" t="s">
        <v>757</v>
      </c>
      <c r="C41" s="1722"/>
    </row>
    <row r="42" spans="1:3">
      <c r="A42" s="1721" t="s">
        <v>757</v>
      </c>
      <c r="B42" s="1721" t="s">
        <v>757</v>
      </c>
      <c r="C42" s="1722"/>
    </row>
    <row r="43" spans="1:3">
      <c r="A43" s="1721" t="s">
        <v>757</v>
      </c>
      <c r="B43" s="1721" t="s">
        <v>757</v>
      </c>
      <c r="C43" s="1722"/>
    </row>
    <row r="44" spans="1:3">
      <c r="A44" s="1721" t="s">
        <v>757</v>
      </c>
      <c r="B44" s="1721" t="s">
        <v>757</v>
      </c>
      <c r="C44" s="1722"/>
    </row>
    <row r="45" spans="1:3">
      <c r="A45" s="1721" t="s">
        <v>757</v>
      </c>
      <c r="B45" s="1721" t="s">
        <v>757</v>
      </c>
      <c r="C45" s="1722"/>
    </row>
    <row r="46" spans="1:3">
      <c r="A46" s="1721" t="s">
        <v>757</v>
      </c>
      <c r="B46" s="1721" t="s">
        <v>757</v>
      </c>
      <c r="C46" s="1722"/>
    </row>
    <row r="47" spans="1:3">
      <c r="A47" s="1721" t="s">
        <v>757</v>
      </c>
      <c r="B47" s="1721" t="s">
        <v>757</v>
      </c>
      <c r="C47" s="1722"/>
    </row>
    <row r="48" spans="1:3">
      <c r="A48" s="1721" t="s">
        <v>757</v>
      </c>
      <c r="B48" s="1721" t="s">
        <v>757</v>
      </c>
      <c r="C48" s="1722"/>
    </row>
    <row r="49" spans="1:4">
      <c r="A49" s="1721" t="s">
        <v>757</v>
      </c>
      <c r="B49" s="1721" t="s">
        <v>757</v>
      </c>
      <c r="C49" s="1722"/>
    </row>
    <row r="50" spans="1:4">
      <c r="A50" s="1721" t="s">
        <v>757</v>
      </c>
      <c r="B50" s="1721" t="s">
        <v>757</v>
      </c>
      <c r="C50" s="1722"/>
    </row>
    <row r="51" spans="1:4">
      <c r="A51" s="1728" t="s">
        <v>825</v>
      </c>
      <c r="B51" s="1729"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1726"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湖南省湘潭市岳塘区芙蓉路以南、晓塘路以北万达酒店出让国有建设用地使用权及在建建筑物房地产作为抵押担保物，向办理贷款手续。特委托北京康正宏基房地产评估有限公司对上述抵押物进行评估。本次评估为确定房地产抵押贷款额度提供参考依据而评估房地产抵押价值。</v>
      </c>
      <c r="D51" s="1729" t="s">
        <v>1251</v>
      </c>
    </row>
    <row r="52" spans="1:4">
      <c r="A52" s="1728" t="s">
        <v>826</v>
      </c>
      <c r="B52" s="1728" t="s">
        <v>827</v>
      </c>
      <c r="C52" s="1726" t="s">
        <v>828</v>
      </c>
      <c r="D52" s="1726" t="s">
        <v>829</v>
      </c>
    </row>
    <row r="53" spans="1:4">
      <c r="A53" s="3205" t="s">
        <v>830</v>
      </c>
      <c r="B53" s="1729" t="s">
        <v>831</v>
      </c>
      <c r="C53" s="1726"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2021年3月25日，估价对象规划用途为土地取得方式为出让，出让国有建设用地使用权剩余土地使用年限为XX年(多用途剩余年限尾数不同时，可只体现小数点后一位)，假定未设立法定优先受偿款下的房地产市场价值。</v>
      </c>
    </row>
    <row r="54" spans="1:4">
      <c r="A54" s="3205"/>
      <c r="B54" s="1729" t="s">
        <v>832</v>
      </c>
      <c r="C54" s="1726" t="s">
        <v>1248</v>
      </c>
    </row>
    <row r="55" spans="1:4">
      <c r="A55" s="3205"/>
      <c r="B55" s="1729" t="s">
        <v>833</v>
      </c>
      <c r="C55" s="1726" t="s">
        <v>1249</v>
      </c>
    </row>
    <row r="56" spans="1:4">
      <c r="A56" s="3205"/>
      <c r="B56" s="1729" t="s">
        <v>834</v>
      </c>
      <c r="C56" s="1726" t="s">
        <v>1253</v>
      </c>
    </row>
    <row r="57" spans="1:4">
      <c r="A57" s="3205"/>
      <c r="B57" s="1729" t="s">
        <v>835</v>
      </c>
      <c r="C57" s="1726" t="s">
        <v>1250</v>
      </c>
    </row>
    <row r="58" spans="1:4">
      <c r="A58" s="1730"/>
      <c r="B58" s="1726"/>
    </row>
    <row r="59" spans="1:4">
      <c r="A59" s="1730"/>
      <c r="B59" s="1726"/>
    </row>
    <row r="60" spans="1:4">
      <c r="A60" s="1730"/>
      <c r="B60" s="1726"/>
    </row>
    <row r="61" spans="1:4">
      <c r="A61" s="1730"/>
      <c r="B61" s="1726"/>
    </row>
    <row r="62" spans="1:4">
      <c r="A62" s="1730"/>
      <c r="B62" s="1726"/>
    </row>
    <row r="63" spans="1:4">
      <c r="A63" s="1730"/>
      <c r="B63" s="1726"/>
    </row>
    <row r="64" spans="1:4">
      <c r="A64" s="1730"/>
      <c r="B64" s="1726"/>
    </row>
    <row r="65" spans="1:2">
      <c r="A65" s="1730"/>
      <c r="B65" s="1726"/>
    </row>
    <row r="66" spans="1:2">
      <c r="A66" s="1730"/>
      <c r="B66" s="1726"/>
    </row>
    <row r="67" spans="1:2">
      <c r="A67" s="1730"/>
      <c r="B67" s="1726"/>
    </row>
    <row r="68" spans="1:2">
      <c r="A68" s="1730"/>
      <c r="B68" s="1726"/>
    </row>
    <row r="69" spans="1:2">
      <c r="A69" s="1730"/>
      <c r="B69" s="1726"/>
    </row>
    <row r="70" spans="1:2">
      <c r="A70" s="1730"/>
      <c r="B70" s="1726"/>
    </row>
    <row r="71" spans="1:2">
      <c r="A71" s="1730"/>
      <c r="B71" s="1726"/>
    </row>
    <row r="72" spans="1:2">
      <c r="A72" s="1730"/>
      <c r="B72" s="1726"/>
    </row>
    <row r="73" spans="1:2">
      <c r="A73" s="1730"/>
      <c r="B73" s="1726"/>
    </row>
    <row r="74" spans="1:2">
      <c r="A74" s="1730"/>
      <c r="B74" s="1726"/>
    </row>
    <row r="75" spans="1:2">
      <c r="A75" s="1730"/>
      <c r="B75" s="1726"/>
    </row>
    <row r="76" spans="1:2">
      <c r="A76" s="1730"/>
      <c r="B76" s="1726"/>
    </row>
    <row r="77" spans="1:2">
      <c r="A77" s="1730"/>
      <c r="B77" s="1726"/>
    </row>
    <row r="78" spans="1:2">
      <c r="A78" s="1730"/>
      <c r="B78" s="1726"/>
    </row>
    <row r="79" spans="1:2">
      <c r="A79" s="1730"/>
      <c r="B79" s="1726"/>
    </row>
    <row r="80" spans="1:2">
      <c r="A80" s="1730"/>
      <c r="B80" s="1726"/>
    </row>
    <row r="81" spans="1:2">
      <c r="A81" s="1730"/>
      <c r="B81" s="1726"/>
    </row>
    <row r="82" spans="1:2">
      <c r="A82" s="1730"/>
      <c r="B82" s="1726"/>
    </row>
    <row r="83" spans="1:2">
      <c r="A83" s="1730"/>
      <c r="B83" s="1726"/>
    </row>
    <row r="84" spans="1:2">
      <c r="A84" s="1730"/>
      <c r="B84" s="1726"/>
    </row>
    <row r="85" spans="1:2">
      <c r="A85" s="1730"/>
      <c r="B85" s="1726"/>
    </row>
    <row r="86" spans="1:2">
      <c r="A86" s="1730"/>
      <c r="B86" s="1726"/>
    </row>
    <row r="87" spans="1:2">
      <c r="A87" s="1730"/>
      <c r="B87" s="1726"/>
    </row>
    <row r="88" spans="1:2">
      <c r="A88" s="1730"/>
      <c r="B88" s="1726"/>
    </row>
    <row r="89" spans="1:2">
      <c r="A89" s="1730"/>
      <c r="B89" s="1726"/>
    </row>
    <row r="90" spans="1:2">
      <c r="A90" s="1730"/>
      <c r="B90" s="1726"/>
    </row>
    <row r="91" spans="1:2">
      <c r="A91" s="1730"/>
      <c r="B91" s="1726"/>
    </row>
    <row r="92" spans="1:2">
      <c r="A92" s="1730"/>
      <c r="B92" s="1726"/>
    </row>
    <row r="93" spans="1:2">
      <c r="A93" s="1730"/>
      <c r="B93" s="1726"/>
    </row>
    <row r="94" spans="1:2">
      <c r="A94" s="1730"/>
      <c r="B94" s="1726"/>
    </row>
    <row r="95" spans="1:2">
      <c r="A95" s="1730"/>
      <c r="B95" s="1726"/>
    </row>
    <row r="96" spans="1:2">
      <c r="A96" s="1730"/>
      <c r="B96" s="1726"/>
    </row>
    <row r="97" spans="1:2">
      <c r="A97" s="1730"/>
      <c r="B97" s="1726"/>
    </row>
    <row r="98" spans="1:2">
      <c r="A98" s="1730"/>
      <c r="B98" s="1726"/>
    </row>
    <row r="99" spans="1:2">
      <c r="A99" s="1730"/>
      <c r="B99" s="1726"/>
    </row>
    <row r="100" spans="1:2">
      <c r="A100" s="1730"/>
      <c r="B100" s="1726"/>
    </row>
    <row r="101" spans="1:2">
      <c r="A101" s="1730"/>
      <c r="B101" s="1726"/>
    </row>
    <row r="102" spans="1:2">
      <c r="A102" s="1730"/>
      <c r="B102" s="1726"/>
    </row>
    <row r="103" spans="1:2">
      <c r="A103" s="1730"/>
      <c r="B103" s="1726"/>
    </row>
    <row r="104" spans="1:2">
      <c r="A104" s="1730"/>
      <c r="B104" s="1726"/>
    </row>
    <row r="105" spans="1:2">
      <c r="A105" s="1730"/>
      <c r="B105" s="1726"/>
    </row>
    <row r="106" spans="1:2">
      <c r="A106" s="1730"/>
      <c r="B106" s="1726"/>
    </row>
    <row r="107" spans="1:2">
      <c r="A107" s="1730"/>
      <c r="B107" s="1726"/>
    </row>
    <row r="108" spans="1:2">
      <c r="A108" s="1730"/>
      <c r="B108" s="1726"/>
    </row>
    <row r="109" spans="1:2">
      <c r="A109" s="1730"/>
      <c r="B109" s="1726"/>
    </row>
    <row r="110" spans="1:2">
      <c r="A110" s="1730"/>
      <c r="B110" s="1726"/>
    </row>
    <row r="111" spans="1:2">
      <c r="A111" s="1730"/>
      <c r="B111" s="1726"/>
    </row>
    <row r="112" spans="1:2">
      <c r="A112" s="1730"/>
      <c r="B112" s="1726"/>
    </row>
    <row r="113" spans="1:2">
      <c r="A113" s="1730"/>
      <c r="B113" s="1726"/>
    </row>
    <row r="114" spans="1:2">
      <c r="A114" s="1730"/>
      <c r="B114" s="1726"/>
    </row>
    <row r="115" spans="1:2">
      <c r="A115" s="1730"/>
      <c r="B115" s="1726"/>
    </row>
    <row r="116" spans="1:2">
      <c r="A116" s="1730"/>
      <c r="B116" s="1726"/>
    </row>
    <row r="117" spans="1:2">
      <c r="A117" s="1730"/>
      <c r="B117" s="1726"/>
    </row>
    <row r="118" spans="1:2">
      <c r="A118" s="1730"/>
      <c r="B118" s="1726"/>
    </row>
    <row r="119" spans="1:2">
      <c r="A119" s="1730"/>
      <c r="B119" s="1726"/>
    </row>
    <row r="120" spans="1:2">
      <c r="A120" s="1730"/>
      <c r="B120" s="1726"/>
    </row>
    <row r="121" spans="1:2">
      <c r="A121" s="1730"/>
      <c r="B121" s="1726"/>
    </row>
    <row r="122" spans="1:2">
      <c r="A122" s="1730"/>
      <c r="B122" s="1726"/>
    </row>
    <row r="123" spans="1:2">
      <c r="A123" s="1730"/>
      <c r="B123" s="1726"/>
    </row>
    <row r="124" spans="1:2">
      <c r="A124" s="1730"/>
      <c r="B124" s="1726"/>
    </row>
    <row r="125" spans="1:2">
      <c r="A125" s="1730"/>
      <c r="B125" s="1726"/>
    </row>
    <row r="126" spans="1:2">
      <c r="A126" s="1730"/>
      <c r="B126" s="1726"/>
    </row>
    <row r="127" spans="1:2">
      <c r="A127" s="1730"/>
      <c r="B127" s="1726"/>
    </row>
  </sheetData>
  <sheetProtection password="CEE9" sheet="1" objects="1" scenarios="1" formatCells="0" formatColumns="0" formatRows="0"/>
  <mergeCells count="1">
    <mergeCell ref="A53:A57"/>
  </mergeCells>
  <phoneticPr fontId="16"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pageSetUpPr fitToPage="1"/>
  </sheetPr>
  <dimension ref="A1:AD56"/>
  <sheetViews>
    <sheetView view="pageBreakPreview" zoomScaleNormal="100" zoomScaleSheetLayoutView="100" workbookViewId="0">
      <selection activeCell="F31" sqref="F31"/>
    </sheetView>
  </sheetViews>
  <sheetFormatPr defaultColWidth="10" defaultRowHeight="12.75"/>
  <cols>
    <col min="1" max="1" width="16.875" style="1920" customWidth="1"/>
    <col min="2" max="2" width="10" style="1920" customWidth="1"/>
    <col min="3" max="3" width="11.5" style="1920" customWidth="1"/>
    <col min="4" max="4" width="10" style="1920" customWidth="1"/>
    <col min="5" max="5" width="12.625" style="1920" customWidth="1"/>
    <col min="6" max="6" width="10" style="1920" customWidth="1"/>
    <col min="7" max="7" width="10.75" style="1920" customWidth="1"/>
    <col min="8" max="8" width="10" style="1920" customWidth="1"/>
    <col min="9" max="9" width="11.125" style="1754" customWidth="1"/>
    <col min="10" max="10" width="10" style="1918" customWidth="1"/>
    <col min="11" max="11" width="10" style="2837" customWidth="1"/>
    <col min="12" max="13" width="10" style="2838" customWidth="1"/>
    <col min="14" max="14" width="10" style="1918" customWidth="1"/>
    <col min="15" max="15" width="10" style="12" customWidth="1"/>
    <col min="16" max="17" width="10" style="1918"/>
    <col min="18" max="18" width="10" style="1918" customWidth="1"/>
    <col min="19" max="30" width="10" style="1918"/>
    <col min="31" max="16384" width="10" style="1920"/>
  </cols>
  <sheetData>
    <row r="1" spans="1:28" ht="13.5" thickBot="1">
      <c r="A1" s="2574" t="s">
        <v>2898</v>
      </c>
      <c r="B1" s="3214" t="str">
        <f>IF(B10="北京市","北京市",C10)&amp;F10&amp;IF(结果表!G1="在建","出让国有建设用地使用权及在建建筑物",IF(结果表!G1="土地","出让国有建设用地使用权",))&amp;B9&amp;"预评估"</f>
        <v>湖南省湘潭市岳塘区芙蓉路以南、晓塘路以北万达酒店出让国有建设用地使用权及在建建筑物预评估</v>
      </c>
      <c r="C1" s="3215"/>
      <c r="D1" s="3215"/>
      <c r="E1" s="3215"/>
      <c r="F1" s="3215"/>
      <c r="G1" s="3215"/>
      <c r="H1" s="3215"/>
      <c r="I1" s="3216"/>
      <c r="J1" s="2679"/>
      <c r="K1" s="2576"/>
      <c r="L1" s="2577"/>
      <c r="M1" s="2577"/>
      <c r="N1" s="2578"/>
      <c r="O1" s="1751"/>
      <c r="P1" s="2578"/>
      <c r="Q1" s="2578"/>
      <c r="R1" s="2578"/>
      <c r="S1" s="1857" t="str">
        <f>IF(B10="北京市","北京市",C10)&amp;F10&amp;IF(结果表!G1="在建","出让国有建设用地使用权及在建建筑物房地产抵押价值",IF(结果表!G1="土地","出让国有建设用地使用权抵押价值",B9))</f>
        <v>湖南省湘潭市岳塘区芙蓉路以南、晓塘路以北万达酒店出让国有建设用地使用权及在建建筑物房地产抵押价值</v>
      </c>
      <c r="T1" s="1920"/>
      <c r="U1" s="1920"/>
      <c r="V1" s="1920"/>
      <c r="W1" s="1920"/>
      <c r="X1" s="1920"/>
      <c r="Y1" s="1920"/>
      <c r="Z1" s="1920"/>
      <c r="AA1" s="1920"/>
      <c r="AB1" s="1920"/>
    </row>
    <row r="2" spans="1:28">
      <c r="A2" s="2575" t="s">
        <v>2899</v>
      </c>
      <c r="B2" s="2579"/>
      <c r="C2" s="2580"/>
      <c r="D2" s="2880"/>
      <c r="E2" s="2871"/>
      <c r="F2" s="2871"/>
      <c r="G2" s="2872"/>
      <c r="H2" s="2872"/>
      <c r="I2" s="2872"/>
      <c r="J2" s="2679"/>
      <c r="K2" s="2576"/>
      <c r="L2" s="2577"/>
      <c r="M2" s="2577"/>
      <c r="N2" s="2578"/>
      <c r="O2" s="1751"/>
      <c r="P2" s="2578"/>
      <c r="Q2" s="2578"/>
      <c r="R2" s="2578"/>
      <c r="S2" s="1857" t="str">
        <f>IF(B10="北京市","北京市",C10)&amp;F10&amp;IF(结果表!G1="在建","出让国有建设用地使用权及在建建筑物房地产",IF(结果表!G1="土地","出让国有建设用地使用权","房地产"))</f>
        <v>湖南省湘潭市岳塘区芙蓉路以南、晓塘路以北万达酒店出让国有建设用地使用权及在建建筑物房地产</v>
      </c>
      <c r="T2" s="1920"/>
      <c r="U2" s="1920"/>
      <c r="V2" s="1920"/>
      <c r="W2" s="1920"/>
      <c r="X2" s="1920"/>
      <c r="Y2" s="1920"/>
      <c r="Z2" s="1920"/>
      <c r="AA2" s="1920"/>
      <c r="AB2" s="1920"/>
    </row>
    <row r="3" spans="1:28">
      <c r="A3" s="308" t="s">
        <v>2900</v>
      </c>
      <c r="B3" s="2581">
        <v>44280</v>
      </c>
      <c r="C3" s="2582" t="s">
        <v>2901</v>
      </c>
      <c r="D3" s="2581">
        <f>B3</f>
        <v>44280</v>
      </c>
      <c r="E3" s="2872"/>
      <c r="F3" s="2872"/>
      <c r="G3" s="2872"/>
      <c r="H3" s="2872"/>
      <c r="I3" s="2872"/>
      <c r="J3" s="2679"/>
      <c r="K3" s="2576"/>
      <c r="L3" s="2577"/>
      <c r="M3" s="2577"/>
      <c r="N3" s="2578"/>
      <c r="O3" s="1751"/>
      <c r="P3" s="2578"/>
      <c r="Q3" s="2578"/>
      <c r="R3" s="2578"/>
      <c r="S3" s="1857"/>
      <c r="T3" s="1920"/>
      <c r="U3" s="1920"/>
      <c r="V3" s="1920"/>
      <c r="W3" s="1920"/>
      <c r="X3" s="1920"/>
      <c r="Y3" s="1920"/>
      <c r="Z3" s="1920"/>
      <c r="AA3" s="1920"/>
      <c r="AB3" s="1920"/>
    </row>
    <row r="4" spans="1:28" ht="13.5" thickBot="1">
      <c r="A4" s="1241" t="s">
        <v>2902</v>
      </c>
      <c r="B4" s="2583"/>
      <c r="C4" s="2584">
        <f>SUMIF(注册房地产估价师,B4,估价师及机构信息!B3:B24)</f>
        <v>0</v>
      </c>
      <c r="D4" s="2583"/>
      <c r="E4" s="2585">
        <f>SUMIF(注册房地产估价师,D4,估价师及机构信息!B3:B24)</f>
        <v>0</v>
      </c>
      <c r="F4" s="2583"/>
      <c r="G4" s="2585">
        <f>SUMIF(注册房地产估价师,F4,估价师及机构信息!B3:B24)</f>
        <v>0</v>
      </c>
      <c r="H4" s="2583"/>
      <c r="I4" s="2585">
        <f>SUMIF(注册房地产估价师,H4,估价师及机构信息!B3:B24)</f>
        <v>0</v>
      </c>
      <c r="J4" s="2648"/>
      <c r="K4" s="2586" t="str">
        <f>CONCATENATE(B4,"（注册号：",C4,")、",D4,"（注册号：",E4,")")</f>
        <v>（注册号：0)、（注册号：0)</v>
      </c>
      <c r="L4" s="2577"/>
      <c r="M4" s="2577"/>
      <c r="N4" s="2578"/>
      <c r="O4" s="1751"/>
      <c r="P4" s="2578"/>
      <c r="Q4" s="2578"/>
      <c r="R4" s="2578"/>
      <c r="S4" s="1857"/>
      <c r="T4" s="1920"/>
      <c r="U4" s="1920"/>
      <c r="V4" s="1920"/>
      <c r="W4" s="1920"/>
      <c r="X4" s="1920"/>
      <c r="Y4" s="1920"/>
      <c r="Z4" s="1920"/>
      <c r="AA4" s="1920"/>
      <c r="AB4" s="1920"/>
    </row>
    <row r="5" spans="1:28" ht="13.5" thickTop="1">
      <c r="A5" s="2587" t="s">
        <v>2903</v>
      </c>
      <c r="B5" s="2588"/>
      <c r="C5" s="2589"/>
      <c r="D5" s="2590"/>
      <c r="E5" s="2873"/>
      <c r="F5" s="2873"/>
      <c r="G5" s="2873"/>
      <c r="H5" s="2873"/>
      <c r="I5" s="2873"/>
      <c r="J5" s="2648"/>
      <c r="K5" s="2586" t="str">
        <f>IF(F4="——","",IF(H4="——",F4&amp;"（注册号："&amp;G4&amp;")",CONCATENATE(F4,"（注册号：",G4,")、",H4,"（注册号：",I4,")")))</f>
        <v>（注册号：0)、（注册号：0)</v>
      </c>
      <c r="L5" s="2577"/>
      <c r="M5" s="2577"/>
      <c r="N5" s="2578"/>
      <c r="O5" s="1751"/>
      <c r="P5" s="2578"/>
      <c r="Q5" s="2578"/>
      <c r="R5" s="2578"/>
      <c r="S5" s="1920"/>
      <c r="T5" s="1920"/>
      <c r="U5" s="1920"/>
      <c r="V5" s="1920"/>
      <c r="W5" s="1920"/>
      <c r="X5" s="1920"/>
      <c r="Y5" s="1920"/>
      <c r="Z5" s="1920"/>
      <c r="AA5" s="1920"/>
      <c r="AB5" s="1920"/>
    </row>
    <row r="6" spans="1:28">
      <c r="A6" s="2591" t="s">
        <v>2904</v>
      </c>
      <c r="B6" s="2592"/>
      <c r="C6" s="2593"/>
      <c r="D6" s="2594"/>
      <c r="E6" s="2871"/>
      <c r="F6" s="2873"/>
      <c r="G6" s="2873"/>
      <c r="H6" s="2873"/>
      <c r="I6" s="2873"/>
      <c r="J6" s="2648"/>
      <c r="K6" s="2823" t="str">
        <f>IF(COUNTIF(B6,"*上海银行*"),"上海银行","")</f>
        <v/>
      </c>
      <c r="L6" s="2821"/>
      <c r="M6" s="2821"/>
      <c r="N6" s="2648"/>
      <c r="O6" s="2659"/>
      <c r="P6" s="2648"/>
      <c r="Q6" s="2648"/>
      <c r="R6" s="2648"/>
    </row>
    <row r="7" spans="1:28">
      <c r="A7" s="2591" t="s">
        <v>2905</v>
      </c>
      <c r="B7" s="2595"/>
      <c r="C7" s="2593"/>
      <c r="D7" s="2594"/>
      <c r="E7" s="2871"/>
      <c r="F7" s="2873"/>
      <c r="G7" s="2873"/>
      <c r="H7" s="2873"/>
      <c r="I7" s="2873"/>
      <c r="J7" s="2648"/>
      <c r="K7" s="2824"/>
      <c r="L7" s="2821"/>
      <c r="M7" s="2821"/>
      <c r="N7" s="2648"/>
      <c r="O7" s="2659"/>
      <c r="P7" s="2648"/>
      <c r="Q7" s="2648"/>
      <c r="R7" s="2648"/>
    </row>
    <row r="8" spans="1:28">
      <c r="A8" s="2596" t="s">
        <v>2906</v>
      </c>
      <c r="B8" s="2597" t="s">
        <v>3049</v>
      </c>
      <c r="C8" s="2598"/>
      <c r="D8" s="3217" t="s">
        <v>2907</v>
      </c>
      <c r="E8" s="2599" t="s">
        <v>3050</v>
      </c>
      <c r="F8" s="2600"/>
      <c r="G8" s="2872"/>
      <c r="H8" s="2872"/>
      <c r="I8" s="2872"/>
      <c r="J8" s="2648"/>
      <c r="K8" s="2822"/>
      <c r="L8" s="2821"/>
      <c r="M8" s="2821"/>
      <c r="N8" s="2648"/>
      <c r="O8" s="2659"/>
      <c r="P8" s="2648"/>
      <c r="Q8" s="2648"/>
      <c r="R8" s="2648"/>
    </row>
    <row r="9" spans="1:28" ht="13.5" thickBot="1">
      <c r="A9" s="2601" t="s">
        <v>2908</v>
      </c>
      <c r="B9" s="2602"/>
      <c r="C9" s="2603"/>
      <c r="D9" s="3218"/>
      <c r="E9" s="2602"/>
      <c r="F9" s="2604"/>
      <c r="G9" s="2874"/>
      <c r="H9" s="2874"/>
      <c r="I9" s="2874"/>
      <c r="J9" s="2648"/>
      <c r="K9" s="2824"/>
      <c r="L9" s="2821"/>
      <c r="M9" s="2821"/>
      <c r="N9" s="2648"/>
      <c r="O9" s="2659"/>
      <c r="P9" s="2648"/>
      <c r="Q9" s="2648"/>
      <c r="R9" s="2648"/>
    </row>
    <row r="10" spans="1:28" ht="13.5" thickTop="1">
      <c r="A10" s="2605" t="s">
        <v>2909</v>
      </c>
      <c r="B10" s="2606" t="s">
        <v>3609</v>
      </c>
      <c r="C10" s="3143" t="s">
        <v>3610</v>
      </c>
      <c r="D10" s="2590"/>
      <c r="E10" s="2607" t="s">
        <v>2910</v>
      </c>
      <c r="F10" s="3144" t="s">
        <v>3897</v>
      </c>
      <c r="G10" s="2875"/>
      <c r="H10" s="2876"/>
      <c r="I10" s="2877"/>
      <c r="J10" s="2648"/>
      <c r="K10" s="2824"/>
      <c r="L10" s="2821"/>
      <c r="M10" s="2821"/>
      <c r="N10" s="2648"/>
      <c r="O10" s="2659"/>
      <c r="P10" s="2648"/>
      <c r="Q10" s="2648"/>
      <c r="R10" s="2648"/>
    </row>
    <row r="11" spans="1:28">
      <c r="A11" s="2608" t="s">
        <v>2911</v>
      </c>
      <c r="B11" s="2609"/>
      <c r="C11" s="2610"/>
      <c r="D11" s="2611"/>
      <c r="E11" s="2578"/>
      <c r="F11" s="2578"/>
      <c r="G11" s="2578"/>
      <c r="H11" s="2578"/>
      <c r="I11" s="2578"/>
      <c r="J11" s="2648"/>
      <c r="K11" s="2824"/>
      <c r="L11" s="2821"/>
      <c r="M11" s="2821"/>
      <c r="N11" s="2648"/>
      <c r="O11" s="2659"/>
      <c r="P11" s="2648"/>
      <c r="Q11" s="2648"/>
      <c r="R11" s="2648"/>
    </row>
    <row r="12" spans="1:28">
      <c r="A12" s="2612" t="s">
        <v>2912</v>
      </c>
      <c r="B12" s="2609" t="s">
        <v>3048</v>
      </c>
      <c r="C12" s="329" t="s">
        <v>2913</v>
      </c>
      <c r="D12" s="2613" t="s">
        <v>2914</v>
      </c>
      <c r="E12" s="2613" t="s">
        <v>2915</v>
      </c>
      <c r="F12" s="2613" t="s">
        <v>2916</v>
      </c>
      <c r="G12" s="2613" t="s">
        <v>2917</v>
      </c>
      <c r="H12" s="2613" t="s">
        <v>2918</v>
      </c>
      <c r="I12" s="2613" t="s">
        <v>2919</v>
      </c>
      <c r="J12" s="2648"/>
      <c r="K12" s="2824"/>
      <c r="L12" s="2821"/>
      <c r="M12" s="2821"/>
      <c r="N12" s="2648"/>
      <c r="O12" s="2659"/>
      <c r="P12" s="2648"/>
      <c r="Q12" s="2648"/>
      <c r="R12" s="2648"/>
    </row>
    <row r="13" spans="1:28" ht="14.25">
      <c r="A13" s="1232"/>
      <c r="B13" s="2614"/>
      <c r="C13" s="2615" t="s">
        <v>2920</v>
      </c>
      <c r="D13" s="962"/>
      <c r="E13" s="3033">
        <v>56231</v>
      </c>
      <c r="F13" s="3025"/>
      <c r="G13" s="962"/>
      <c r="H13" s="962"/>
      <c r="I13" s="962"/>
      <c r="J13" s="2648"/>
      <c r="K13" s="2824"/>
      <c r="L13" s="2821"/>
      <c r="M13" s="2821"/>
      <c r="N13" s="2648"/>
      <c r="O13" s="2659"/>
      <c r="P13" s="2648"/>
      <c r="Q13" s="2648"/>
      <c r="R13" s="2648"/>
    </row>
    <row r="14" spans="1:28" ht="14.25">
      <c r="A14" s="1232"/>
      <c r="B14" s="2614"/>
      <c r="C14" s="2615" t="s">
        <v>2921</v>
      </c>
      <c r="D14" s="2616"/>
      <c r="E14" s="3026">
        <v>40</v>
      </c>
      <c r="F14" s="3026"/>
      <c r="G14" s="3026"/>
      <c r="H14" s="3026"/>
      <c r="I14" s="2616"/>
      <c r="J14" s="2648"/>
      <c r="K14" s="2825"/>
      <c r="L14" s="2821"/>
      <c r="M14" s="2821"/>
      <c r="N14" s="2648"/>
      <c r="O14" s="2659"/>
      <c r="P14" s="2648"/>
      <c r="Q14" s="2648"/>
      <c r="R14" s="2648"/>
    </row>
    <row r="15" spans="1:28">
      <c r="A15" s="326"/>
      <c r="B15" s="2617"/>
      <c r="C15" s="2618" t="s">
        <v>2922</v>
      </c>
      <c r="D15" s="2619" t="str">
        <f>IF(B12="出让",IF(D13="","",ROUNDDOWN(MIN((D13-$D$3)/365,D14),2)),D14)</f>
        <v/>
      </c>
      <c r="E15" s="2619">
        <f>IF(B12="出让",IF(E13="","",ROUNDDOWN(MIN((E13-$D$3)/365,E14),2)),E14)</f>
        <v>32.74</v>
      </c>
      <c r="F15" s="2619" t="str">
        <f>IF(B12="出让",IF(F13="","",ROUNDDOWN(MIN((F13-$D$3)/365,F14),2)),F14)</f>
        <v/>
      </c>
      <c r="G15" s="2619" t="str">
        <f>IF(B12="出让",IF(G13="","",ROUNDDOWN(MIN((G13-$D$3)/365,G14),2)),G14)</f>
        <v/>
      </c>
      <c r="H15" s="2619" t="str">
        <f>IF(B12="出让",IF(H13="","",ROUNDDOWN(MIN((H13-$D$3)/365,H14),2)),H14)</f>
        <v/>
      </c>
      <c r="I15" s="2619" t="str">
        <f>IF(B12="出让",IF(I13="","",ROUNDDOWN(MIN((I13-$D$3)/365,I14),2)),I14)</f>
        <v/>
      </c>
      <c r="J15" s="2648"/>
      <c r="K15" s="2826"/>
      <c r="L15" s="2660"/>
      <c r="M15" s="2660"/>
      <c r="N15" s="2717"/>
      <c r="O15" s="2660"/>
      <c r="P15" s="2717"/>
      <c r="Q15" s="2648"/>
      <c r="R15" s="2648"/>
    </row>
    <row r="16" spans="1:28">
      <c r="A16" s="2607" t="s">
        <v>2923</v>
      </c>
      <c r="B16" s="3224"/>
      <c r="C16" s="3225"/>
      <c r="D16" s="3226"/>
      <c r="E16" s="2622" t="s">
        <v>2924</v>
      </c>
      <c r="F16" s="3227"/>
      <c r="G16" s="3228"/>
      <c r="H16" s="3228"/>
      <c r="I16" s="3229"/>
      <c r="J16" s="2648"/>
      <c r="K16" s="2826"/>
      <c r="L16" s="2660"/>
      <c r="M16" s="2660"/>
      <c r="N16" s="2717"/>
      <c r="O16" s="2660"/>
      <c r="P16" s="2717"/>
      <c r="Q16" s="2648"/>
      <c r="R16" s="2648"/>
    </row>
    <row r="17" spans="1:28">
      <c r="A17" s="319" t="s">
        <v>2925</v>
      </c>
      <c r="B17" s="308" t="s">
        <v>2926</v>
      </c>
      <c r="C17" s="11">
        <f>'数据-汇总表'!E3</f>
        <v>29932.760000000009</v>
      </c>
      <c r="D17" s="2529" t="s">
        <v>2927</v>
      </c>
      <c r="E17" s="3230" t="s">
        <v>2928</v>
      </c>
      <c r="F17" s="3231"/>
      <c r="G17" s="3231"/>
      <c r="H17" s="3231"/>
      <c r="I17" s="3232"/>
      <c r="J17" s="2648"/>
      <c r="K17" s="2827"/>
      <c r="L17" s="2660"/>
      <c r="M17" s="2660"/>
      <c r="N17" s="2717"/>
      <c r="O17" s="2660"/>
      <c r="P17" s="2717"/>
      <c r="Q17" s="2648"/>
      <c r="R17" s="2648"/>
      <c r="S17" s="2648"/>
      <c r="T17" s="2648"/>
      <c r="U17" s="2648"/>
      <c r="V17" s="2648"/>
    </row>
    <row r="18" spans="1:28" ht="24.75" thickBot="1">
      <c r="A18" s="2623" t="s">
        <v>2929</v>
      </c>
      <c r="B18" s="1241" t="s">
        <v>2930</v>
      </c>
      <c r="C18" s="2624">
        <f>'数据-汇总表'!D3</f>
        <v>0</v>
      </c>
      <c r="D18" s="1243" t="s">
        <v>2931</v>
      </c>
      <c r="E18" s="3233" t="s">
        <v>2932</v>
      </c>
      <c r="F18" s="3234"/>
      <c r="G18" s="3234"/>
      <c r="H18" s="3234"/>
      <c r="I18" s="3235"/>
      <c r="J18" s="2648"/>
      <c r="K18" s="2827"/>
      <c r="L18" s="2660"/>
      <c r="M18" s="2660"/>
      <c r="N18" s="2717"/>
      <c r="O18" s="2660"/>
      <c r="P18" s="2717"/>
      <c r="Q18" s="2648"/>
      <c r="R18" s="2648"/>
      <c r="S18" s="2648"/>
      <c r="T18" s="2648"/>
      <c r="U18" s="2648"/>
      <c r="V18" s="2648"/>
    </row>
    <row r="19" spans="1:28" ht="37.5" thickTop="1" thickBot="1">
      <c r="A19" s="333" t="s">
        <v>1740</v>
      </c>
      <c r="B19" s="313" t="s">
        <v>2933</v>
      </c>
      <c r="C19" s="1738"/>
      <c r="D19" s="1739" t="s">
        <v>2934</v>
      </c>
      <c r="E19" s="1740"/>
      <c r="F19" s="1741" t="str">
        <f>IF(AND(C19="是",E19="否"),"是否提供他项权证或相关说明","")</f>
        <v/>
      </c>
      <c r="G19" s="1742"/>
      <c r="H19" s="2873"/>
      <c r="I19" s="2873"/>
      <c r="J19" s="2648"/>
      <c r="K19" s="2824"/>
      <c r="L19" s="2821"/>
      <c r="M19" s="2821"/>
      <c r="N19" s="2717"/>
      <c r="O19" s="2660"/>
      <c r="P19" s="2717"/>
      <c r="Q19" s="2648"/>
      <c r="R19" s="2648"/>
      <c r="S19" s="2648"/>
      <c r="T19" s="2648"/>
      <c r="U19" s="2648"/>
      <c r="V19" s="2648"/>
    </row>
    <row r="20" spans="1:28">
      <c r="A20" s="2841" t="s">
        <v>2935</v>
      </c>
      <c r="B20" s="3220" t="s">
        <v>2936</v>
      </c>
      <c r="C20" s="3221"/>
      <c r="D20" s="3222" t="s">
        <v>2937</v>
      </c>
      <c r="E20" s="3223"/>
      <c r="F20" s="2856" t="s">
        <v>1741</v>
      </c>
      <c r="G20" s="2873"/>
      <c r="H20" s="2873"/>
      <c r="I20" s="2873"/>
      <c r="J20" s="2648"/>
      <c r="K20" s="3219" t="s">
        <v>2938</v>
      </c>
      <c r="L20" s="691"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根据估价对象《房屋所有权证》原件、《国有土地使用权》复印件，截至价值时点，估价对象抵押权未见登记。</v>
      </c>
      <c r="M20" s="2577"/>
      <c r="N20" s="2621"/>
      <c r="O20" s="2620"/>
      <c r="P20" s="2621"/>
      <c r="Q20" s="2578"/>
      <c r="R20" s="2578"/>
      <c r="S20" s="2578"/>
      <c r="T20" s="2578"/>
      <c r="U20" s="2578"/>
      <c r="V20" s="2578"/>
      <c r="W20" s="1920"/>
      <c r="X20" s="1920"/>
      <c r="Y20" s="1920"/>
      <c r="Z20" s="1920"/>
      <c r="AA20" s="1920"/>
      <c r="AB20" s="1920"/>
    </row>
    <row r="21" spans="1:28" ht="24.75" thickBot="1">
      <c r="A21" s="2841"/>
      <c r="B21" s="2842" t="s">
        <v>2939</v>
      </c>
      <c r="C21" s="2843" t="s">
        <v>1742</v>
      </c>
      <c r="D21" s="1743" t="s">
        <v>2940</v>
      </c>
      <c r="E21" s="2844" t="s">
        <v>1742</v>
      </c>
      <c r="F21" s="2857"/>
      <c r="G21" s="2873"/>
      <c r="H21" s="2873"/>
      <c r="I21" s="2873"/>
      <c r="J21" s="2648"/>
      <c r="K21" s="3219"/>
      <c r="L21" s="691"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2577"/>
      <c r="N21" s="2621"/>
      <c r="O21" s="2620"/>
      <c r="P21" s="2621"/>
      <c r="Q21" s="2578"/>
      <c r="R21" s="2578"/>
      <c r="S21" s="2578"/>
      <c r="T21" s="2578"/>
      <c r="U21" s="2578"/>
      <c r="V21" s="2578"/>
      <c r="W21" s="1920"/>
      <c r="X21" s="1920"/>
      <c r="Y21" s="1920"/>
      <c r="Z21" s="1920"/>
      <c r="AA21" s="1920"/>
      <c r="AB21" s="1920"/>
    </row>
    <row r="22" spans="1:28" ht="24.75" thickBot="1">
      <c r="A22" s="2841"/>
      <c r="B22" s="2845" t="s">
        <v>2941</v>
      </c>
      <c r="C22" s="2843" t="s">
        <v>1743</v>
      </c>
      <c r="D22" s="2872"/>
      <c r="E22" s="2872"/>
      <c r="F22" s="2872"/>
      <c r="G22" s="2873"/>
      <c r="H22" s="2873"/>
      <c r="I22" s="2873"/>
      <c r="J22" s="2648"/>
      <c r="K22" s="3219"/>
      <c r="L22" s="691"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2577"/>
      <c r="N22" s="2621"/>
      <c r="O22" s="2620"/>
      <c r="P22" s="2621"/>
      <c r="Q22" s="2578"/>
      <c r="R22" s="2578"/>
      <c r="S22" s="2578"/>
      <c r="T22" s="2578"/>
      <c r="U22" s="2578"/>
      <c r="V22" s="2578"/>
      <c r="W22" s="1920"/>
      <c r="X22" s="1920"/>
      <c r="Y22" s="1920"/>
      <c r="Z22" s="1920"/>
      <c r="AA22" s="1920"/>
      <c r="AB22" s="1920"/>
    </row>
    <row r="23" spans="1:28">
      <c r="A23" s="2846" t="s">
        <v>2942</v>
      </c>
      <c r="B23" s="2710" t="s">
        <v>2943</v>
      </c>
      <c r="C23" s="2847"/>
      <c r="D23" s="2848" t="s">
        <v>2943</v>
      </c>
      <c r="E23" s="2849"/>
      <c r="F23" s="2872"/>
      <c r="G23" s="2873"/>
      <c r="H23" s="2873"/>
      <c r="I23" s="2873"/>
      <c r="J23" s="2648"/>
      <c r="K23" s="2828"/>
      <c r="L23" s="2683"/>
      <c r="M23" s="2821"/>
      <c r="N23" s="2717"/>
      <c r="O23" s="2660"/>
      <c r="P23" s="2717"/>
      <c r="Q23" s="2648"/>
      <c r="R23" s="2648"/>
      <c r="S23" s="2648"/>
      <c r="T23" s="2648"/>
      <c r="U23" s="2648"/>
      <c r="V23" s="2648"/>
    </row>
    <row r="24" spans="1:28">
      <c r="A24" s="2846"/>
      <c r="B24" s="2710" t="s">
        <v>1744</v>
      </c>
      <c r="C24" s="2850"/>
      <c r="D24" s="2846" t="s">
        <v>1744</v>
      </c>
      <c r="E24" s="2851"/>
      <c r="F24" s="2872"/>
      <c r="G24" s="2873"/>
      <c r="H24" s="2873"/>
      <c r="I24" s="2873"/>
      <c r="J24" s="2648"/>
      <c r="K24" s="2828"/>
      <c r="L24" s="2683"/>
      <c r="M24" s="2821"/>
      <c r="N24" s="2717"/>
      <c r="O24" s="2660"/>
      <c r="P24" s="2717"/>
      <c r="Q24" s="2648"/>
      <c r="R24" s="2648"/>
      <c r="S24" s="2648"/>
      <c r="T24" s="2648"/>
      <c r="U24" s="2648"/>
      <c r="V24" s="2648"/>
    </row>
    <row r="25" spans="1:28">
      <c r="A25" s="2846"/>
      <c r="B25" s="2710" t="s">
        <v>1745</v>
      </c>
      <c r="C25" s="2850"/>
      <c r="D25" s="2846" t="s">
        <v>1745</v>
      </c>
      <c r="E25" s="2851"/>
      <c r="F25" s="2872"/>
      <c r="G25" s="2873"/>
      <c r="H25" s="2873"/>
      <c r="I25" s="2873"/>
      <c r="J25" s="2648"/>
      <c r="K25" s="2824"/>
      <c r="L25" s="2821"/>
      <c r="M25" s="2821"/>
      <c r="N25" s="2717"/>
      <c r="O25" s="2660"/>
      <c r="P25" s="2717"/>
      <c r="Q25" s="2648"/>
      <c r="R25" s="2648"/>
      <c r="S25" s="2648"/>
      <c r="T25" s="2648"/>
      <c r="U25" s="2648"/>
      <c r="V25" s="2648"/>
    </row>
    <row r="26" spans="1:28" ht="13.5" thickBot="1">
      <c r="A26" s="2852"/>
      <c r="B26" s="2853" t="s">
        <v>1746</v>
      </c>
      <c r="C26" s="2854"/>
      <c r="D26" s="2852" t="s">
        <v>1746</v>
      </c>
      <c r="E26" s="2855"/>
      <c r="F26" s="2874"/>
      <c r="G26" s="2874"/>
      <c r="H26" s="2874"/>
      <c r="I26" s="2874"/>
      <c r="J26" s="2648"/>
      <c r="K26" s="2824"/>
      <c r="L26" s="2821"/>
      <c r="M26" s="2821"/>
      <c r="N26" s="2717"/>
      <c r="O26" s="2660"/>
      <c r="P26" s="2717"/>
      <c r="Q26" s="2648"/>
      <c r="R26" s="2648"/>
      <c r="S26" s="2648"/>
      <c r="T26" s="2648"/>
      <c r="U26" s="2648"/>
      <c r="V26" s="2648"/>
    </row>
    <row r="27" spans="1:28" ht="13.5" thickTop="1">
      <c r="A27" s="3207" t="s">
        <v>2944</v>
      </c>
      <c r="B27" s="326" t="s">
        <v>2945</v>
      </c>
      <c r="C27" s="2625" t="s">
        <v>3898</v>
      </c>
      <c r="D27" s="2626"/>
      <c r="E27" s="2873"/>
      <c r="F27" s="2873"/>
      <c r="G27" s="2873"/>
      <c r="H27" s="2873"/>
      <c r="I27" s="2873"/>
      <c r="J27" s="2648"/>
      <c r="K27" s="2826"/>
      <c r="L27" s="2660"/>
      <c r="M27" s="2660"/>
      <c r="N27" s="2717"/>
      <c r="O27" s="2660"/>
      <c r="P27" s="2717"/>
      <c r="Q27" s="2648"/>
      <c r="R27" s="2648"/>
      <c r="S27" s="2648"/>
      <c r="T27" s="2648"/>
      <c r="U27" s="2648"/>
      <c r="V27" s="2648"/>
    </row>
    <row r="28" spans="1:28">
      <c r="A28" s="3207"/>
      <c r="B28" s="308" t="s">
        <v>2946</v>
      </c>
      <c r="C28" s="2627"/>
      <c r="D28" s="2628"/>
      <c r="E28" s="2873"/>
      <c r="F28" s="2873"/>
      <c r="G28" s="2873"/>
      <c r="H28" s="2873"/>
      <c r="I28" s="2873"/>
      <c r="J28" s="2648"/>
      <c r="K28" s="2824"/>
      <c r="L28" s="2821"/>
      <c r="M28" s="2821"/>
      <c r="N28" s="2648"/>
      <c r="O28" s="2659"/>
      <c r="P28" s="2648"/>
      <c r="Q28" s="2648"/>
      <c r="R28" s="2648"/>
      <c r="S28" s="2648"/>
      <c r="T28" s="2648"/>
      <c r="U28" s="2648"/>
      <c r="V28" s="2648"/>
    </row>
    <row r="29" spans="1:28">
      <c r="A29" s="3207"/>
      <c r="B29" s="308" t="s">
        <v>2947</v>
      </c>
      <c r="C29" s="2629"/>
      <c r="D29" s="2630"/>
      <c r="E29" s="2873"/>
      <c r="F29" s="2873"/>
      <c r="G29" s="2873"/>
      <c r="H29" s="2873"/>
      <c r="I29" s="2873"/>
      <c r="J29" s="2648"/>
      <c r="K29" s="2824"/>
      <c r="L29" s="2821"/>
      <c r="M29" s="2821"/>
      <c r="N29" s="2648"/>
      <c r="O29" s="2659"/>
      <c r="P29" s="2648"/>
      <c r="Q29" s="2648"/>
      <c r="R29" s="2648"/>
      <c r="S29" s="2648"/>
      <c r="T29" s="2648"/>
      <c r="U29" s="2648"/>
      <c r="V29" s="2648"/>
    </row>
    <row r="30" spans="1:28">
      <c r="A30" s="3208"/>
      <c r="B30" s="308" t="s">
        <v>2948</v>
      </c>
      <c r="C30" s="3209"/>
      <c r="D30" s="3210"/>
      <c r="E30" s="2873"/>
      <c r="F30" s="2873"/>
      <c r="G30" s="2873"/>
      <c r="H30" s="2873"/>
      <c r="I30" s="2873"/>
      <c r="J30" s="2648"/>
      <c r="K30" s="2824"/>
      <c r="L30" s="2821"/>
      <c r="M30" s="2821"/>
      <c r="N30" s="2648"/>
      <c r="O30" s="2659"/>
      <c r="P30" s="2648"/>
      <c r="Q30" s="2648"/>
      <c r="R30" s="2648"/>
      <c r="S30" s="2648"/>
      <c r="T30" s="2648"/>
      <c r="U30" s="2648"/>
      <c r="V30" s="2648"/>
    </row>
    <row r="31" spans="1:28">
      <c r="A31" s="3211" t="s">
        <v>2949</v>
      </c>
      <c r="B31" s="2631" t="s">
        <v>3899</v>
      </c>
      <c r="C31" s="2530" t="str">
        <f>IF(B31="现房","成新及维护状况正常否",IF(B31="在建","工程状态是否正常",IF(B31="土地","是否闲置","-")))</f>
        <v>工程状态是否正常</v>
      </c>
      <c r="D31" s="1547"/>
      <c r="E31" s="2632"/>
      <c r="F31" s="2873"/>
      <c r="G31" s="2873"/>
      <c r="H31" s="2873"/>
      <c r="I31" s="2873"/>
      <c r="J31" s="2648"/>
      <c r="K31" s="2823"/>
      <c r="L31" s="2821"/>
      <c r="M31" s="2821"/>
      <c r="N31" s="2648"/>
      <c r="O31" s="2659"/>
      <c r="P31" s="2648"/>
      <c r="Q31" s="2648"/>
      <c r="R31" s="2648"/>
      <c r="S31" s="2648"/>
      <c r="T31" s="2648"/>
      <c r="U31" s="2648"/>
      <c r="V31" s="2648"/>
    </row>
    <row r="32" spans="1:28">
      <c r="A32" s="3212"/>
      <c r="B32" s="2631"/>
      <c r="C32" s="2530" t="str">
        <f>IF(B32="现房","成新及维护状况是否正常",IF(B32="在建","工程状态是否正常",IF(B32="土地","是否闲置","-")))</f>
        <v>-</v>
      </c>
      <c r="D32" s="1547"/>
      <c r="E32" s="2632"/>
      <c r="F32" s="2873"/>
      <c r="G32" s="2873"/>
      <c r="H32" s="2873"/>
      <c r="I32" s="2873"/>
      <c r="J32" s="2648"/>
      <c r="K32" s="2824"/>
      <c r="L32" s="2821"/>
      <c r="M32" s="2821"/>
      <c r="N32" s="2648"/>
      <c r="O32" s="2659"/>
      <c r="P32" s="2648"/>
      <c r="Q32" s="2648"/>
      <c r="R32" s="2648"/>
      <c r="S32" s="2648"/>
      <c r="T32" s="2648"/>
      <c r="U32" s="2648"/>
      <c r="V32" s="2648"/>
    </row>
    <row r="33" spans="1:30">
      <c r="A33" s="3212"/>
      <c r="B33" s="2634"/>
      <c r="C33" s="1765" t="str">
        <f>IF(B33="现房","成新及维护状况是否正常",IF(B33="在建","工程状态是否正常",IF(B33="土地","是否闲置","-")))</f>
        <v>-</v>
      </c>
      <c r="D33" s="1539"/>
      <c r="E33" s="2635"/>
      <c r="F33" s="2873"/>
      <c r="G33" s="2873"/>
      <c r="H33" s="2873"/>
      <c r="I33" s="2873"/>
      <c r="J33" s="2648"/>
      <c r="K33" s="2824"/>
      <c r="L33" s="2821"/>
      <c r="M33" s="2821"/>
      <c r="N33" s="2648"/>
      <c r="O33" s="2659"/>
      <c r="P33" s="2648"/>
      <c r="Q33" s="2648"/>
      <c r="R33" s="2648"/>
      <c r="S33" s="2648"/>
      <c r="T33" s="2648"/>
      <c r="U33" s="2648"/>
      <c r="V33" s="2648"/>
    </row>
    <row r="34" spans="1:30" ht="14.25">
      <c r="A34" s="308" t="s">
        <v>2950</v>
      </c>
      <c r="B34" s="3027" t="s">
        <v>3051</v>
      </c>
      <c r="C34" s="3027" t="s">
        <v>3052</v>
      </c>
      <c r="D34" s="3027" t="s">
        <v>3053</v>
      </c>
      <c r="E34" s="3027" t="s">
        <v>3054</v>
      </c>
      <c r="F34" s="3027" t="s">
        <v>3055</v>
      </c>
      <c r="G34" s="2199" t="s">
        <v>3056</v>
      </c>
      <c r="H34" s="2199" t="s">
        <v>3057</v>
      </c>
      <c r="I34" s="2873"/>
      <c r="J34" s="2648"/>
      <c r="K34" s="2636">
        <f>COUNTIF(B34:H34,"——")</f>
        <v>0</v>
      </c>
      <c r="L34" s="329" t="s">
        <v>2951</v>
      </c>
      <c r="M34" s="329" t="s">
        <v>2952</v>
      </c>
      <c r="N34" s="329" t="s">
        <v>2953</v>
      </c>
      <c r="O34" s="329" t="s">
        <v>2954</v>
      </c>
      <c r="P34" s="329" t="s">
        <v>2955</v>
      </c>
      <c r="Q34" s="329" t="s">
        <v>2956</v>
      </c>
      <c r="R34" s="329" t="s">
        <v>2957</v>
      </c>
      <c r="S34" s="3206" t="s">
        <v>2958</v>
      </c>
      <c r="T34" s="2637" t="str">
        <f>NUMBERSTRING(7-K34,1)&amp;"通"</f>
        <v>七通</v>
      </c>
      <c r="U34" s="2648"/>
      <c r="V34" s="2648"/>
    </row>
    <row r="35" spans="1:30">
      <c r="A35" s="2638"/>
      <c r="B35" s="3213" t="s">
        <v>2959</v>
      </c>
      <c r="C35" s="3213"/>
      <c r="D35" s="3213"/>
      <c r="E35" s="3213"/>
      <c r="F35" s="671" t="str">
        <f>C10</f>
        <v>湖南省</v>
      </c>
      <c r="G35" s="2873"/>
      <c r="H35" s="2873"/>
      <c r="I35" s="2873"/>
      <c r="J35" s="2648"/>
      <c r="K35" s="329"/>
      <c r="L35" s="329" t="str">
        <f>B34</f>
        <v>通路</v>
      </c>
      <c r="M35" s="335" t="str">
        <f>B34&amp;"、"&amp;C34</f>
        <v>通路、通电</v>
      </c>
      <c r="N35" s="335" t="str">
        <f>B34&amp;"、"&amp;C34&amp;"、"&amp;D34</f>
        <v>通路、通电、通讯</v>
      </c>
      <c r="O35" s="335" t="str">
        <f>B34&amp;"、"&amp;C34&amp;"、"&amp;D34&amp;"、"&amp;E34</f>
        <v>通路、通电、通讯、通上水</v>
      </c>
      <c r="P35" s="335" t="str">
        <f>B34&amp;"、"&amp;C34&amp;"、"&amp;D34&amp;"、"&amp;E34&amp;"、"&amp;F34</f>
        <v>通路、通电、通讯、通上水、通下水</v>
      </c>
      <c r="Q35" s="335" t="str">
        <f>B34&amp;"、"&amp;C34&amp;"、"&amp;D34&amp;"、"&amp;E34&amp;"、"&amp;F34&amp;"、"&amp;G34</f>
        <v>通路、通电、通讯、通上水、通下水、通热</v>
      </c>
      <c r="R35" s="335" t="str">
        <f>B34&amp;"、"&amp;C34&amp;"、"&amp;D34&amp;"、"&amp;E34&amp;"、"&amp;F34&amp;"、"&amp;G34&amp;"、"&amp;H34</f>
        <v>通路、通电、通讯、通上水、通下水、通热、燃气</v>
      </c>
      <c r="S35" s="3206"/>
      <c r="T35" s="335" t="str">
        <f>IF(T34="一通",L35,IF(T34="二通",M35,IF(T34="三通",N35,IF(T34="四通",O35,IF(T34="五通",P35,IF(T34="六通",Q35,R35))))))</f>
        <v>通路、通电、通讯、通上水、通下水、通热、燃气</v>
      </c>
      <c r="U35" s="2648"/>
      <c r="V35" s="2648"/>
    </row>
    <row r="36" spans="1:30">
      <c r="A36" s="2639"/>
      <c r="B36" s="671" t="s">
        <v>2915</v>
      </c>
      <c r="C36" s="671" t="s">
        <v>2916</v>
      </c>
      <c r="D36" s="671" t="s">
        <v>2914</v>
      </c>
      <c r="E36" s="671" t="s">
        <v>2919</v>
      </c>
      <c r="F36" s="2878"/>
      <c r="G36" s="2873"/>
      <c r="H36" s="2873"/>
      <c r="I36" s="2873"/>
      <c r="J36" s="2648"/>
      <c r="K36" s="2824"/>
      <c r="L36" s="2821"/>
      <c r="M36" s="2821"/>
      <c r="N36" s="2648"/>
      <c r="O36" s="2659"/>
      <c r="P36" s="2648"/>
      <c r="Q36" s="2648"/>
      <c r="R36" s="2648"/>
      <c r="S36" s="2648"/>
      <c r="T36" s="2648"/>
      <c r="U36" s="2648"/>
      <c r="V36" s="2648"/>
    </row>
    <row r="37" spans="1:30">
      <c r="A37" s="2839" t="s">
        <v>2960</v>
      </c>
      <c r="B37" s="2640"/>
      <c r="C37" s="2640"/>
      <c r="D37" s="2640"/>
      <c r="E37" s="2640"/>
      <c r="F37" s="2878"/>
      <c r="G37" s="2873"/>
      <c r="H37" s="2873"/>
      <c r="I37" s="2873"/>
      <c r="J37" s="2648"/>
      <c r="K37" s="2824"/>
      <c r="L37" s="2821"/>
      <c r="M37" s="2821"/>
      <c r="N37" s="2648"/>
      <c r="O37" s="2659"/>
      <c r="P37" s="2648"/>
      <c r="Q37" s="2648"/>
      <c r="R37" s="2648"/>
      <c r="S37" s="2648"/>
      <c r="T37" s="2648"/>
      <c r="U37" s="2648"/>
      <c r="V37" s="2648"/>
    </row>
    <row r="38" spans="1:30" ht="13.5" thickBot="1">
      <c r="A38" s="2840" t="s">
        <v>2961</v>
      </c>
      <c r="B38" s="2641"/>
      <c r="C38" s="2641"/>
      <c r="D38" s="2641"/>
      <c r="E38" s="2641"/>
      <c r="F38" s="2879"/>
      <c r="G38" s="2874"/>
      <c r="H38" s="2874"/>
      <c r="I38" s="2874"/>
      <c r="J38" s="2648"/>
      <c r="K38" s="2824"/>
      <c r="L38" s="2821"/>
      <c r="M38" s="2821"/>
      <c r="N38" s="2648"/>
      <c r="O38" s="2659"/>
      <c r="P38" s="2648"/>
      <c r="Q38" s="2648"/>
      <c r="R38" s="2648"/>
      <c r="S38" s="2648"/>
      <c r="T38" s="2648"/>
      <c r="U38" s="2648"/>
      <c r="V38" s="2648"/>
    </row>
    <row r="39" spans="1:30" s="2644" customFormat="1" ht="14.25" thickTop="1" thickBot="1">
      <c r="A39" s="2642" t="s">
        <v>2962</v>
      </c>
      <c r="B39" s="2643"/>
      <c r="C39" s="2643"/>
      <c r="D39" s="2643"/>
      <c r="E39" s="2643"/>
      <c r="F39" s="2643"/>
      <c r="G39" s="2643"/>
      <c r="H39" s="2643"/>
      <c r="I39" s="2643"/>
      <c r="J39" s="2831"/>
      <c r="K39" s="2832"/>
      <c r="L39" s="2831"/>
      <c r="M39" s="2831"/>
      <c r="N39" s="2831"/>
      <c r="O39" s="2833"/>
      <c r="P39" s="2831"/>
      <c r="Q39" s="2831"/>
      <c r="R39" s="2831"/>
      <c r="S39" s="2831"/>
      <c r="T39" s="2831"/>
      <c r="U39" s="2831"/>
      <c r="V39" s="2831"/>
      <c r="W39" s="2834"/>
      <c r="X39" s="2834"/>
      <c r="Y39" s="2834"/>
      <c r="Z39" s="2834"/>
      <c r="AA39" s="2834"/>
      <c r="AB39" s="2834"/>
      <c r="AC39" s="2834"/>
      <c r="AD39" s="2834"/>
    </row>
    <row r="40" spans="1:30">
      <c r="A40" s="2578"/>
      <c r="B40" s="2578"/>
      <c r="C40" s="2578"/>
      <c r="D40" s="2578"/>
      <c r="E40" s="2578"/>
      <c r="F40" s="2578"/>
      <c r="G40" s="2578"/>
      <c r="H40" s="2578"/>
      <c r="I40" s="1753"/>
      <c r="J40" s="2717"/>
      <c r="K40" s="2823"/>
      <c r="L40" s="2660"/>
      <c r="M40" s="2660"/>
      <c r="N40" s="2717"/>
      <c r="O40" s="2660"/>
      <c r="P40" s="2648"/>
      <c r="Q40" s="2648"/>
      <c r="R40" s="2648"/>
      <c r="S40" s="2648"/>
      <c r="T40" s="2648"/>
      <c r="U40" s="2648"/>
      <c r="V40" s="2648"/>
    </row>
    <row r="41" spans="1:30">
      <c r="A41" s="2645" t="s">
        <v>2963</v>
      </c>
      <c r="B41" s="1932"/>
      <c r="C41" s="1547"/>
      <c r="D41" s="2578"/>
      <c r="E41" s="2578"/>
      <c r="F41" s="2578"/>
      <c r="G41" s="2578"/>
      <c r="H41" s="2578"/>
      <c r="I41" s="1751"/>
      <c r="J41" s="2648"/>
      <c r="K41" s="2824"/>
      <c r="L41" s="2821"/>
      <c r="M41" s="2821"/>
      <c r="N41" s="2648"/>
      <c r="O41" s="2659"/>
      <c r="P41" s="2648"/>
      <c r="Q41" s="2648"/>
      <c r="R41" s="2648"/>
      <c r="S41" s="2648"/>
      <c r="T41" s="2648"/>
      <c r="U41" s="2648"/>
      <c r="V41" s="2648"/>
    </row>
    <row r="42" spans="1:30" ht="25.5">
      <c r="A42" s="329" t="s">
        <v>2964</v>
      </c>
      <c r="B42" s="11" t="s">
        <v>2965</v>
      </c>
      <c r="C42" s="11" t="s">
        <v>2966</v>
      </c>
      <c r="D42" s="11" t="s">
        <v>2967</v>
      </c>
      <c r="E42" s="11" t="s">
        <v>2968</v>
      </c>
      <c r="F42" s="11" t="s">
        <v>2969</v>
      </c>
      <c r="G42" s="11" t="s">
        <v>2970</v>
      </c>
      <c r="H42" s="11" t="s">
        <v>2971</v>
      </c>
      <c r="I42" s="11" t="s">
        <v>2972</v>
      </c>
      <c r="J42" s="2835" t="s">
        <v>2973</v>
      </c>
      <c r="K42" s="2836" t="s">
        <v>2974</v>
      </c>
      <c r="L42" s="2836" t="s">
        <v>2975</v>
      </c>
      <c r="M42" s="2836" t="s">
        <v>2976</v>
      </c>
      <c r="N42" s="2829" t="s">
        <v>2977</v>
      </c>
      <c r="O42" s="2829" t="s">
        <v>2978</v>
      </c>
      <c r="P42" s="2829" t="s">
        <v>2979</v>
      </c>
      <c r="Q42" s="2830" t="s">
        <v>2980</v>
      </c>
      <c r="R42" s="2830" t="s">
        <v>2981</v>
      </c>
      <c r="S42" s="2648"/>
      <c r="T42" s="2648"/>
      <c r="U42" s="2648"/>
      <c r="V42" s="2648"/>
    </row>
    <row r="43" spans="1:30" s="1918" customFormat="1">
      <c r="A43" s="1745"/>
      <c r="B43" s="1173"/>
      <c r="C43" s="1173"/>
      <c r="D43" s="1173"/>
      <c r="E43" s="1173"/>
      <c r="F43" s="1173"/>
      <c r="G43" s="1173"/>
      <c r="H43" s="1173"/>
      <c r="I43" s="1173"/>
      <c r="J43" s="2646"/>
      <c r="K43" s="2647"/>
      <c r="L43" s="2647"/>
      <c r="M43" s="1173"/>
      <c r="N43" s="1173"/>
      <c r="O43" s="1173"/>
      <c r="P43" s="1173"/>
      <c r="Q43" s="1173"/>
      <c r="R43" s="1173"/>
      <c r="S43" s="2648"/>
      <c r="T43" s="2648"/>
      <c r="U43" s="2648"/>
      <c r="V43" s="2648"/>
    </row>
    <row r="44" spans="1:30" s="1918" customFormat="1">
      <c r="A44" s="1745"/>
      <c r="B44" s="1745"/>
      <c r="C44" s="1173"/>
      <c r="D44" s="1173"/>
      <c r="E44" s="1173"/>
      <c r="F44" s="1173"/>
      <c r="G44" s="1173"/>
      <c r="H44" s="1173"/>
      <c r="I44" s="1173"/>
      <c r="J44" s="2646"/>
      <c r="K44" s="2647"/>
      <c r="L44" s="2647"/>
      <c r="M44" s="1173"/>
      <c r="N44" s="1173"/>
      <c r="O44" s="1173"/>
      <c r="P44" s="1173"/>
      <c r="Q44" s="1173"/>
      <c r="R44" s="1173"/>
      <c r="S44" s="2648"/>
      <c r="T44" s="2648"/>
      <c r="U44" s="2648"/>
      <c r="V44" s="2648"/>
    </row>
    <row r="45" spans="1:30" s="1918" customFormat="1">
      <c r="A45" s="1745"/>
      <c r="B45" s="1745"/>
      <c r="C45" s="1173"/>
      <c r="D45" s="1173"/>
      <c r="E45" s="1173"/>
      <c r="F45" s="1173"/>
      <c r="G45" s="1173"/>
      <c r="H45" s="1173"/>
      <c r="I45" s="1173"/>
      <c r="J45" s="2646"/>
      <c r="K45" s="2647"/>
      <c r="L45" s="2647"/>
      <c r="M45" s="1173"/>
      <c r="N45" s="1173"/>
      <c r="O45" s="1173"/>
      <c r="P45" s="1173"/>
      <c r="Q45" s="1173"/>
      <c r="R45" s="1173"/>
      <c r="S45" s="2648"/>
      <c r="T45" s="2648"/>
      <c r="U45" s="2648"/>
      <c r="V45" s="2648"/>
    </row>
    <row r="46" spans="1:30" s="1918" customFormat="1">
      <c r="A46" s="1745"/>
      <c r="B46" s="1745"/>
      <c r="C46" s="1173"/>
      <c r="D46" s="1173"/>
      <c r="E46" s="1173"/>
      <c r="F46" s="1173"/>
      <c r="G46" s="1173"/>
      <c r="H46" s="1173"/>
      <c r="I46" s="1173"/>
      <c r="J46" s="2646"/>
      <c r="K46" s="2647"/>
      <c r="L46" s="2647"/>
      <c r="M46" s="1173"/>
      <c r="N46" s="1173"/>
      <c r="O46" s="1173"/>
      <c r="P46" s="1173"/>
      <c r="Q46" s="1173"/>
      <c r="R46" s="1173"/>
      <c r="S46" s="2648"/>
      <c r="T46" s="2648"/>
      <c r="U46" s="2648"/>
      <c r="V46" s="2648"/>
    </row>
    <row r="47" spans="1:30" s="1918" customFormat="1">
      <c r="A47" s="1745"/>
      <c r="B47" s="1745"/>
      <c r="C47" s="1173"/>
      <c r="D47" s="1173"/>
      <c r="E47" s="1173"/>
      <c r="F47" s="1173"/>
      <c r="G47" s="1173"/>
      <c r="H47" s="1173"/>
      <c r="I47" s="1173"/>
      <c r="J47" s="2646"/>
      <c r="K47" s="2647"/>
      <c r="L47" s="2647"/>
      <c r="M47" s="1173"/>
      <c r="N47" s="1173"/>
      <c r="O47" s="1173"/>
      <c r="P47" s="1173"/>
      <c r="Q47" s="1173"/>
      <c r="R47" s="1173"/>
      <c r="S47" s="2648"/>
      <c r="T47" s="2648"/>
      <c r="U47" s="2648"/>
      <c r="V47" s="2648"/>
    </row>
    <row r="48" spans="1:30" s="1918" customFormat="1">
      <c r="A48" s="1745"/>
      <c r="B48" s="1745"/>
      <c r="C48" s="1173"/>
      <c r="D48" s="1173"/>
      <c r="E48" s="1173"/>
      <c r="F48" s="1173"/>
      <c r="G48" s="1173"/>
      <c r="H48" s="1173"/>
      <c r="I48" s="1173"/>
      <c r="J48" s="2646"/>
      <c r="K48" s="2647"/>
      <c r="L48" s="2647"/>
      <c r="M48" s="1173"/>
      <c r="N48" s="1173"/>
      <c r="O48" s="1173"/>
      <c r="P48" s="1173"/>
      <c r="Q48" s="1173"/>
      <c r="R48" s="1173"/>
      <c r="S48" s="2648"/>
      <c r="T48" s="2648"/>
      <c r="U48" s="2648"/>
      <c r="V48" s="2648"/>
    </row>
    <row r="49" spans="1:22" s="1918" customFormat="1">
      <c r="A49" s="1745"/>
      <c r="B49" s="1745"/>
      <c r="C49" s="1173"/>
      <c r="D49" s="1173"/>
      <c r="E49" s="1173"/>
      <c r="F49" s="1173"/>
      <c r="G49" s="1173"/>
      <c r="H49" s="1173"/>
      <c r="I49" s="1173"/>
      <c r="J49" s="2646"/>
      <c r="K49" s="2647"/>
      <c r="L49" s="2647"/>
      <c r="M49" s="1173"/>
      <c r="N49" s="1173"/>
      <c r="O49" s="1173"/>
      <c r="P49" s="1173"/>
      <c r="Q49" s="1173"/>
      <c r="R49" s="1173"/>
      <c r="S49" s="2648"/>
      <c r="T49" s="2648"/>
      <c r="U49" s="2648"/>
      <c r="V49" s="2648"/>
    </row>
    <row r="50" spans="1:22" s="1918" customFormat="1">
      <c r="A50" s="1745"/>
      <c r="B50" s="1745"/>
      <c r="C50" s="1173"/>
      <c r="D50" s="1173"/>
      <c r="E50" s="1173"/>
      <c r="F50" s="1173"/>
      <c r="G50" s="1173"/>
      <c r="H50" s="1173"/>
      <c r="I50" s="1173"/>
      <c r="J50" s="2646"/>
      <c r="K50" s="2647"/>
      <c r="L50" s="2647"/>
      <c r="M50" s="1173"/>
      <c r="N50" s="1173"/>
      <c r="O50" s="1173"/>
      <c r="P50" s="1173"/>
      <c r="Q50" s="1173"/>
      <c r="R50" s="1173"/>
      <c r="S50" s="2648"/>
      <c r="T50" s="2648"/>
      <c r="U50" s="2648"/>
      <c r="V50" s="2648"/>
    </row>
    <row r="51" spans="1:22" s="1918" customFormat="1">
      <c r="A51" s="1745"/>
      <c r="B51" s="1745"/>
      <c r="C51" s="1173"/>
      <c r="D51" s="1173"/>
      <c r="E51" s="1173"/>
      <c r="F51" s="1173"/>
      <c r="G51" s="1173"/>
      <c r="H51" s="1173"/>
      <c r="I51" s="1173"/>
      <c r="J51" s="2646"/>
      <c r="K51" s="2647"/>
      <c r="L51" s="2647"/>
      <c r="M51" s="1173"/>
      <c r="N51" s="1173"/>
      <c r="O51" s="1173"/>
      <c r="P51" s="1173"/>
      <c r="Q51" s="1173"/>
      <c r="R51" s="1173"/>
    </row>
    <row r="52" spans="1:22" s="1918" customFormat="1">
      <c r="A52" s="1745"/>
      <c r="B52" s="1745"/>
      <c r="C52" s="1745"/>
      <c r="D52" s="1745"/>
      <c r="E52" s="1745"/>
      <c r="F52" s="1173"/>
      <c r="G52" s="1745"/>
      <c r="H52" s="1745"/>
      <c r="I52" s="1745"/>
      <c r="J52" s="2649"/>
      <c r="K52" s="2647"/>
      <c r="L52" s="2647"/>
      <c r="M52" s="2647"/>
      <c r="N52" s="1745"/>
      <c r="O52" s="1745"/>
      <c r="P52" s="1745"/>
      <c r="Q52" s="1745"/>
      <c r="R52" s="1745"/>
    </row>
    <row r="53" spans="1:22" s="1918" customFormat="1">
      <c r="A53" s="1745"/>
      <c r="B53" s="1745"/>
      <c r="C53" s="1745"/>
      <c r="D53" s="1745"/>
      <c r="E53" s="1745"/>
      <c r="F53" s="1173"/>
      <c r="G53" s="1745"/>
      <c r="H53" s="1745"/>
      <c r="I53" s="1745"/>
      <c r="J53" s="2649"/>
      <c r="K53" s="2647"/>
      <c r="L53" s="2647"/>
      <c r="M53" s="2647"/>
      <c r="N53" s="1745"/>
      <c r="O53" s="1745"/>
      <c r="P53" s="1745"/>
      <c r="Q53" s="1745"/>
      <c r="R53" s="1745"/>
    </row>
    <row r="54" spans="1:22" s="1918" customFormat="1">
      <c r="A54" s="1745"/>
      <c r="B54" s="1745"/>
      <c r="C54" s="1745"/>
      <c r="D54" s="1745"/>
      <c r="E54" s="1745"/>
      <c r="F54" s="1173"/>
      <c r="G54" s="1745"/>
      <c r="H54" s="1745"/>
      <c r="I54" s="1745"/>
      <c r="J54" s="2649"/>
      <c r="K54" s="2647"/>
      <c r="L54" s="2647"/>
      <c r="M54" s="2647"/>
      <c r="N54" s="1745"/>
      <c r="O54" s="1745"/>
      <c r="P54" s="1745"/>
      <c r="Q54" s="1745"/>
      <c r="R54" s="1745"/>
    </row>
    <row r="55" spans="1:22" s="1918" customFormat="1">
      <c r="A55" s="1745"/>
      <c r="B55" s="1745"/>
      <c r="C55" s="1745"/>
      <c r="D55" s="1745"/>
      <c r="E55" s="1745"/>
      <c r="F55" s="1173"/>
      <c r="G55" s="1745"/>
      <c r="H55" s="1745"/>
      <c r="I55" s="1745"/>
      <c r="J55" s="2649"/>
      <c r="K55" s="2647"/>
      <c r="L55" s="2647"/>
      <c r="M55" s="2647"/>
      <c r="N55" s="1745"/>
      <c r="O55" s="1745"/>
      <c r="P55" s="1745"/>
      <c r="Q55" s="1745"/>
      <c r="R55" s="1745"/>
    </row>
    <row r="56" spans="1:22" s="1918" customFormat="1">
      <c r="A56" s="1745"/>
      <c r="B56" s="1745"/>
      <c r="C56" s="1745"/>
      <c r="D56" s="1745"/>
      <c r="E56" s="1745"/>
      <c r="F56" s="1173"/>
      <c r="G56" s="1745"/>
      <c r="H56" s="1745"/>
      <c r="I56" s="1745"/>
      <c r="J56" s="2649"/>
      <c r="K56" s="2647"/>
      <c r="L56" s="2647"/>
      <c r="M56" s="2647"/>
      <c r="N56" s="1745"/>
      <c r="O56" s="1745"/>
      <c r="P56" s="1745"/>
      <c r="Q56" s="1745"/>
      <c r="R56" s="1745"/>
    </row>
  </sheetData>
  <sheetProtection password="CEE9" sheet="1" objects="1" scenarios="1" formatCells="0" formatColumns="0" formatRows="0"/>
  <mergeCells count="14">
    <mergeCell ref="B1:I1"/>
    <mergeCell ref="D8:D9"/>
    <mergeCell ref="K20:K22"/>
    <mergeCell ref="B20:C20"/>
    <mergeCell ref="D20:E20"/>
    <mergeCell ref="B16:D16"/>
    <mergeCell ref="F16:I16"/>
    <mergeCell ref="E17:I17"/>
    <mergeCell ref="E18:I18"/>
    <mergeCell ref="S34:S35"/>
    <mergeCell ref="A27:A30"/>
    <mergeCell ref="C30:D30"/>
    <mergeCell ref="A31:A33"/>
    <mergeCell ref="B35:E35"/>
  </mergeCells>
  <phoneticPr fontId="6" type="noConversion"/>
  <dataValidations count="24">
    <dataValidation type="list" showInputMessage="1" showErrorMessage="1" sqref="B11">
      <formula1>"自然人,企业"</formula1>
    </dataValidation>
    <dataValidation type="list" allowBlank="1" showInputMessage="1" showErrorMessage="1" sqref="B10">
      <formula1>"北京市,其他："</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9">
      <formula1>"否,全部为保障性住房,含保障性住房"</formula1>
    </dataValidation>
    <dataValidation type="list" allowBlank="1" showInputMessage="1" showErrorMessage="1" sqref="C28">
      <formula1>"无,低密度住宅,商场,酒店,旅游地产,仓储物流,高新技术产业用地,其他特殊："</formula1>
    </dataValidation>
    <dataValidation type="list" showInputMessage="1" showErrorMessage="1" sqref="B31:B33">
      <formula1>"现房,在建,土地,-"</formula1>
    </dataValidation>
    <dataValidation type="list" allowBlank="1" showInputMessage="1" showErrorMessage="1" sqref="B37:E37">
      <formula1>土地级别</formula1>
    </dataValidation>
    <dataValidation type="list" allowBlank="1" showInputMessage="1" showErrorMessage="1" sqref="E38">
      <formula1>INDIRECT($E$37)</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B9">
      <formula1>"房地产抵押价值,房地产市场价值"</formula1>
    </dataValidation>
    <dataValidation type="list" allowBlank="1" showInputMessage="1" showErrorMessage="1" sqref="B8">
      <formula1>"抵押,核定资产,出让"</formula1>
    </dataValidation>
    <dataValidation type="list" allowBlank="1" showInputMessage="1" showErrorMessage="1" sqref="H4 B4 F4 D4">
      <formula1>注册房地产估价师</formula1>
    </dataValidation>
    <dataValidation type="list" allowBlank="1" showInputMessage="1" showErrorMessage="1" sqref="E8">
      <formula1>价值类型2</formula1>
    </dataValidation>
    <dataValidation type="list" allowBlank="1" showInputMessage="1" showErrorMessage="1" sqref="E9">
      <formula1>"抵押净值,——"</formula1>
    </dataValidation>
    <dataValidation type="list" allowBlank="1" showInputMessage="1" showErrorMessage="1" sqref="B34:H34">
      <formula1>七通一平</formula1>
    </dataValidation>
    <dataValidation type="list" allowBlank="1" showInputMessage="1" showErrorMessage="1" sqref="C19 E19 G19">
      <formula1>判定</formula1>
    </dataValidation>
    <dataValidation type="list" allowBlank="1" showInputMessage="1" showErrorMessage="1" sqref="B21">
      <formula1>"《房屋所有权证》,《国有土地使用证》,《不动产权证书》,——"</formula1>
    </dataValidation>
    <dataValidation type="list" allowBlank="1" showInputMessage="1" showErrorMessage="1" sqref="C21:C22 E21">
      <formula1>"原件,复印件,——"</formula1>
    </dataValidation>
    <dataValidation type="list" allowBlank="1" showInputMessage="1" showErrorMessage="1" sqref="B12">
      <formula1>"出让,划拨"</formula1>
    </dataValidation>
    <dataValidation type="list" allowBlank="1" showInputMessage="1" showErrorMessage="1" sqref="D14:I14">
      <formula1>法定最高年限</formula1>
    </dataValidation>
    <dataValidation type="list" allowBlank="1" showInputMessage="1" showErrorMessage="1" sqref="A18">
      <formula1>"建筑与土地面积依据相同,——"</formula1>
    </dataValidation>
    <dataValidation type="list" allowBlank="1" showInputMessage="1" showErrorMessage="1" sqref="B22">
      <formula1>"《房屋所有权证》,《国有土地使用证》,《不动产权证书》,——"</formula1>
    </dataValidation>
  </dataValidations>
  <printOptions horizontalCentered="1"/>
  <pageMargins left="0.70866141732283472" right="0.70866141732283472" top="0.74803149606299213" bottom="0.74803149606299213" header="0.31496062992125984" footer="0.31496062992125984"/>
  <pageSetup paperSize="9" scale="86" fitToHeight="0" orientation="portrait" r:id="rId1"/>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8"/>
  <sheetViews>
    <sheetView workbookViewId="0">
      <selection activeCell="J8" sqref="J8"/>
    </sheetView>
  </sheetViews>
  <sheetFormatPr defaultRowHeight="13.5"/>
  <cols>
    <col min="1" max="1" width="7.375" customWidth="1"/>
    <col min="2" max="2" width="11.375" customWidth="1"/>
    <col min="3" max="3" width="13.5" customWidth="1"/>
    <col min="4" max="4" width="11.5" customWidth="1"/>
    <col min="5" max="5" width="10.875" customWidth="1"/>
  </cols>
  <sheetData>
    <row r="1" spans="1:5" ht="16.5">
      <c r="A1" s="3236" t="s">
        <v>3588</v>
      </c>
      <c r="B1" s="3236" t="s">
        <v>3604</v>
      </c>
      <c r="C1" s="3236" t="s">
        <v>3589</v>
      </c>
      <c r="D1" s="3236" t="s">
        <v>3589</v>
      </c>
      <c r="E1" s="3236"/>
    </row>
    <row r="2" spans="1:5" ht="16.5">
      <c r="A2" s="3236"/>
      <c r="B2" s="3236"/>
      <c r="C2" s="3236"/>
      <c r="D2" s="3032" t="s">
        <v>3590</v>
      </c>
      <c r="E2" s="3032" t="s">
        <v>3591</v>
      </c>
    </row>
    <row r="3" spans="1:5" ht="16.5">
      <c r="A3" s="3142">
        <v>1</v>
      </c>
      <c r="B3" s="3142">
        <v>1101</v>
      </c>
      <c r="C3" s="3142">
        <v>3160.83</v>
      </c>
      <c r="D3" s="3142"/>
      <c r="E3" s="3142"/>
    </row>
    <row r="4" spans="1:5" ht="16.5">
      <c r="A4" s="3142">
        <v>2</v>
      </c>
      <c r="B4" s="3142" t="s">
        <v>3605</v>
      </c>
      <c r="C4" s="3142">
        <v>231.32</v>
      </c>
      <c r="D4" s="3142"/>
      <c r="E4" s="3142"/>
    </row>
    <row r="5" spans="1:5" ht="16.5">
      <c r="A5" s="3142">
        <v>3</v>
      </c>
      <c r="B5" s="3142">
        <v>2101</v>
      </c>
      <c r="C5" s="3142">
        <v>2321.58</v>
      </c>
      <c r="D5" s="3142"/>
      <c r="E5" s="3142"/>
    </row>
    <row r="6" spans="1:5" ht="16.5">
      <c r="A6" s="3142">
        <v>4</v>
      </c>
      <c r="B6" s="3142">
        <v>3101</v>
      </c>
      <c r="C6" s="3142">
        <v>3547.97</v>
      </c>
      <c r="D6" s="3142"/>
      <c r="E6" s="3142"/>
    </row>
    <row r="7" spans="1:5" ht="16.5">
      <c r="A7" s="3142">
        <v>5</v>
      </c>
      <c r="B7" s="3142" t="s">
        <v>3606</v>
      </c>
      <c r="C7" s="3142">
        <v>90.47</v>
      </c>
      <c r="D7" s="3142"/>
      <c r="E7" s="3142"/>
    </row>
    <row r="8" spans="1:5" ht="16.5">
      <c r="A8" s="3142">
        <v>6</v>
      </c>
      <c r="B8" s="3142">
        <v>4101</v>
      </c>
      <c r="C8" s="3142">
        <v>1761.14</v>
      </c>
      <c r="D8" s="3142"/>
      <c r="E8" s="3142"/>
    </row>
    <row r="9" spans="1:5" ht="16.5">
      <c r="A9" s="3142">
        <v>7</v>
      </c>
      <c r="B9" s="3142">
        <v>5101</v>
      </c>
      <c r="C9" s="3142">
        <v>1447.65</v>
      </c>
      <c r="D9" s="3142"/>
      <c r="E9" s="3142"/>
    </row>
    <row r="10" spans="1:5" ht="16.5">
      <c r="A10" s="3142">
        <v>8</v>
      </c>
      <c r="B10" s="3142">
        <v>6101</v>
      </c>
      <c r="C10" s="3142">
        <v>1447.65</v>
      </c>
      <c r="D10" s="3142"/>
      <c r="E10" s="3142"/>
    </row>
    <row r="11" spans="1:5" ht="16.5">
      <c r="A11" s="3142">
        <v>9</v>
      </c>
      <c r="B11" s="3142">
        <v>7101</v>
      </c>
      <c r="C11" s="3142">
        <v>1447.65</v>
      </c>
      <c r="D11" s="3142"/>
      <c r="E11" s="3142"/>
    </row>
    <row r="12" spans="1:5" ht="16.5">
      <c r="A12" s="3142">
        <v>10</v>
      </c>
      <c r="B12" s="3142">
        <v>8101</v>
      </c>
      <c r="C12" s="3142">
        <v>1447.65</v>
      </c>
      <c r="D12" s="3142"/>
      <c r="E12" s="3142"/>
    </row>
    <row r="13" spans="1:5" ht="16.5">
      <c r="A13" s="3142">
        <v>11</v>
      </c>
      <c r="B13" s="3142">
        <v>9101</v>
      </c>
      <c r="C13" s="3142">
        <v>1447.65</v>
      </c>
      <c r="D13" s="3142"/>
      <c r="E13" s="3142"/>
    </row>
    <row r="14" spans="1:5" ht="16.5">
      <c r="A14" s="3142">
        <v>12</v>
      </c>
      <c r="B14" s="3142">
        <v>10101</v>
      </c>
      <c r="C14" s="3142">
        <v>1447.65</v>
      </c>
      <c r="D14" s="3142"/>
      <c r="E14" s="3142"/>
    </row>
    <row r="15" spans="1:5" ht="16.5">
      <c r="A15" s="3142">
        <v>13</v>
      </c>
      <c r="B15" s="3142">
        <v>11101</v>
      </c>
      <c r="C15" s="3142">
        <v>1447.65</v>
      </c>
      <c r="D15" s="3142"/>
      <c r="E15" s="3142"/>
    </row>
    <row r="16" spans="1:5" ht="16.5">
      <c r="A16" s="3142">
        <v>14</v>
      </c>
      <c r="B16" s="3142">
        <v>12101</v>
      </c>
      <c r="C16" s="3142">
        <v>1447.65</v>
      </c>
      <c r="D16" s="3142"/>
      <c r="E16" s="3142"/>
    </row>
    <row r="17" spans="1:5" ht="16.5">
      <c r="A17" s="3142">
        <v>15</v>
      </c>
      <c r="B17" s="3142">
        <v>13101</v>
      </c>
      <c r="C17" s="3142">
        <v>1447.65</v>
      </c>
      <c r="D17" s="3142"/>
      <c r="E17" s="3142"/>
    </row>
    <row r="18" spans="1:5" ht="16.5">
      <c r="A18" s="3142">
        <v>16</v>
      </c>
      <c r="B18" s="3142">
        <v>14101</v>
      </c>
      <c r="C18" s="3142">
        <v>1447.65</v>
      </c>
      <c r="D18" s="3142"/>
      <c r="E18" s="3142"/>
    </row>
    <row r="19" spans="1:5" ht="16.5">
      <c r="A19" s="3142">
        <v>17</v>
      </c>
      <c r="B19" s="3142">
        <v>15101</v>
      </c>
      <c r="C19" s="3142">
        <v>1447.65</v>
      </c>
      <c r="D19" s="3142"/>
      <c r="E19" s="3142"/>
    </row>
    <row r="20" spans="1:5" ht="16.5">
      <c r="A20" s="3142">
        <v>18</v>
      </c>
      <c r="B20" s="3142">
        <v>16101</v>
      </c>
      <c r="C20" s="3142">
        <f>C19</f>
        <v>1447.65</v>
      </c>
      <c r="D20" s="3142"/>
      <c r="E20" s="3142"/>
    </row>
    <row r="21" spans="1:5" ht="16.5">
      <c r="A21" s="3142">
        <v>19</v>
      </c>
      <c r="B21" s="3142">
        <v>17101</v>
      </c>
      <c r="C21" s="3142">
        <f>C20</f>
        <v>1447.65</v>
      </c>
      <c r="D21" s="3142"/>
      <c r="E21" s="3142"/>
    </row>
    <row r="22" spans="1:5" ht="16.5">
      <c r="A22" s="3142"/>
      <c r="B22" s="3142" t="s">
        <v>3611</v>
      </c>
      <c r="C22" s="3142">
        <f>SUM(C3:C21)</f>
        <v>29932.760000000009</v>
      </c>
      <c r="D22" s="3142"/>
      <c r="E22" s="3142"/>
    </row>
    <row r="23" spans="1:5" ht="16.5">
      <c r="A23" s="3142"/>
      <c r="B23" s="3142"/>
      <c r="C23" s="3142"/>
      <c r="D23" s="3142"/>
      <c r="E23" s="3142"/>
    </row>
    <row r="24" spans="1:5" ht="16.5">
      <c r="A24" s="3032"/>
      <c r="B24" s="3032"/>
      <c r="C24" s="3129"/>
      <c r="D24" s="3032"/>
      <c r="E24" s="3032"/>
    </row>
    <row r="26" spans="1:5">
      <c r="A26" s="3031"/>
    </row>
    <row r="27" spans="1:5">
      <c r="A27" s="3031"/>
    </row>
    <row r="28" spans="1:5">
      <c r="A28" s="3031"/>
      <c r="B28" s="3130"/>
    </row>
  </sheetData>
  <mergeCells count="4">
    <mergeCell ref="A1:A2"/>
    <mergeCell ref="B1:B2"/>
    <mergeCell ref="C1:C2"/>
    <mergeCell ref="D1:E1"/>
  </mergeCells>
  <phoneticPr fontId="140" type="noConversion"/>
  <pageMargins left="0.7" right="0.7" top="0.75" bottom="0.75" header="0.3" footer="0.3"/>
  <pageSetup paperSize="9" orientation="portrait" verticalDpi="0"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FF00"/>
    <pageSetUpPr fitToPage="1"/>
  </sheetPr>
  <dimension ref="A1:BT593"/>
  <sheetViews>
    <sheetView view="pageBreakPreview" zoomScaleNormal="100" zoomScaleSheetLayoutView="100" workbookViewId="0">
      <pane xSplit="4" ySplit="12" topLeftCell="E13" activePane="bottomRight" state="frozen"/>
      <selection activeCell="C50" sqref="C50"/>
      <selection pane="topRight" activeCell="C50" sqref="C50"/>
      <selection pane="bottomLeft" activeCell="C50" sqref="C50"/>
      <selection pane="bottomRight" activeCell="A3" sqref="A3"/>
    </sheetView>
  </sheetViews>
  <sheetFormatPr defaultColWidth="8.875" defaultRowHeight="14.25"/>
  <cols>
    <col min="1" max="1" width="10.625" style="1748" customWidth="1"/>
    <col min="2" max="2" width="11" style="1748" customWidth="1"/>
    <col min="3" max="3" width="10.375" style="1748" customWidth="1"/>
    <col min="4" max="4" width="9.125" style="1748" customWidth="1"/>
    <col min="5" max="6" width="10" style="1809" customWidth="1"/>
    <col min="7" max="8" width="10" style="1748" customWidth="1"/>
    <col min="9" max="9" width="10.625" style="1748" customWidth="1"/>
    <col min="10" max="10" width="9.5" style="1748" customWidth="1"/>
    <col min="11" max="11" width="11" style="1748" customWidth="1"/>
    <col min="12" max="14" width="9.5" style="1748" customWidth="1"/>
    <col min="15" max="15" width="9.875" style="1748" hidden="1" customWidth="1"/>
    <col min="16" max="16" width="9.75" style="1748" hidden="1" customWidth="1"/>
    <col min="17" max="17" width="9.375" style="1748" hidden="1" customWidth="1"/>
    <col min="18" max="18" width="9.25" style="1748" hidden="1" customWidth="1"/>
    <col min="19" max="19" width="10.875" style="1748" hidden="1" customWidth="1"/>
    <col min="20" max="21" width="10.75" style="1748" hidden="1" customWidth="1"/>
    <col min="22" max="22" width="10.875" style="1748" hidden="1" customWidth="1"/>
    <col min="23" max="27" width="10.75" style="1748" hidden="1" customWidth="1"/>
    <col min="28" max="28" width="10.875" style="1748" hidden="1" customWidth="1"/>
    <col min="29" max="29" width="11" style="1748" bestFit="1" customWidth="1"/>
    <col min="30" max="30" width="10" style="1748" bestFit="1" customWidth="1"/>
    <col min="31" max="31" width="9.75" style="1748" customWidth="1"/>
    <col min="32" max="46" width="9.5" style="1748" customWidth="1"/>
    <col min="47" max="47" width="18.125" style="1748" customWidth="1"/>
    <col min="48" max="50" width="9.75" style="1748" customWidth="1"/>
    <col min="51" max="55" width="10.5" style="1748" bestFit="1" customWidth="1"/>
    <col min="56" max="56" width="9.5" style="1748" bestFit="1" customWidth="1"/>
    <col min="57" max="63" width="9.125" style="1748" bestFit="1" customWidth="1"/>
    <col min="64" max="64" width="9.5" style="1748" bestFit="1" customWidth="1"/>
    <col min="65" max="65" width="9.125" style="1748" bestFit="1" customWidth="1"/>
    <col min="66" max="66" width="9.5" style="1748" bestFit="1" customWidth="1"/>
    <col min="67" max="69" width="9.125" style="1748" bestFit="1" customWidth="1"/>
    <col min="70" max="70" width="9.5" style="1748" bestFit="1" customWidth="1"/>
    <col min="71" max="71" width="9" style="1748" customWidth="1"/>
    <col min="72" max="72" width="9.125" style="1748" bestFit="1" customWidth="1"/>
    <col min="73" max="16384" width="8.875" style="1748"/>
  </cols>
  <sheetData>
    <row r="1" spans="1:72" ht="20.25">
      <c r="A1" s="1749" t="s">
        <v>1747</v>
      </c>
      <c r="B1" s="1733"/>
      <c r="C1" s="1733"/>
      <c r="D1" s="1733"/>
      <c r="E1" s="1733"/>
      <c r="F1" s="1733"/>
      <c r="G1" s="1733"/>
      <c r="H1" s="1733"/>
      <c r="I1" s="1733"/>
      <c r="J1" s="1733"/>
      <c r="K1" s="1733"/>
      <c r="L1" s="1733"/>
      <c r="M1" s="1733"/>
      <c r="N1" s="1733"/>
      <c r="O1" s="1733"/>
      <c r="P1" s="1733"/>
      <c r="Q1" s="1733"/>
      <c r="R1" s="1733"/>
      <c r="S1" s="1733"/>
      <c r="T1" s="1733"/>
      <c r="U1" s="1733"/>
      <c r="V1" s="1733"/>
      <c r="W1" s="1733"/>
      <c r="X1" s="1733"/>
      <c r="Y1" s="1733"/>
      <c r="Z1" s="1733"/>
      <c r="AA1" s="1733"/>
      <c r="AB1" s="1733"/>
      <c r="AC1" s="1733"/>
      <c r="AD1" s="1733"/>
      <c r="AE1" s="1733"/>
      <c r="AF1" s="1733"/>
      <c r="AG1" s="1733"/>
      <c r="AH1" s="1733"/>
      <c r="AI1" s="1733"/>
      <c r="AJ1" s="1733"/>
      <c r="AK1" s="1733"/>
      <c r="AL1" s="1733"/>
      <c r="AM1" s="1733"/>
      <c r="AN1" s="1733"/>
      <c r="AO1" s="1733"/>
      <c r="AP1" s="1733"/>
      <c r="AQ1" s="1733"/>
      <c r="AR1" s="1733"/>
      <c r="AS1" s="1733"/>
      <c r="AT1" s="1733"/>
      <c r="AU1" s="1733"/>
      <c r="AV1" s="1750" t="s">
        <v>1748</v>
      </c>
      <c r="AW1" s="1733"/>
      <c r="AX1" s="1733"/>
      <c r="AY1" s="1733"/>
      <c r="AZ1" s="1733"/>
      <c r="BA1" s="1733"/>
      <c r="BB1" s="1733"/>
      <c r="BC1" s="1733"/>
      <c r="BD1" s="1733"/>
      <c r="BE1" s="1733"/>
      <c r="BF1" s="1733"/>
      <c r="BG1" s="1733"/>
      <c r="BH1" s="1733"/>
      <c r="BI1" s="1733"/>
      <c r="BJ1" s="1733"/>
      <c r="BK1" s="1733"/>
      <c r="BL1" s="1733"/>
      <c r="BM1" s="1733"/>
      <c r="BN1" s="1733"/>
      <c r="BO1" s="1733"/>
      <c r="BP1" s="1733"/>
      <c r="BQ1" s="1733"/>
      <c r="BR1" s="1733"/>
      <c r="BS1" s="1733"/>
      <c r="BT1" s="1733"/>
    </row>
    <row r="2" spans="1:72" s="1754" customFormat="1" ht="24">
      <c r="A2" s="11" t="s">
        <v>1749</v>
      </c>
      <c r="B2" s="11" t="s">
        <v>1750</v>
      </c>
      <c r="C2" s="11" t="s">
        <v>1751</v>
      </c>
      <c r="D2" s="1751"/>
      <c r="E2" s="1752"/>
      <c r="F2" s="1753"/>
      <c r="G2" s="1751"/>
      <c r="H2" s="1751"/>
      <c r="I2" s="1751"/>
      <c r="J2" s="1751"/>
      <c r="K2" s="1751"/>
      <c r="L2" s="1751"/>
      <c r="M2" s="1751"/>
      <c r="N2" s="1751"/>
      <c r="O2" s="1751"/>
      <c r="P2" s="1751"/>
      <c r="Q2" s="1751"/>
      <c r="R2" s="1751"/>
      <c r="S2" s="1751"/>
      <c r="T2" s="1751"/>
      <c r="U2" s="1751"/>
      <c r="V2" s="1751"/>
      <c r="W2" s="1751"/>
      <c r="X2" s="1751"/>
      <c r="Y2" s="1751"/>
      <c r="Z2" s="1751"/>
      <c r="AA2" s="1751"/>
      <c r="AB2" s="1751"/>
      <c r="AC2" s="1751"/>
      <c r="AD2" s="1751"/>
      <c r="AE2" s="1751"/>
      <c r="AF2" s="1751"/>
      <c r="AG2" s="1751"/>
      <c r="AH2" s="1751"/>
      <c r="AI2" s="1751"/>
      <c r="AJ2" s="1751"/>
      <c r="AK2" s="1751"/>
      <c r="AL2" s="1751"/>
      <c r="AM2" s="1751"/>
      <c r="AN2" s="1751"/>
      <c r="AO2" s="1751"/>
      <c r="AP2" s="1751"/>
      <c r="AQ2" s="1751"/>
      <c r="AR2" s="1751"/>
      <c r="AS2" s="1751"/>
      <c r="AT2" s="1751"/>
      <c r="AU2" s="1751"/>
      <c r="AV2" s="1751"/>
      <c r="AW2" s="1751"/>
      <c r="AX2" s="1751"/>
      <c r="AY2" s="1170" t="s">
        <v>1752</v>
      </c>
      <c r="AZ2" s="1171" t="s">
        <v>1753</v>
      </c>
      <c r="BA2" s="11" t="s">
        <v>1754</v>
      </c>
      <c r="BB2" s="1751"/>
      <c r="BC2" s="1751"/>
      <c r="BD2" s="1751"/>
      <c r="BE2" s="1751"/>
      <c r="BF2" s="1751"/>
      <c r="BG2" s="1751"/>
      <c r="BH2" s="1751"/>
      <c r="BI2" s="1751"/>
      <c r="BJ2" s="1751"/>
      <c r="BK2" s="1751"/>
      <c r="BL2" s="1751"/>
      <c r="BM2" s="1751"/>
      <c r="BN2" s="1751"/>
      <c r="BO2" s="1751"/>
      <c r="BP2" s="1751"/>
      <c r="BQ2" s="1751"/>
      <c r="BR2" s="1751"/>
      <c r="BS2" s="1751"/>
      <c r="BT2" s="1751"/>
    </row>
    <row r="3" spans="1:72" s="1754" customFormat="1" ht="12.75">
      <c r="A3" s="13"/>
      <c r="B3" s="14">
        <f>IF(C3="否",G5-AT5,G5)</f>
        <v>29932.760000000009</v>
      </c>
      <c r="C3" s="1755" t="s">
        <v>3058</v>
      </c>
      <c r="D3" s="1751"/>
      <c r="E3" s="1751"/>
      <c r="F3" s="1751"/>
      <c r="G3" s="1751"/>
      <c r="H3" s="1751"/>
      <c r="I3" s="1751"/>
      <c r="J3" s="1751"/>
      <c r="K3" s="1751"/>
      <c r="L3" s="1751"/>
      <c r="M3" s="1751"/>
      <c r="N3" s="1751"/>
      <c r="O3" s="1751"/>
      <c r="P3" s="1751"/>
      <c r="Q3" s="1751"/>
      <c r="R3" s="1751"/>
      <c r="S3" s="1751"/>
      <c r="T3" s="1751"/>
      <c r="U3" s="1751"/>
      <c r="V3" s="1751"/>
      <c r="W3" s="1751"/>
      <c r="X3" s="1751"/>
      <c r="Y3" s="1751"/>
      <c r="Z3" s="1751"/>
      <c r="AA3" s="1751"/>
      <c r="AB3" s="1751"/>
      <c r="AC3" s="1751"/>
      <c r="AD3" s="1751"/>
      <c r="AE3" s="1751"/>
      <c r="AF3" s="1751"/>
      <c r="AG3" s="1751"/>
      <c r="AH3" s="1751"/>
      <c r="AI3" s="1751"/>
      <c r="AJ3" s="1751"/>
      <c r="AK3" s="1751"/>
      <c r="AL3" s="1751"/>
      <c r="AM3" s="1751"/>
      <c r="AN3" s="1751"/>
      <c r="AO3" s="1751"/>
      <c r="AP3" s="1751"/>
      <c r="AQ3" s="1751"/>
      <c r="AR3" s="1751"/>
      <c r="AS3" s="1751"/>
      <c r="AT3" s="1751"/>
      <c r="AU3" s="1751"/>
      <c r="AV3" s="1751"/>
      <c r="AW3" s="1751"/>
      <c r="AX3" s="1751"/>
      <c r="AY3" s="1172"/>
      <c r="AZ3" s="1173"/>
      <c r="BA3" s="1174"/>
      <c r="BB3" s="1751"/>
      <c r="BC3" s="1751"/>
      <c r="BD3" s="1751"/>
      <c r="BE3" s="1751"/>
      <c r="BF3" s="1751"/>
      <c r="BG3" s="1751"/>
      <c r="BH3" s="1751"/>
      <c r="BI3" s="1751"/>
      <c r="BJ3" s="1751"/>
      <c r="BK3" s="1751"/>
      <c r="BL3" s="1751"/>
      <c r="BM3" s="1751"/>
      <c r="BN3" s="1751"/>
      <c r="BO3" s="1751"/>
      <c r="BP3" s="1751"/>
      <c r="BQ3" s="1751"/>
      <c r="BR3" s="1751"/>
      <c r="BS3" s="1751"/>
      <c r="BT3" s="1751"/>
    </row>
    <row r="4" spans="1:72" s="1760" customFormat="1" ht="13.5" thickBot="1">
      <c r="A4" s="1756"/>
      <c r="B4" s="1757"/>
      <c r="C4" s="1758"/>
      <c r="D4" s="1751"/>
      <c r="E4" s="1751"/>
      <c r="F4" s="1751"/>
      <c r="G4" s="1751"/>
      <c r="H4" s="1751"/>
      <c r="I4" s="1751"/>
      <c r="J4" s="1751"/>
      <c r="K4" s="1751"/>
      <c r="L4" s="1751"/>
      <c r="M4" s="1751"/>
      <c r="N4" s="1751"/>
      <c r="O4" s="1751"/>
      <c r="P4" s="1751"/>
      <c r="Q4" s="1751"/>
      <c r="R4" s="1751"/>
      <c r="S4" s="1751"/>
      <c r="T4" s="1751"/>
      <c r="U4" s="1751"/>
      <c r="V4" s="1751"/>
      <c r="W4" s="1751"/>
      <c r="X4" s="1751"/>
      <c r="Y4" s="1751"/>
      <c r="Z4" s="1751"/>
      <c r="AA4" s="1751"/>
      <c r="AB4" s="1751"/>
      <c r="AC4" s="1751"/>
      <c r="AD4" s="1751"/>
      <c r="AE4" s="1751"/>
      <c r="AF4" s="1751"/>
      <c r="AG4" s="1751"/>
      <c r="AH4" s="1751"/>
      <c r="AI4" s="1751"/>
      <c r="AJ4" s="1751"/>
      <c r="AK4" s="1751"/>
      <c r="AL4" s="1751"/>
      <c r="AM4" s="1751"/>
      <c r="AN4" s="1751"/>
      <c r="AO4" s="1751"/>
      <c r="AP4" s="1751"/>
      <c r="AQ4" s="1751"/>
      <c r="AR4" s="1751"/>
      <c r="AS4" s="1751"/>
      <c r="AT4" s="1751"/>
      <c r="AU4" s="1751"/>
      <c r="AV4" s="1751"/>
      <c r="AW4" s="1751"/>
      <c r="AX4" s="1751"/>
      <c r="AY4" s="1751"/>
      <c r="AZ4" s="1751"/>
      <c r="BA4" s="1759"/>
      <c r="BB4" s="1751"/>
      <c r="BC4" s="1751"/>
      <c r="BD4" s="1751"/>
      <c r="BE4" s="1751"/>
      <c r="BF4" s="1751"/>
      <c r="BG4" s="1751"/>
      <c r="BH4" s="1751"/>
      <c r="BI4" s="1751"/>
      <c r="BJ4" s="1751"/>
      <c r="BK4" s="1751"/>
      <c r="BL4" s="1751"/>
      <c r="BM4" s="1751"/>
      <c r="BN4" s="1751"/>
      <c r="BO4" s="1751"/>
      <c r="BP4" s="1751"/>
      <c r="BQ4" s="1751"/>
      <c r="BR4" s="1751"/>
      <c r="BS4" s="1751"/>
      <c r="BT4" s="1751"/>
    </row>
    <row r="5" spans="1:72" s="1754" customFormat="1" ht="12.75">
      <c r="A5" s="15" t="s">
        <v>1755</v>
      </c>
      <c r="B5" s="1521"/>
      <c r="C5" s="1521"/>
      <c r="D5" s="1523"/>
      <c r="E5" s="16" t="s">
        <v>1</v>
      </c>
      <c r="F5" s="16">
        <f>SUM(F13:F587)</f>
        <v>0</v>
      </c>
      <c r="G5" s="16">
        <f>SUM(G13:G587)</f>
        <v>29932.760000000009</v>
      </c>
      <c r="H5" s="16">
        <f t="shared" ref="H5:AT5" si="0">SUM(H13:H656)</f>
        <v>29610.970000000008</v>
      </c>
      <c r="I5" s="16">
        <f t="shared" si="0"/>
        <v>29610.970000000008</v>
      </c>
      <c r="J5" s="16">
        <f t="shared" si="0"/>
        <v>0</v>
      </c>
      <c r="K5" s="16">
        <f t="shared" si="0"/>
        <v>0</v>
      </c>
      <c r="L5" s="16">
        <f t="shared" si="0"/>
        <v>0</v>
      </c>
      <c r="M5" s="16">
        <f t="shared" si="0"/>
        <v>0</v>
      </c>
      <c r="N5" s="16">
        <f t="shared" si="0"/>
        <v>0</v>
      </c>
      <c r="O5" s="16">
        <f t="shared" si="0"/>
        <v>0</v>
      </c>
      <c r="P5" s="16">
        <f t="shared" si="0"/>
        <v>0</v>
      </c>
      <c r="Q5" s="16">
        <f t="shared" si="0"/>
        <v>0</v>
      </c>
      <c r="R5" s="16">
        <f t="shared" si="0"/>
        <v>0</v>
      </c>
      <c r="S5" s="16">
        <f t="shared" si="0"/>
        <v>0</v>
      </c>
      <c r="T5" s="16">
        <f t="shared" si="0"/>
        <v>0</v>
      </c>
      <c r="U5" s="16">
        <f t="shared" si="0"/>
        <v>0</v>
      </c>
      <c r="V5" s="16">
        <f t="shared" si="0"/>
        <v>0</v>
      </c>
      <c r="W5" s="16">
        <f t="shared" si="0"/>
        <v>0</v>
      </c>
      <c r="X5" s="16">
        <f t="shared" si="0"/>
        <v>0</v>
      </c>
      <c r="Y5" s="16">
        <f t="shared" si="0"/>
        <v>0</v>
      </c>
      <c r="Z5" s="16">
        <f t="shared" si="0"/>
        <v>0</v>
      </c>
      <c r="AA5" s="16">
        <f t="shared" si="0"/>
        <v>0</v>
      </c>
      <c r="AB5" s="16">
        <f t="shared" si="0"/>
        <v>0</v>
      </c>
      <c r="AC5" s="16">
        <f t="shared" si="0"/>
        <v>321.78999999999996</v>
      </c>
      <c r="AD5" s="16">
        <f t="shared" si="0"/>
        <v>0</v>
      </c>
      <c r="AE5" s="16">
        <f t="shared" si="0"/>
        <v>0</v>
      </c>
      <c r="AF5" s="16">
        <f t="shared" si="0"/>
        <v>0</v>
      </c>
      <c r="AG5" s="16">
        <f t="shared" si="0"/>
        <v>0</v>
      </c>
      <c r="AH5" s="16">
        <f t="shared" si="0"/>
        <v>0</v>
      </c>
      <c r="AI5" s="16">
        <f t="shared" si="0"/>
        <v>0</v>
      </c>
      <c r="AJ5" s="16">
        <f t="shared" si="0"/>
        <v>0</v>
      </c>
      <c r="AK5" s="16">
        <f t="shared" si="0"/>
        <v>0</v>
      </c>
      <c r="AL5" s="16">
        <f t="shared" si="0"/>
        <v>321.78999999999996</v>
      </c>
      <c r="AM5" s="16">
        <f t="shared" si="0"/>
        <v>0</v>
      </c>
      <c r="AN5" s="16">
        <f t="shared" si="0"/>
        <v>0</v>
      </c>
      <c r="AO5" s="16">
        <f t="shared" si="0"/>
        <v>0</v>
      </c>
      <c r="AP5" s="16">
        <f t="shared" si="0"/>
        <v>0</v>
      </c>
      <c r="AQ5" s="16">
        <f t="shared" si="0"/>
        <v>0</v>
      </c>
      <c r="AR5" s="16">
        <f t="shared" si="0"/>
        <v>0</v>
      </c>
      <c r="AS5" s="16">
        <f t="shared" si="0"/>
        <v>0</v>
      </c>
      <c r="AT5" s="16">
        <f t="shared" si="0"/>
        <v>0</v>
      </c>
      <c r="AU5" s="1520"/>
      <c r="AV5" s="15" t="s">
        <v>1755</v>
      </c>
      <c r="AW5" s="1521"/>
      <c r="AX5" s="1521"/>
      <c r="AY5" s="17" t="s">
        <v>3</v>
      </c>
      <c r="AZ5" s="18">
        <f t="shared" ref="AZ5:BT5" si="1">SUM(AZ13:AZ656)</f>
        <v>29932.760000000009</v>
      </c>
      <c r="BA5" s="18">
        <f t="shared" si="1"/>
        <v>29610.970000000008</v>
      </c>
      <c r="BB5" s="18">
        <f t="shared" si="1"/>
        <v>29610.970000000008</v>
      </c>
      <c r="BC5" s="18">
        <f t="shared" si="1"/>
        <v>0</v>
      </c>
      <c r="BD5" s="18">
        <f t="shared" si="1"/>
        <v>0</v>
      </c>
      <c r="BE5" s="18">
        <f t="shared" si="1"/>
        <v>0</v>
      </c>
      <c r="BF5" s="18">
        <f t="shared" si="1"/>
        <v>0</v>
      </c>
      <c r="BG5" s="18">
        <f t="shared" si="1"/>
        <v>0</v>
      </c>
      <c r="BH5" s="18">
        <f t="shared" si="1"/>
        <v>0</v>
      </c>
      <c r="BI5" s="18">
        <f t="shared" si="1"/>
        <v>0</v>
      </c>
      <c r="BJ5" s="18">
        <f t="shared" si="1"/>
        <v>0</v>
      </c>
      <c r="BK5" s="18">
        <f t="shared" si="1"/>
        <v>0</v>
      </c>
      <c r="BL5" s="18">
        <f t="shared" si="1"/>
        <v>321.78999999999996</v>
      </c>
      <c r="BM5" s="18">
        <f t="shared" si="1"/>
        <v>0</v>
      </c>
      <c r="BN5" s="18">
        <f t="shared" si="1"/>
        <v>0</v>
      </c>
      <c r="BO5" s="18">
        <f t="shared" si="1"/>
        <v>0</v>
      </c>
      <c r="BP5" s="18">
        <f t="shared" si="1"/>
        <v>0</v>
      </c>
      <c r="BQ5" s="18">
        <f t="shared" si="1"/>
        <v>321.78999999999996</v>
      </c>
      <c r="BR5" s="18">
        <f t="shared" si="1"/>
        <v>0</v>
      </c>
      <c r="BS5" s="18">
        <f t="shared" si="1"/>
        <v>0</v>
      </c>
      <c r="BT5" s="19">
        <f t="shared" si="1"/>
        <v>0</v>
      </c>
    </row>
    <row r="6" spans="1:72" s="1764" customFormat="1" ht="12.75">
      <c r="A6" s="15" t="s">
        <v>1756</v>
      </c>
      <c r="B6" s="1761"/>
      <c r="C6" s="1761"/>
      <c r="D6" s="1762"/>
      <c r="E6" s="16">
        <f>H6+AC6+AT6</f>
        <v>0</v>
      </c>
      <c r="F6" s="16" t="s">
        <v>1</v>
      </c>
      <c r="G6" s="16" t="s">
        <v>2</v>
      </c>
      <c r="H6" s="20">
        <f>SUMIF(I$12:AB$12,"总值",I6:AB6)</f>
        <v>0</v>
      </c>
      <c r="I6" s="16">
        <f t="shared" ref="I6:AB6" si="2">ROUND($A$3*I5/$B$3,2)</f>
        <v>0</v>
      </c>
      <c r="J6" s="16">
        <f t="shared" si="2"/>
        <v>0</v>
      </c>
      <c r="K6" s="16">
        <f t="shared" si="2"/>
        <v>0</v>
      </c>
      <c r="L6" s="16">
        <f t="shared" si="2"/>
        <v>0</v>
      </c>
      <c r="M6" s="16">
        <f t="shared" si="2"/>
        <v>0</v>
      </c>
      <c r="N6" s="16">
        <f t="shared" si="2"/>
        <v>0</v>
      </c>
      <c r="O6" s="16">
        <f t="shared" si="2"/>
        <v>0</v>
      </c>
      <c r="P6" s="16">
        <f t="shared" si="2"/>
        <v>0</v>
      </c>
      <c r="Q6" s="16">
        <f t="shared" si="2"/>
        <v>0</v>
      </c>
      <c r="R6" s="16">
        <f t="shared" si="2"/>
        <v>0</v>
      </c>
      <c r="S6" s="16">
        <f t="shared" si="2"/>
        <v>0</v>
      </c>
      <c r="T6" s="16">
        <f t="shared" si="2"/>
        <v>0</v>
      </c>
      <c r="U6" s="16">
        <f t="shared" si="2"/>
        <v>0</v>
      </c>
      <c r="V6" s="16">
        <f t="shared" si="2"/>
        <v>0</v>
      </c>
      <c r="W6" s="16">
        <f t="shared" si="2"/>
        <v>0</v>
      </c>
      <c r="X6" s="16">
        <f t="shared" si="2"/>
        <v>0</v>
      </c>
      <c r="Y6" s="16">
        <f t="shared" si="2"/>
        <v>0</v>
      </c>
      <c r="Z6" s="16">
        <f t="shared" si="2"/>
        <v>0</v>
      </c>
      <c r="AA6" s="16">
        <f t="shared" si="2"/>
        <v>0</v>
      </c>
      <c r="AB6" s="16">
        <f t="shared" si="2"/>
        <v>0</v>
      </c>
      <c r="AC6" s="20">
        <f>SUMIF(AD$12:AS$12,"总值",AD6:AS6)</f>
        <v>0</v>
      </c>
      <c r="AD6" s="16">
        <f t="shared" ref="AD6:AS6" si="3">ROUND($A$3*AD5/$B$3,2)</f>
        <v>0</v>
      </c>
      <c r="AE6" s="16">
        <f t="shared" si="3"/>
        <v>0</v>
      </c>
      <c r="AF6" s="16">
        <f t="shared" si="3"/>
        <v>0</v>
      </c>
      <c r="AG6" s="16">
        <f t="shared" si="3"/>
        <v>0</v>
      </c>
      <c r="AH6" s="16">
        <f t="shared" si="3"/>
        <v>0</v>
      </c>
      <c r="AI6" s="16">
        <f t="shared" si="3"/>
        <v>0</v>
      </c>
      <c r="AJ6" s="16">
        <f t="shared" si="3"/>
        <v>0</v>
      </c>
      <c r="AK6" s="16">
        <f t="shared" si="3"/>
        <v>0</v>
      </c>
      <c r="AL6" s="16">
        <f t="shared" si="3"/>
        <v>0</v>
      </c>
      <c r="AM6" s="16">
        <f t="shared" si="3"/>
        <v>0</v>
      </c>
      <c r="AN6" s="16">
        <f t="shared" si="3"/>
        <v>0</v>
      </c>
      <c r="AO6" s="16">
        <f t="shared" si="3"/>
        <v>0</v>
      </c>
      <c r="AP6" s="16">
        <f t="shared" si="3"/>
        <v>0</v>
      </c>
      <c r="AQ6" s="16">
        <f t="shared" si="3"/>
        <v>0</v>
      </c>
      <c r="AR6" s="16">
        <f t="shared" si="3"/>
        <v>0</v>
      </c>
      <c r="AS6" s="16">
        <f t="shared" si="3"/>
        <v>0</v>
      </c>
      <c r="AT6" s="20">
        <f>IF(C3="是",ROUND($A$3*AT5/$B$3,2),0)</f>
        <v>0</v>
      </c>
      <c r="AU6" s="1763"/>
      <c r="AV6" s="15" t="s">
        <v>1756</v>
      </c>
      <c r="AW6" s="1761"/>
      <c r="AX6" s="1761"/>
      <c r="AY6" s="21">
        <f>IF(AY3&gt;0,AY3,ROUND($A$3*AZ5/$B$3,2))</f>
        <v>0</v>
      </c>
      <c r="AZ6" s="16" t="s">
        <v>3</v>
      </c>
      <c r="BA6" s="16">
        <f>ROUND($AY$6*BA5/$AZ$5,2)</f>
        <v>0</v>
      </c>
      <c r="BB6" s="16">
        <f>ROUND($AY$6*BB5/$AZ$5,2)</f>
        <v>0</v>
      </c>
      <c r="BC6" s="16">
        <f t="shared" ref="BC6:BH6" si="4">ROUND($AY$6*BC5/$AZ$5,2)</f>
        <v>0</v>
      </c>
      <c r="BD6" s="16">
        <f t="shared" si="4"/>
        <v>0</v>
      </c>
      <c r="BE6" s="16">
        <f t="shared" si="4"/>
        <v>0</v>
      </c>
      <c r="BF6" s="16">
        <f t="shared" si="4"/>
        <v>0</v>
      </c>
      <c r="BG6" s="16">
        <f t="shared" si="4"/>
        <v>0</v>
      </c>
      <c r="BH6" s="16">
        <f t="shared" si="4"/>
        <v>0</v>
      </c>
      <c r="BI6" s="16">
        <f t="shared" ref="BI6:BT6" si="5">ROUND($AY$6*BI5/$AZ$5,2)</f>
        <v>0</v>
      </c>
      <c r="BJ6" s="16">
        <f t="shared" si="5"/>
        <v>0</v>
      </c>
      <c r="BK6" s="16">
        <f t="shared" si="5"/>
        <v>0</v>
      </c>
      <c r="BL6" s="16">
        <f t="shared" si="5"/>
        <v>0</v>
      </c>
      <c r="BM6" s="16">
        <f t="shared" si="5"/>
        <v>0</v>
      </c>
      <c r="BN6" s="16">
        <f t="shared" si="5"/>
        <v>0</v>
      </c>
      <c r="BO6" s="16">
        <f t="shared" si="5"/>
        <v>0</v>
      </c>
      <c r="BP6" s="16">
        <f t="shared" si="5"/>
        <v>0</v>
      </c>
      <c r="BQ6" s="16">
        <f t="shared" si="5"/>
        <v>0</v>
      </c>
      <c r="BR6" s="16">
        <f t="shared" si="5"/>
        <v>0</v>
      </c>
      <c r="BS6" s="16">
        <f t="shared" si="5"/>
        <v>0</v>
      </c>
      <c r="BT6" s="22">
        <f t="shared" si="5"/>
        <v>0</v>
      </c>
    </row>
    <row r="7" spans="1:72" s="1754" customFormat="1" ht="24.75">
      <c r="A7" s="1744" t="s">
        <v>1757</v>
      </c>
      <c r="B7" s="1744" t="s">
        <v>1758</v>
      </c>
      <c r="C7" s="1744" t="s">
        <v>1759</v>
      </c>
      <c r="D7" s="1744" t="s">
        <v>1760</v>
      </c>
      <c r="E7" s="1744" t="s">
        <v>1761</v>
      </c>
      <c r="F7" s="1744" t="s">
        <v>1762</v>
      </c>
      <c r="G7" s="1765" t="s">
        <v>1763</v>
      </c>
      <c r="H7" s="1766"/>
      <c r="I7" s="1766"/>
      <c r="J7" s="1766"/>
      <c r="K7" s="1766"/>
      <c r="L7" s="1766"/>
      <c r="M7" s="1766"/>
      <c r="N7" s="1766"/>
      <c r="O7" s="1766"/>
      <c r="P7" s="1766"/>
      <c r="Q7" s="1766"/>
      <c r="R7" s="1766"/>
      <c r="S7" s="1766"/>
      <c r="T7" s="1766"/>
      <c r="U7" s="1766"/>
      <c r="V7" s="1766"/>
      <c r="W7" s="1766"/>
      <c r="X7" s="1766"/>
      <c r="Y7" s="1766"/>
      <c r="Z7" s="1766"/>
      <c r="AA7" s="1766"/>
      <c r="AB7" s="1766"/>
      <c r="AC7" s="1766"/>
      <c r="AD7" s="1766"/>
      <c r="AE7" s="1766"/>
      <c r="AF7" s="1766"/>
      <c r="AG7" s="1766"/>
      <c r="AH7" s="1766"/>
      <c r="AI7" s="1766"/>
      <c r="AJ7" s="1766"/>
      <c r="AK7" s="1766"/>
      <c r="AL7" s="1766"/>
      <c r="AM7" s="1766"/>
      <c r="AN7" s="1766"/>
      <c r="AO7" s="1766"/>
      <c r="AP7" s="1766"/>
      <c r="AQ7" s="1766"/>
      <c r="AR7" s="1766"/>
      <c r="AS7" s="1766"/>
      <c r="AT7" s="1523"/>
      <c r="AU7" s="1766" t="s">
        <v>1764</v>
      </c>
      <c r="AV7" s="23" t="s">
        <v>1765</v>
      </c>
      <c r="AW7" s="1753" t="s">
        <v>1766</v>
      </c>
      <c r="AX7" s="23" t="s">
        <v>1759</v>
      </c>
      <c r="AY7" s="1521" t="s">
        <v>1767</v>
      </c>
      <c r="AZ7" s="1767"/>
      <c r="BA7" s="1766"/>
      <c r="BB7" s="1766"/>
      <c r="BC7" s="1766"/>
      <c r="BD7" s="1766"/>
      <c r="BE7" s="1766"/>
      <c r="BF7" s="1766"/>
      <c r="BG7" s="1766"/>
      <c r="BH7" s="1766"/>
      <c r="BI7" s="1766"/>
      <c r="BJ7" s="1766"/>
      <c r="BK7" s="1766"/>
      <c r="BL7" s="1766"/>
      <c r="BM7" s="1766"/>
      <c r="BN7" s="1766"/>
      <c r="BO7" s="1766"/>
      <c r="BP7" s="1766"/>
      <c r="BQ7" s="1766"/>
      <c r="BR7" s="1766"/>
      <c r="BS7" s="1766"/>
      <c r="BT7" s="1768"/>
    </row>
    <row r="8" spans="1:72" s="1776" customFormat="1" ht="24">
      <c r="A8" s="1769"/>
      <c r="B8" s="1769"/>
      <c r="C8" s="1769"/>
      <c r="D8" s="1769"/>
      <c r="E8" s="1769"/>
      <c r="F8" s="1769"/>
      <c r="G8" s="1770" t="s">
        <v>1768</v>
      </c>
      <c r="H8" s="1771" t="s">
        <v>1769</v>
      </c>
      <c r="I8" s="1772"/>
      <c r="J8" s="1534"/>
      <c r="K8" s="1534"/>
      <c r="L8" s="1534"/>
      <c r="M8" s="1534"/>
      <c r="N8" s="1534"/>
      <c r="O8" s="1534"/>
      <c r="P8" s="1534"/>
      <c r="Q8" s="1534"/>
      <c r="R8" s="1534"/>
      <c r="S8" s="1534"/>
      <c r="T8" s="1534"/>
      <c r="U8" s="1534"/>
      <c r="V8" s="1773"/>
      <c r="W8" s="1534"/>
      <c r="X8" s="1534"/>
      <c r="Y8" s="1534"/>
      <c r="Z8" s="1534"/>
      <c r="AA8" s="1773"/>
      <c r="AB8" s="1774"/>
      <c r="AC8" s="915" t="s">
        <v>1770</v>
      </c>
      <c r="AD8" s="1775"/>
      <c r="AE8" s="1767"/>
      <c r="AF8" s="1534"/>
      <c r="AG8" s="1534"/>
      <c r="AH8" s="1534"/>
      <c r="AI8" s="1534"/>
      <c r="AJ8" s="1534"/>
      <c r="AK8" s="1534"/>
      <c r="AL8" s="1534"/>
      <c r="AM8" s="1534"/>
      <c r="AN8" s="1534"/>
      <c r="AO8" s="1534"/>
      <c r="AP8" s="1534"/>
      <c r="AQ8" s="1534"/>
      <c r="AR8" s="1534"/>
      <c r="AS8" s="1534"/>
      <c r="AT8" s="1193" t="s">
        <v>1771</v>
      </c>
      <c r="AU8" s="1769" t="s">
        <v>1772</v>
      </c>
      <c r="AV8" s="1193"/>
      <c r="AW8" s="1752"/>
      <c r="AX8" s="1193"/>
      <c r="AY8" s="1753" t="s">
        <v>1773</v>
      </c>
      <c r="AZ8" s="1533" t="s">
        <v>1774</v>
      </c>
      <c r="BA8" s="1534"/>
      <c r="BB8" s="1534"/>
      <c r="BC8" s="1534"/>
      <c r="BD8" s="1534"/>
      <c r="BE8" s="1534"/>
      <c r="BF8" s="1534"/>
      <c r="BG8" s="1534"/>
      <c r="BH8" s="1534"/>
      <c r="BI8" s="1534"/>
      <c r="BJ8" s="1534"/>
      <c r="BK8" s="1534"/>
      <c r="BL8" s="1534"/>
      <c r="BM8" s="1534"/>
      <c r="BN8" s="1534"/>
      <c r="BO8" s="1534"/>
      <c r="BP8" s="1534"/>
      <c r="BQ8" s="1534"/>
      <c r="BR8" s="1534"/>
      <c r="BS8" s="1534"/>
      <c r="BT8" s="26"/>
    </row>
    <row r="9" spans="1:72" s="1776" customFormat="1" ht="12.75">
      <c r="A9" s="1769"/>
      <c r="B9" s="1769"/>
      <c r="C9" s="1769"/>
      <c r="D9" s="1769"/>
      <c r="E9" s="1769"/>
      <c r="F9" s="1769"/>
      <c r="G9" s="1193"/>
      <c r="H9" s="1777" t="s">
        <v>1775</v>
      </c>
      <c r="I9" s="1778" t="s">
        <v>3060</v>
      </c>
      <c r="J9" s="915"/>
      <c r="K9" s="1778" t="s">
        <v>3061</v>
      </c>
      <c r="L9" s="915"/>
      <c r="M9" s="1778" t="s">
        <v>3061</v>
      </c>
      <c r="N9" s="915"/>
      <c r="O9" s="1778"/>
      <c r="P9" s="915"/>
      <c r="Q9" s="1778"/>
      <c r="R9" s="915"/>
      <c r="S9" s="1778"/>
      <c r="T9" s="915"/>
      <c r="U9" s="1778"/>
      <c r="V9" s="915"/>
      <c r="W9" s="1778"/>
      <c r="X9" s="1779"/>
      <c r="Y9" s="1778"/>
      <c r="Z9" s="915"/>
      <c r="AA9" s="1778"/>
      <c r="AB9" s="915"/>
      <c r="AC9" s="1770" t="s">
        <v>1775</v>
      </c>
      <c r="AD9" s="15" t="s">
        <v>1776</v>
      </c>
      <c r="AE9" s="1199"/>
      <c r="AF9" s="15" t="s">
        <v>1777</v>
      </c>
      <c r="AG9" s="1199"/>
      <c r="AH9" s="15" t="s">
        <v>1776</v>
      </c>
      <c r="AI9" s="1199"/>
      <c r="AJ9" s="15" t="s">
        <v>1777</v>
      </c>
      <c r="AK9" s="1199"/>
      <c r="AL9" s="15" t="s">
        <v>1776</v>
      </c>
      <c r="AM9" s="1199"/>
      <c r="AN9" s="15" t="s">
        <v>1777</v>
      </c>
      <c r="AO9" s="1199"/>
      <c r="AP9" s="15" t="s">
        <v>1776</v>
      </c>
      <c r="AQ9" s="1199"/>
      <c r="AR9" s="15" t="s">
        <v>1777</v>
      </c>
      <c r="AS9" s="1780"/>
      <c r="AT9" s="1769"/>
      <c r="AU9" s="1769" t="s">
        <v>1778</v>
      </c>
      <c r="AV9" s="1193"/>
      <c r="AW9" s="1752"/>
      <c r="AX9" s="1193"/>
      <c r="AY9" s="28"/>
      <c r="AZ9" s="28" t="s">
        <v>1768</v>
      </c>
      <c r="BA9" s="1781" t="s">
        <v>1779</v>
      </c>
      <c r="BB9" s="1782"/>
      <c r="BC9" s="1239"/>
      <c r="BD9" s="1239"/>
      <c r="BE9" s="1239"/>
      <c r="BF9" s="1239"/>
      <c r="BG9" s="1239"/>
      <c r="BH9" s="1239"/>
      <c r="BI9" s="1239"/>
      <c r="BJ9" s="1239"/>
      <c r="BK9" s="1783"/>
      <c r="BL9" s="15" t="s">
        <v>1780</v>
      </c>
      <c r="BM9" s="1534"/>
      <c r="BN9" s="1772"/>
      <c r="BO9" s="1534"/>
      <c r="BP9" s="1534"/>
      <c r="BQ9" s="1534"/>
      <c r="BR9" s="1534"/>
      <c r="BS9" s="1534"/>
      <c r="BT9" s="26"/>
    </row>
    <row r="10" spans="1:72" s="1776" customFormat="1" ht="12.75">
      <c r="A10" s="1769"/>
      <c r="B10" s="1769"/>
      <c r="C10" s="1769"/>
      <c r="D10" s="1769"/>
      <c r="E10" s="1769"/>
      <c r="F10" s="1769"/>
      <c r="G10" s="1193"/>
      <c r="H10" s="28"/>
      <c r="I10" s="1778" t="s">
        <v>1343</v>
      </c>
      <c r="J10" s="915"/>
      <c r="K10" s="1778" t="s">
        <v>3064</v>
      </c>
      <c r="L10" s="915"/>
      <c r="M10" s="1784" t="s">
        <v>3062</v>
      </c>
      <c r="N10" s="915"/>
      <c r="O10" s="1784"/>
      <c r="P10" s="915"/>
      <c r="Q10" s="1784"/>
      <c r="R10" s="915"/>
      <c r="S10" s="1784"/>
      <c r="T10" s="915"/>
      <c r="U10" s="1784"/>
      <c r="V10" s="915"/>
      <c r="W10" s="1784"/>
      <c r="X10" s="915"/>
      <c r="Y10" s="1784"/>
      <c r="Z10" s="915"/>
      <c r="AA10" s="1784"/>
      <c r="AB10" s="915"/>
      <c r="AC10" s="1193"/>
      <c r="AD10" s="15" t="s">
        <v>1781</v>
      </c>
      <c r="AE10" s="1785"/>
      <c r="AF10" s="15" t="s">
        <v>1781</v>
      </c>
      <c r="AG10" s="1785"/>
      <c r="AH10" s="15" t="s">
        <v>1782</v>
      </c>
      <c r="AI10" s="1785"/>
      <c r="AJ10" s="15" t="s">
        <v>1782</v>
      </c>
      <c r="AK10" s="1785"/>
      <c r="AL10" s="15" t="s">
        <v>1783</v>
      </c>
      <c r="AM10" s="1199"/>
      <c r="AN10" s="15" t="s">
        <v>1783</v>
      </c>
      <c r="AO10" s="1199"/>
      <c r="AP10" s="15" t="s">
        <v>1784</v>
      </c>
      <c r="AQ10" s="1199"/>
      <c r="AR10" s="15" t="s">
        <v>1784</v>
      </c>
      <c r="AS10" s="1199"/>
      <c r="AT10" s="1769"/>
      <c r="AU10" s="1769"/>
      <c r="AV10" s="1193"/>
      <c r="AW10" s="1752"/>
      <c r="AX10" s="1193"/>
      <c r="AY10" s="28"/>
      <c r="AZ10" s="28"/>
      <c r="BA10" s="1786" t="s">
        <v>1775</v>
      </c>
      <c r="BB10" s="1787" t="str">
        <f>I9</f>
        <v>地上</v>
      </c>
      <c r="BC10" s="29" t="str">
        <f>K9</f>
        <v>地下</v>
      </c>
      <c r="BD10" s="29" t="str">
        <f>M9</f>
        <v>地下</v>
      </c>
      <c r="BE10" s="29">
        <f>O9</f>
        <v>0</v>
      </c>
      <c r="BF10" s="29">
        <f>Q9</f>
        <v>0</v>
      </c>
      <c r="BG10" s="29">
        <f>S9</f>
        <v>0</v>
      </c>
      <c r="BH10" s="29">
        <f>U9</f>
        <v>0</v>
      </c>
      <c r="BI10" s="29">
        <f>W9</f>
        <v>0</v>
      </c>
      <c r="BJ10" s="29">
        <f>Y9</f>
        <v>0</v>
      </c>
      <c r="BK10" s="29">
        <f>AA9</f>
        <v>0</v>
      </c>
      <c r="BL10" s="25" t="s">
        <v>1775</v>
      </c>
      <c r="BM10" s="1533" t="str">
        <f>AD9</f>
        <v>地上</v>
      </c>
      <c r="BN10" s="29" t="str">
        <f>AF9</f>
        <v>地下</v>
      </c>
      <c r="BO10" s="1533" t="str">
        <f>AH9</f>
        <v>地上</v>
      </c>
      <c r="BP10" s="29" t="str">
        <f>AJ9</f>
        <v>地下</v>
      </c>
      <c r="BQ10" s="1533" t="str">
        <f>AL9</f>
        <v>地上</v>
      </c>
      <c r="BR10" s="29" t="str">
        <f>AN9</f>
        <v>地下</v>
      </c>
      <c r="BS10" s="1533" t="str">
        <f>AP9</f>
        <v>地上</v>
      </c>
      <c r="BT10" s="1788" t="str">
        <f>AR9</f>
        <v>地下</v>
      </c>
    </row>
    <row r="11" spans="1:72" s="1776" customFormat="1" ht="12.75">
      <c r="A11" s="1769"/>
      <c r="B11" s="1769"/>
      <c r="C11" s="1769"/>
      <c r="D11" s="1769"/>
      <c r="E11" s="1769"/>
      <c r="F11" s="1769"/>
      <c r="G11" s="1193"/>
      <c r="H11" s="1786"/>
      <c r="I11" s="1789" t="s">
        <v>3607</v>
      </c>
      <c r="J11" s="1790"/>
      <c r="K11" s="1789" t="s">
        <v>3064</v>
      </c>
      <c r="L11" s="1790"/>
      <c r="M11" s="1789" t="s">
        <v>3063</v>
      </c>
      <c r="N11" s="1790"/>
      <c r="O11" s="1789"/>
      <c r="P11" s="1790"/>
      <c r="Q11" s="1789"/>
      <c r="R11" s="1790"/>
      <c r="S11" s="1789"/>
      <c r="T11" s="1790"/>
      <c r="U11" s="1789"/>
      <c r="V11" s="1790"/>
      <c r="W11" s="1789"/>
      <c r="X11" s="1790"/>
      <c r="Y11" s="1789"/>
      <c r="Z11" s="1790"/>
      <c r="AA11" s="1789"/>
      <c r="AB11" s="1790"/>
      <c r="AC11" s="1193"/>
      <c r="AD11" s="1791" t="s">
        <v>1785</v>
      </c>
      <c r="AE11" s="1535"/>
      <c r="AF11" s="1791" t="s">
        <v>1785</v>
      </c>
      <c r="AG11" s="1535"/>
      <c r="AH11" s="1791" t="s">
        <v>1786</v>
      </c>
      <c r="AI11" s="1792"/>
      <c r="AJ11" s="1791" t="s">
        <v>1786</v>
      </c>
      <c r="AK11" s="1535"/>
      <c r="AL11" s="1533"/>
      <c r="AM11" s="1535"/>
      <c r="AN11" s="1533"/>
      <c r="AO11" s="1535"/>
      <c r="AP11" s="1533"/>
      <c r="AQ11" s="1535"/>
      <c r="AR11" s="1533"/>
      <c r="AS11" s="1535"/>
      <c r="AT11" s="1752"/>
      <c r="AU11" s="1769"/>
      <c r="AV11" s="1193"/>
      <c r="AW11" s="1752"/>
      <c r="AX11" s="1193"/>
      <c r="AY11" s="28"/>
      <c r="AZ11" s="28"/>
      <c r="BA11" s="28"/>
      <c r="BB11" s="1774" t="str">
        <f>I10</f>
        <v>商业</v>
      </c>
      <c r="BC11" s="1774" t="str">
        <f>K10</f>
        <v>车库</v>
      </c>
      <c r="BD11" s="1774" t="str">
        <f>M10</f>
        <v>仓储</v>
      </c>
      <c r="BE11" s="1774">
        <f>O10</f>
        <v>0</v>
      </c>
      <c r="BF11" s="1774">
        <f>Q10</f>
        <v>0</v>
      </c>
      <c r="BG11" s="1774">
        <f>S10</f>
        <v>0</v>
      </c>
      <c r="BH11" s="1774">
        <f>U10</f>
        <v>0</v>
      </c>
      <c r="BI11" s="1774">
        <f>W10</f>
        <v>0</v>
      </c>
      <c r="BJ11" s="1774">
        <f>Y10</f>
        <v>0</v>
      </c>
      <c r="BK11" s="1774">
        <f>AA10</f>
        <v>0</v>
      </c>
      <c r="BL11" s="1193"/>
      <c r="BM11" s="1533" t="str">
        <f>AD10</f>
        <v>公共配套设施</v>
      </c>
      <c r="BN11" s="1533" t="str">
        <f>AF10</f>
        <v>公共配套设施</v>
      </c>
      <c r="BO11" s="24" t="str">
        <f>AH10</f>
        <v>物业管理用房</v>
      </c>
      <c r="BP11" s="24" t="str">
        <f>AJ10</f>
        <v>物业管理用房</v>
      </c>
      <c r="BQ11" s="24" t="str">
        <f>AL10</f>
        <v>设备及其他</v>
      </c>
      <c r="BR11" s="24" t="str">
        <f>AN10</f>
        <v>设备及其他</v>
      </c>
      <c r="BS11" s="25" t="str">
        <f>AP10</f>
        <v>未注明</v>
      </c>
      <c r="BT11" s="1793" t="str">
        <f>AR10</f>
        <v>未注明</v>
      </c>
    </row>
    <row r="12" spans="1:72" s="1754" customFormat="1" ht="12.75">
      <c r="A12" s="1794"/>
      <c r="B12" s="1794"/>
      <c r="C12" s="1794"/>
      <c r="D12" s="1794"/>
      <c r="E12" s="1794"/>
      <c r="F12" s="1794"/>
      <c r="G12" s="30"/>
      <c r="H12" s="1795"/>
      <c r="I12" s="1523" t="s">
        <v>1787</v>
      </c>
      <c r="J12" s="11" t="s">
        <v>1788</v>
      </c>
      <c r="K12" s="11" t="s">
        <v>1787</v>
      </c>
      <c r="L12" s="11" t="s">
        <v>1788</v>
      </c>
      <c r="M12" s="11" t="s">
        <v>1787</v>
      </c>
      <c r="N12" s="11" t="s">
        <v>1788</v>
      </c>
      <c r="O12" s="11" t="s">
        <v>1787</v>
      </c>
      <c r="P12" s="11" t="s">
        <v>1788</v>
      </c>
      <c r="Q12" s="11" t="s">
        <v>1787</v>
      </c>
      <c r="R12" s="11" t="s">
        <v>1788</v>
      </c>
      <c r="S12" s="11" t="s">
        <v>1787</v>
      </c>
      <c r="T12" s="11" t="s">
        <v>1788</v>
      </c>
      <c r="U12" s="11" t="s">
        <v>1787</v>
      </c>
      <c r="V12" s="1520" t="s">
        <v>1788</v>
      </c>
      <c r="W12" s="11" t="s">
        <v>1787</v>
      </c>
      <c r="X12" s="11" t="s">
        <v>1788</v>
      </c>
      <c r="Y12" s="11" t="s">
        <v>1787</v>
      </c>
      <c r="Z12" s="11" t="s">
        <v>1788</v>
      </c>
      <c r="AA12" s="11" t="s">
        <v>1787</v>
      </c>
      <c r="AB12" s="11" t="s">
        <v>1788</v>
      </c>
      <c r="AC12" s="1796"/>
      <c r="AD12" s="1523" t="s">
        <v>1787</v>
      </c>
      <c r="AE12" s="11" t="s">
        <v>1788</v>
      </c>
      <c r="AF12" s="11" t="s">
        <v>1787</v>
      </c>
      <c r="AG12" s="11" t="s">
        <v>1788</v>
      </c>
      <c r="AH12" s="11" t="s">
        <v>1787</v>
      </c>
      <c r="AI12" s="11" t="s">
        <v>1788</v>
      </c>
      <c r="AJ12" s="11" t="s">
        <v>1787</v>
      </c>
      <c r="AK12" s="11" t="s">
        <v>1788</v>
      </c>
      <c r="AL12" s="11" t="s">
        <v>1787</v>
      </c>
      <c r="AM12" s="11" t="s">
        <v>1788</v>
      </c>
      <c r="AN12" s="11" t="s">
        <v>1787</v>
      </c>
      <c r="AO12" s="11" t="s">
        <v>1788</v>
      </c>
      <c r="AP12" s="11" t="s">
        <v>1787</v>
      </c>
      <c r="AQ12" s="11" t="s">
        <v>1788</v>
      </c>
      <c r="AR12" s="30" t="s">
        <v>1787</v>
      </c>
      <c r="AS12" s="1794" t="s">
        <v>1788</v>
      </c>
      <c r="AT12" s="1797"/>
      <c r="AU12" s="1794"/>
      <c r="AV12" s="31"/>
      <c r="AW12" s="1753"/>
      <c r="AX12" s="31"/>
      <c r="AY12" s="1798"/>
      <c r="AZ12" s="28"/>
      <c r="BA12" s="1786"/>
      <c r="BB12" s="24" t="str">
        <f>I11</f>
        <v>酒店</v>
      </c>
      <c r="BC12" s="1799" t="str">
        <f>K11</f>
        <v>车库</v>
      </c>
      <c r="BD12" s="1799" t="str">
        <f>M11</f>
        <v>戊类库房</v>
      </c>
      <c r="BE12" s="1774">
        <f>O11</f>
        <v>0</v>
      </c>
      <c r="BF12" s="1774">
        <f>Q11</f>
        <v>0</v>
      </c>
      <c r="BG12" s="1774">
        <f>S11</f>
        <v>0</v>
      </c>
      <c r="BH12" s="1774">
        <f>U11</f>
        <v>0</v>
      </c>
      <c r="BI12" s="1774">
        <f>W11</f>
        <v>0</v>
      </c>
      <c r="BJ12" s="1774">
        <f>Y11</f>
        <v>0</v>
      </c>
      <c r="BK12" s="1774">
        <f>AA11</f>
        <v>0</v>
      </c>
      <c r="BL12" s="1193"/>
      <c r="BM12" s="1533" t="str">
        <f>AD11</f>
        <v>（住宅）</v>
      </c>
      <c r="BN12" s="1533" t="str">
        <f>AF11</f>
        <v>（住宅）</v>
      </c>
      <c r="BO12" s="24" t="str">
        <f>AH11</f>
        <v>（住宅、计出让金）</v>
      </c>
      <c r="BP12" s="24" t="str">
        <f>AJ11</f>
        <v>（住宅、计出让金）</v>
      </c>
      <c r="BQ12" s="24">
        <f>AL11</f>
        <v>0</v>
      </c>
      <c r="BR12" s="24">
        <f>AN11</f>
        <v>0</v>
      </c>
      <c r="BS12" s="25">
        <f>AP11</f>
        <v>0</v>
      </c>
      <c r="BT12" s="1793">
        <f>AR11</f>
        <v>0</v>
      </c>
    </row>
    <row r="13" spans="1:72" s="1754" customFormat="1" ht="12.75">
      <c r="A13" s="1173"/>
      <c r="B13" s="1173"/>
      <c r="C13" s="3034"/>
      <c r="D13" s="1800" t="s">
        <v>3058</v>
      </c>
      <c r="E13" s="16">
        <f>IF($C$3="是",ROUND($A$3*G13/$B$3,2),ROUND($A$3*(G13-AT13)/$B$3,2))</f>
        <v>0</v>
      </c>
      <c r="F13" s="32"/>
      <c r="G13" s="33">
        <f>H13+AC13+AT13</f>
        <v>29932.760000000009</v>
      </c>
      <c r="H13" s="20">
        <f>SUMIF(I$12:AB$12,"总值",I13:AB13)</f>
        <v>29610.970000000008</v>
      </c>
      <c r="I13" s="1801">
        <f>面积指标!C22-AL13</f>
        <v>29610.970000000008</v>
      </c>
      <c r="J13" s="1801"/>
      <c r="K13" s="1801"/>
      <c r="L13" s="1801"/>
      <c r="M13" s="1801"/>
      <c r="N13" s="1801"/>
      <c r="O13" s="1801"/>
      <c r="P13" s="1801"/>
      <c r="Q13" s="1801"/>
      <c r="R13" s="1801"/>
      <c r="S13" s="1801"/>
      <c r="T13" s="1801"/>
      <c r="U13" s="1801"/>
      <c r="V13" s="1801"/>
      <c r="W13" s="1801"/>
      <c r="X13" s="1801"/>
      <c r="Y13" s="1801"/>
      <c r="Z13" s="1801"/>
      <c r="AA13" s="1801"/>
      <c r="AB13" s="1801"/>
      <c r="AC13" s="16">
        <f>SUMIF(AD$12:AS$12,"总值",AD13:AS13)</f>
        <v>321.78999999999996</v>
      </c>
      <c r="AD13" s="1802">
        <f>面积指标!D10</f>
        <v>0</v>
      </c>
      <c r="AE13" s="1802"/>
      <c r="AF13" s="1802"/>
      <c r="AG13" s="1802"/>
      <c r="AH13" s="1802"/>
      <c r="AI13" s="1802"/>
      <c r="AJ13" s="1802"/>
      <c r="AK13" s="1802"/>
      <c r="AL13" s="1802">
        <f>面积指标!C4+面积指标!C7</f>
        <v>321.78999999999996</v>
      </c>
      <c r="AM13" s="1802"/>
      <c r="AN13" s="1802">
        <f>面积指标!E11+面积指标!E13-'数据-基础表'!K13</f>
        <v>0</v>
      </c>
      <c r="AO13" s="1802"/>
      <c r="AP13" s="1802"/>
      <c r="AQ13" s="1802"/>
      <c r="AR13" s="1802"/>
      <c r="AS13" s="1802"/>
      <c r="AT13" s="1803"/>
      <c r="AU13" s="1804"/>
      <c r="AV13" s="11">
        <f t="shared" ref="AV13:AX17" si="6">A13</f>
        <v>0</v>
      </c>
      <c r="AW13" s="11">
        <f t="shared" si="6"/>
        <v>0</v>
      </c>
      <c r="AX13" s="11">
        <f t="shared" si="6"/>
        <v>0</v>
      </c>
      <c r="AY13" s="1523">
        <f>ROUND($AY$6*AZ13/$AZ$5,2)</f>
        <v>0</v>
      </c>
      <c r="AZ13" s="16">
        <f>BA13+BL13</f>
        <v>29932.760000000009</v>
      </c>
      <c r="BA13" s="16">
        <f>SUM(BB13:BK13)</f>
        <v>29610.970000000008</v>
      </c>
      <c r="BB13" s="16">
        <f>IF($D13="是",I13-J13,0)</f>
        <v>29610.970000000008</v>
      </c>
      <c r="BC13" s="16">
        <f>IF($D13="是",K13-L13,0)</f>
        <v>0</v>
      </c>
      <c r="BD13" s="16">
        <f>IF($D13="是",M13-N13,0)</f>
        <v>0</v>
      </c>
      <c r="BE13" s="16">
        <f>IF($D13="是",O13-P13,0)</f>
        <v>0</v>
      </c>
      <c r="BF13" s="16">
        <f>IF($D13="是",Q13-R13,0)</f>
        <v>0</v>
      </c>
      <c r="BG13" s="16">
        <f>IF($D13="是",S13-T13,0)</f>
        <v>0</v>
      </c>
      <c r="BH13" s="16">
        <f>IF($D13="是",U13-V13,0)</f>
        <v>0</v>
      </c>
      <c r="BI13" s="16">
        <f>IF($D13="是",W13-X13,0)</f>
        <v>0</v>
      </c>
      <c r="BJ13" s="16">
        <f>IF($D13="是",Y13-Z13,0)</f>
        <v>0</v>
      </c>
      <c r="BK13" s="16">
        <f>IF($D13="是",AA13-AB13,0)</f>
        <v>0</v>
      </c>
      <c r="BL13" s="16">
        <f>SUM(BM13:BT13)</f>
        <v>321.78999999999996</v>
      </c>
      <c r="BM13" s="16">
        <f>IF($D13="是",AD13-AE13,0)</f>
        <v>0</v>
      </c>
      <c r="BN13" s="16">
        <f>IF($D13="是",AF13-AG13,0)</f>
        <v>0</v>
      </c>
      <c r="BO13" s="16">
        <f>IF($D13="是",AH13-AI13,0)</f>
        <v>0</v>
      </c>
      <c r="BP13" s="16">
        <f>IF($D13="是",AJ13-AK13,0)</f>
        <v>0</v>
      </c>
      <c r="BQ13" s="16">
        <f>IF($D13="是",AL13-AM13,0)</f>
        <v>321.78999999999996</v>
      </c>
      <c r="BR13" s="16">
        <f>IF($D13="是",AN13-AO13,0)</f>
        <v>0</v>
      </c>
      <c r="BS13" s="16">
        <f>IF($D13="是",AP13-AQ13,0)</f>
        <v>0</v>
      </c>
      <c r="BT13" s="22">
        <f>IF($D13="是",AR13-AS13,0)</f>
        <v>0</v>
      </c>
    </row>
    <row r="14" spans="1:72" s="1754" customFormat="1" ht="12.75">
      <c r="A14" s="1173"/>
      <c r="B14" s="1173"/>
      <c r="C14" s="3034"/>
      <c r="D14" s="1800"/>
      <c r="E14" s="16">
        <f>IF($C$3="是",ROUND($A$3*G14/$B$3,2),ROUND($A$3*(G14-AT14)/$B$3,2))</f>
        <v>0</v>
      </c>
      <c r="F14" s="32"/>
      <c r="G14" s="33">
        <f>H14+AC14+AT14</f>
        <v>0</v>
      </c>
      <c r="H14" s="20">
        <f>SUMIF(I$12:AB$12,"总值",I14:AB14)</f>
        <v>0</v>
      </c>
      <c r="I14" s="1801"/>
      <c r="J14" s="1801"/>
      <c r="K14" s="1801"/>
      <c r="L14" s="1801"/>
      <c r="M14" s="1801"/>
      <c r="N14" s="1801"/>
      <c r="O14" s="1801"/>
      <c r="P14" s="1801"/>
      <c r="Q14" s="1801"/>
      <c r="R14" s="1801"/>
      <c r="S14" s="1801"/>
      <c r="T14" s="1801"/>
      <c r="U14" s="1801"/>
      <c r="V14" s="1801"/>
      <c r="W14" s="1801"/>
      <c r="X14" s="1801"/>
      <c r="Y14" s="1801"/>
      <c r="Z14" s="1801"/>
      <c r="AA14" s="1801"/>
      <c r="AB14" s="1801"/>
      <c r="AC14" s="16">
        <f>SUMIF(AD$12:AS$12,"总值",AD14:AS14)</f>
        <v>0</v>
      </c>
      <c r="AD14" s="1802"/>
      <c r="AE14" s="1802"/>
      <c r="AF14" s="1802"/>
      <c r="AG14" s="1802"/>
      <c r="AH14" s="1802"/>
      <c r="AI14" s="1802"/>
      <c r="AJ14" s="1802"/>
      <c r="AK14" s="1802"/>
      <c r="AL14" s="1802"/>
      <c r="AM14" s="1802"/>
      <c r="AN14" s="1802"/>
      <c r="AO14" s="1802"/>
      <c r="AP14" s="1802"/>
      <c r="AQ14" s="1802"/>
      <c r="AR14" s="1802"/>
      <c r="AS14" s="1802"/>
      <c r="AT14" s="1803"/>
      <c r="AU14" s="1804"/>
      <c r="AV14" s="11">
        <f t="shared" si="6"/>
        <v>0</v>
      </c>
      <c r="AW14" s="11">
        <f t="shared" si="6"/>
        <v>0</v>
      </c>
      <c r="AX14" s="11">
        <f t="shared" si="6"/>
        <v>0</v>
      </c>
      <c r="AY14" s="1523">
        <f>ROUND($AY$6*AZ14/$AZ$5,2)</f>
        <v>0</v>
      </c>
      <c r="AZ14" s="16">
        <f>BA14+BL14</f>
        <v>0</v>
      </c>
      <c r="BA14" s="16">
        <f>SUM(BB14:BK14)</f>
        <v>0</v>
      </c>
      <c r="BB14" s="16">
        <f>IF($D14="是",I14-J14,0)</f>
        <v>0</v>
      </c>
      <c r="BC14" s="16">
        <f>IF($D14="是",K14-L14,0)</f>
        <v>0</v>
      </c>
      <c r="BD14" s="16">
        <f>IF($D14="是",M14-N14,0)</f>
        <v>0</v>
      </c>
      <c r="BE14" s="16">
        <f>IF($D14="是",O14-P14,0)</f>
        <v>0</v>
      </c>
      <c r="BF14" s="16">
        <f>IF($D14="是",Q14-R14,0)</f>
        <v>0</v>
      </c>
      <c r="BG14" s="16">
        <f>IF($D14="是",S14-T14,0)</f>
        <v>0</v>
      </c>
      <c r="BH14" s="16">
        <f>IF($D14="是",U14-V14,0)</f>
        <v>0</v>
      </c>
      <c r="BI14" s="16">
        <f>IF($D14="是",W14-X14,0)</f>
        <v>0</v>
      </c>
      <c r="BJ14" s="16">
        <f>IF($D14="是",Y14-Z14,0)</f>
        <v>0</v>
      </c>
      <c r="BK14" s="16">
        <f>IF($D14="是",AA14-AB14,0)</f>
        <v>0</v>
      </c>
      <c r="BL14" s="16">
        <f>SUM(BM14:BT14)</f>
        <v>0</v>
      </c>
      <c r="BM14" s="16">
        <f>IF($D14="是",AD14-AE14,0)</f>
        <v>0</v>
      </c>
      <c r="BN14" s="16">
        <f>IF($D14="是",AF14-AG14,0)</f>
        <v>0</v>
      </c>
      <c r="BO14" s="16">
        <f>IF($D14="是",AH14-AI14,0)</f>
        <v>0</v>
      </c>
      <c r="BP14" s="16">
        <f>IF($D14="是",AJ14-AK14,0)</f>
        <v>0</v>
      </c>
      <c r="BQ14" s="16">
        <f>IF($D14="是",AL14-AM14,0)</f>
        <v>0</v>
      </c>
      <c r="BR14" s="16">
        <f>IF($D14="是",AN14-AO14,0)</f>
        <v>0</v>
      </c>
      <c r="BS14" s="16">
        <f>IF($D14="是",AP14-AQ14,0)</f>
        <v>0</v>
      </c>
      <c r="BT14" s="22">
        <f>IF($D14="是",AR14-AS14,0)</f>
        <v>0</v>
      </c>
    </row>
    <row r="15" spans="1:72" s="1754" customFormat="1" ht="12.75">
      <c r="A15" s="1173"/>
      <c r="B15" s="1173"/>
      <c r="C15" s="1745"/>
      <c r="D15" s="1800"/>
      <c r="E15" s="16">
        <f>IF($C$3="是",ROUND($A$3*G15/$B$3,2),ROUND($A$3*(G15-AT15)/$B$3,2))</f>
        <v>0</v>
      </c>
      <c r="F15" s="32"/>
      <c r="G15" s="33">
        <f>H15+AC15+AT15</f>
        <v>0</v>
      </c>
      <c r="H15" s="20">
        <f>SUMIF(I$12:AB$12,"总值",I15:AB15)</f>
        <v>0</v>
      </c>
      <c r="I15" s="1801"/>
      <c r="J15" s="1801"/>
      <c r="K15" s="1801"/>
      <c r="L15" s="1801"/>
      <c r="M15" s="1801"/>
      <c r="N15" s="1801"/>
      <c r="O15" s="1801"/>
      <c r="P15" s="1801"/>
      <c r="Q15" s="1801"/>
      <c r="R15" s="1801"/>
      <c r="S15" s="1801"/>
      <c r="T15" s="1801"/>
      <c r="U15" s="1801"/>
      <c r="V15" s="1801"/>
      <c r="W15" s="1801"/>
      <c r="X15" s="1801"/>
      <c r="Y15" s="1801"/>
      <c r="Z15" s="1801"/>
      <c r="AA15" s="1801"/>
      <c r="AB15" s="1801"/>
      <c r="AC15" s="16">
        <f>SUMIF(AD$12:AS$12,"总值",AD15:AS15)</f>
        <v>0</v>
      </c>
      <c r="AD15" s="1802"/>
      <c r="AE15" s="1802"/>
      <c r="AF15" s="1802"/>
      <c r="AG15" s="1802"/>
      <c r="AH15" s="1802"/>
      <c r="AI15" s="1802"/>
      <c r="AJ15" s="1802"/>
      <c r="AK15" s="1802"/>
      <c r="AL15" s="1802"/>
      <c r="AM15" s="1802"/>
      <c r="AN15" s="1802"/>
      <c r="AO15" s="1802"/>
      <c r="AP15" s="1802"/>
      <c r="AQ15" s="1802"/>
      <c r="AR15" s="1802"/>
      <c r="AS15" s="1802"/>
      <c r="AT15" s="1803"/>
      <c r="AU15" s="1804"/>
      <c r="AV15" s="11">
        <f t="shared" si="6"/>
        <v>0</v>
      </c>
      <c r="AW15" s="11">
        <f t="shared" si="6"/>
        <v>0</v>
      </c>
      <c r="AX15" s="11">
        <f t="shared" si="6"/>
        <v>0</v>
      </c>
      <c r="AY15" s="1523">
        <f>ROUND($AY$6*AZ15/$AZ$5,2)</f>
        <v>0</v>
      </c>
      <c r="AZ15" s="16">
        <f>BA15+BL15</f>
        <v>0</v>
      </c>
      <c r="BA15" s="16">
        <f>SUM(BB15:BK15)</f>
        <v>0</v>
      </c>
      <c r="BB15" s="16">
        <f>IF($D15="是",I15-J15,0)</f>
        <v>0</v>
      </c>
      <c r="BC15" s="16">
        <f>IF($D15="是",K15-L15,0)</f>
        <v>0</v>
      </c>
      <c r="BD15" s="16">
        <f>IF($D15="是",M15-N15,0)</f>
        <v>0</v>
      </c>
      <c r="BE15" s="16">
        <f>IF($D15="是",O15-P15,0)</f>
        <v>0</v>
      </c>
      <c r="BF15" s="16">
        <f>IF($D15="是",Q15-R15,0)</f>
        <v>0</v>
      </c>
      <c r="BG15" s="16">
        <f>IF($D15="是",S15-T15,0)</f>
        <v>0</v>
      </c>
      <c r="BH15" s="16">
        <f>IF($D15="是",U15-V15,0)</f>
        <v>0</v>
      </c>
      <c r="BI15" s="16">
        <f>IF($D15="是",W15-X15,0)</f>
        <v>0</v>
      </c>
      <c r="BJ15" s="16">
        <f>IF($D15="是",Y15-Z15,0)</f>
        <v>0</v>
      </c>
      <c r="BK15" s="16">
        <f>IF($D15="是",AA15-AB15,0)</f>
        <v>0</v>
      </c>
      <c r="BL15" s="16">
        <f>SUM(BM15:BT15)</f>
        <v>0</v>
      </c>
      <c r="BM15" s="16">
        <f>IF($D15="是",AD15-AE15,0)</f>
        <v>0</v>
      </c>
      <c r="BN15" s="16">
        <f>IF($D15="是",AF15-AG15,0)</f>
        <v>0</v>
      </c>
      <c r="BO15" s="16">
        <f>IF($D15="是",AH15-AI15,0)</f>
        <v>0</v>
      </c>
      <c r="BP15" s="16">
        <f>IF($D15="是",AJ15-AK15,0)</f>
        <v>0</v>
      </c>
      <c r="BQ15" s="16">
        <f>IF($D15="是",AL15-AM15,0)</f>
        <v>0</v>
      </c>
      <c r="BR15" s="16">
        <f>IF($D15="是",AN15-AO15,0)</f>
        <v>0</v>
      </c>
      <c r="BS15" s="16">
        <f>IF($D15="是",AP15-AQ15,0)</f>
        <v>0</v>
      </c>
      <c r="BT15" s="22">
        <f>IF($D15="是",AR15-AS15,0)</f>
        <v>0</v>
      </c>
    </row>
    <row r="16" spans="1:72" s="1754" customFormat="1" ht="12.75">
      <c r="A16" s="1173"/>
      <c r="B16" s="1173"/>
      <c r="C16" s="1745"/>
      <c r="D16" s="1800"/>
      <c r="E16" s="16">
        <f>IF($C$3="是",ROUND($A$3*G16/$B$3,2),ROUND($A$3*(G16-AT16)/$B$3,2))</f>
        <v>0</v>
      </c>
      <c r="F16" s="32"/>
      <c r="G16" s="33">
        <f>H16+AC16+AT16</f>
        <v>0</v>
      </c>
      <c r="H16" s="20">
        <f>SUMIF(I$12:AB$12,"总值",I16:AB16)</f>
        <v>0</v>
      </c>
      <c r="I16" s="1801"/>
      <c r="J16" s="1801"/>
      <c r="K16" s="1801"/>
      <c r="L16" s="1801"/>
      <c r="M16" s="1801"/>
      <c r="N16" s="1801"/>
      <c r="O16" s="1801"/>
      <c r="P16" s="1801"/>
      <c r="Q16" s="1801"/>
      <c r="R16" s="1801"/>
      <c r="S16" s="1801"/>
      <c r="T16" s="1801"/>
      <c r="U16" s="1801"/>
      <c r="V16" s="1801"/>
      <c r="W16" s="1801"/>
      <c r="X16" s="1801"/>
      <c r="Y16" s="1801"/>
      <c r="Z16" s="1801"/>
      <c r="AA16" s="1801"/>
      <c r="AB16" s="1801"/>
      <c r="AC16" s="16">
        <f>SUMIF(AD$12:AS$12,"总值",AD16:AS16)</f>
        <v>0</v>
      </c>
      <c r="AD16" s="1802"/>
      <c r="AE16" s="1802"/>
      <c r="AF16" s="1802"/>
      <c r="AG16" s="1802"/>
      <c r="AH16" s="1802"/>
      <c r="AI16" s="1802"/>
      <c r="AJ16" s="1802"/>
      <c r="AK16" s="1802"/>
      <c r="AL16" s="1802"/>
      <c r="AM16" s="1802"/>
      <c r="AN16" s="1802"/>
      <c r="AO16" s="1802"/>
      <c r="AP16" s="1802"/>
      <c r="AQ16" s="1802"/>
      <c r="AR16" s="1802"/>
      <c r="AS16" s="1802"/>
      <c r="AT16" s="1803"/>
      <c r="AU16" s="1804"/>
      <c r="AV16" s="11">
        <f t="shared" si="6"/>
        <v>0</v>
      </c>
      <c r="AW16" s="11">
        <f t="shared" si="6"/>
        <v>0</v>
      </c>
      <c r="AX16" s="11">
        <f t="shared" si="6"/>
        <v>0</v>
      </c>
      <c r="AY16" s="1523">
        <f>ROUND($AY$6*AZ16/$AZ$5,2)</f>
        <v>0</v>
      </c>
      <c r="AZ16" s="16">
        <f>BA16+BL16</f>
        <v>0</v>
      </c>
      <c r="BA16" s="16">
        <f>SUM(BB16:BK16)</f>
        <v>0</v>
      </c>
      <c r="BB16" s="16">
        <f>IF($D16="是",I16-J16,0)</f>
        <v>0</v>
      </c>
      <c r="BC16" s="16">
        <f>IF($D16="是",K16-L16,0)</f>
        <v>0</v>
      </c>
      <c r="BD16" s="16">
        <f>IF($D16="是",M16-N16,0)</f>
        <v>0</v>
      </c>
      <c r="BE16" s="16">
        <f>IF($D16="是",O16-P16,0)</f>
        <v>0</v>
      </c>
      <c r="BF16" s="16">
        <f>IF($D16="是",Q16-R16,0)</f>
        <v>0</v>
      </c>
      <c r="BG16" s="16">
        <f>IF($D16="是",S16-T16,0)</f>
        <v>0</v>
      </c>
      <c r="BH16" s="16">
        <f>IF($D16="是",U16-V16,0)</f>
        <v>0</v>
      </c>
      <c r="BI16" s="16">
        <f>IF($D16="是",W16-X16,0)</f>
        <v>0</v>
      </c>
      <c r="BJ16" s="16">
        <f>IF($D16="是",Y16-Z16,0)</f>
        <v>0</v>
      </c>
      <c r="BK16" s="16">
        <f>IF($D16="是",AA16-AB16,0)</f>
        <v>0</v>
      </c>
      <c r="BL16" s="16">
        <f>SUM(BM16:BT16)</f>
        <v>0</v>
      </c>
      <c r="BM16" s="16">
        <f>IF($D16="是",AD16-AE16,0)</f>
        <v>0</v>
      </c>
      <c r="BN16" s="16">
        <f>IF($D16="是",AF16-AG16,0)</f>
        <v>0</v>
      </c>
      <c r="BO16" s="16">
        <f>IF($D16="是",AH16-AI16,0)</f>
        <v>0</v>
      </c>
      <c r="BP16" s="16">
        <f>IF($D16="是",AJ16-AK16,0)</f>
        <v>0</v>
      </c>
      <c r="BQ16" s="16">
        <f>IF($D16="是",AL16-AM16,0)</f>
        <v>0</v>
      </c>
      <c r="BR16" s="16">
        <f>IF($D16="是",AN16-AO16,0)</f>
        <v>0</v>
      </c>
      <c r="BS16" s="16">
        <f>IF($D16="是",AP16-AQ16,0)</f>
        <v>0</v>
      </c>
      <c r="BT16" s="22">
        <f>IF($D16="是",AR16-AS16,0)</f>
        <v>0</v>
      </c>
    </row>
    <row r="17" spans="1:72" s="1754" customFormat="1" ht="12.75">
      <c r="A17" s="1173"/>
      <c r="B17" s="1173"/>
      <c r="C17" s="1745"/>
      <c r="D17" s="1800"/>
      <c r="E17" s="16">
        <f>IF($C$3="是",ROUND($A$3*G17/$B$3,2),ROUND($A$3*(G17-AT17)/$B$3,2))</f>
        <v>0</v>
      </c>
      <c r="F17" s="32"/>
      <c r="G17" s="33">
        <f>H17+AC17+AT17</f>
        <v>0</v>
      </c>
      <c r="H17" s="20">
        <f>SUMIF(I$12:AB$12,"总值",I17:AB17)</f>
        <v>0</v>
      </c>
      <c r="I17" s="1801"/>
      <c r="J17" s="1801"/>
      <c r="K17" s="1801"/>
      <c r="L17" s="1801"/>
      <c r="M17" s="1801"/>
      <c r="N17" s="1801"/>
      <c r="O17" s="1801"/>
      <c r="P17" s="1801"/>
      <c r="Q17" s="1801"/>
      <c r="R17" s="1801"/>
      <c r="S17" s="1801"/>
      <c r="T17" s="1801"/>
      <c r="U17" s="1801"/>
      <c r="V17" s="1801"/>
      <c r="W17" s="1801"/>
      <c r="X17" s="1801"/>
      <c r="Y17" s="1801"/>
      <c r="Z17" s="1801"/>
      <c r="AA17" s="1801"/>
      <c r="AB17" s="1801"/>
      <c r="AC17" s="16">
        <f>SUMIF(AD$12:AS$12,"总值",AD17:AS17)</f>
        <v>0</v>
      </c>
      <c r="AD17" s="1802"/>
      <c r="AE17" s="1802"/>
      <c r="AF17" s="1802"/>
      <c r="AG17" s="1802"/>
      <c r="AH17" s="1802"/>
      <c r="AI17" s="1802"/>
      <c r="AJ17" s="1802"/>
      <c r="AK17" s="1802"/>
      <c r="AL17" s="1802"/>
      <c r="AM17" s="1802"/>
      <c r="AN17" s="1802"/>
      <c r="AO17" s="1802"/>
      <c r="AP17" s="1802"/>
      <c r="AQ17" s="1802"/>
      <c r="AR17" s="1802"/>
      <c r="AS17" s="1802"/>
      <c r="AT17" s="1803"/>
      <c r="AU17" s="1804"/>
      <c r="AV17" s="11">
        <f t="shared" si="6"/>
        <v>0</v>
      </c>
      <c r="AW17" s="11">
        <f t="shared" si="6"/>
        <v>0</v>
      </c>
      <c r="AX17" s="11">
        <f t="shared" si="6"/>
        <v>0</v>
      </c>
      <c r="AY17" s="1523">
        <f>ROUND($AY$6*AZ17/$AZ$5,2)</f>
        <v>0</v>
      </c>
      <c r="AZ17" s="16">
        <f>BA17+BL17</f>
        <v>0</v>
      </c>
      <c r="BA17" s="16">
        <f>SUM(BB17:BK17)</f>
        <v>0</v>
      </c>
      <c r="BB17" s="16">
        <f>IF($D17="是",I17-J17,0)</f>
        <v>0</v>
      </c>
      <c r="BC17" s="16">
        <f>IF($D17="是",K17-L17,0)</f>
        <v>0</v>
      </c>
      <c r="BD17" s="16">
        <f>IF($D17="是",M17-N17,0)</f>
        <v>0</v>
      </c>
      <c r="BE17" s="16">
        <f>IF($D17="是",O17-P17,0)</f>
        <v>0</v>
      </c>
      <c r="BF17" s="16">
        <f>IF($D17="是",Q17-R17,0)</f>
        <v>0</v>
      </c>
      <c r="BG17" s="16">
        <f>IF($D17="是",S17-T17,0)</f>
        <v>0</v>
      </c>
      <c r="BH17" s="16">
        <f>IF($D17="是",U17-V17,0)</f>
        <v>0</v>
      </c>
      <c r="BI17" s="16">
        <f>IF($D17="是",W17-X17,0)</f>
        <v>0</v>
      </c>
      <c r="BJ17" s="16">
        <f>IF($D17="是",Y17-Z17,0)</f>
        <v>0</v>
      </c>
      <c r="BK17" s="16">
        <f>IF($D17="是",AA17-AB17,0)</f>
        <v>0</v>
      </c>
      <c r="BL17" s="16">
        <f>SUM(BM17:BT17)</f>
        <v>0</v>
      </c>
      <c r="BM17" s="16">
        <f>IF($D17="是",AD17-AE17,0)</f>
        <v>0</v>
      </c>
      <c r="BN17" s="16">
        <f>IF($D17="是",AF17-AG17,0)</f>
        <v>0</v>
      </c>
      <c r="BO17" s="16">
        <f>IF($D17="是",AH17-AI17,0)</f>
        <v>0</v>
      </c>
      <c r="BP17" s="16">
        <f>IF($D17="是",AJ17-AK17,0)</f>
        <v>0</v>
      </c>
      <c r="BQ17" s="16">
        <f>IF($D17="是",AL17-AM17,0)</f>
        <v>0</v>
      </c>
      <c r="BR17" s="16">
        <f>IF($D17="是",AN17-AO17,0)</f>
        <v>0</v>
      </c>
      <c r="BS17" s="16">
        <f>IF($D17="是",AP17-AQ17,0)</f>
        <v>0</v>
      </c>
      <c r="BT17" s="22">
        <f>IF($D17="是",AR17-AS17,0)</f>
        <v>0</v>
      </c>
    </row>
    <row r="18" spans="1:72">
      <c r="A18" s="9"/>
      <c r="B18" s="34"/>
      <c r="C18" s="34"/>
      <c r="D18" s="1805"/>
      <c r="E18" s="35">
        <f t="shared" ref="E18:E112" si="7">IF($C$3="是",ROUND($A$3*G18/$B$3,2),ROUND($A$3*(G18-AT18)/$B$3,2))</f>
        <v>0</v>
      </c>
      <c r="F18" s="36"/>
      <c r="G18" s="37">
        <f t="shared" ref="G18:G109" si="8">H18+AC18+AT18</f>
        <v>0</v>
      </c>
      <c r="H18" s="38">
        <f t="shared" ref="H18:H109" si="9">SUMIF(I$12:AB$12,"总值",I18:AB18)</f>
        <v>0</v>
      </c>
      <c r="I18" s="39"/>
      <c r="J18" s="39"/>
      <c r="K18" s="39"/>
      <c r="L18" s="39"/>
      <c r="M18" s="39"/>
      <c r="N18" s="39"/>
      <c r="O18" s="39"/>
      <c r="P18" s="39"/>
      <c r="Q18" s="39"/>
      <c r="R18" s="39"/>
      <c r="S18" s="39"/>
      <c r="T18" s="39"/>
      <c r="U18" s="39"/>
      <c r="V18" s="39"/>
      <c r="W18" s="39"/>
      <c r="X18" s="39"/>
      <c r="Y18" s="39"/>
      <c r="Z18" s="39"/>
      <c r="AA18" s="39"/>
      <c r="AB18" s="39"/>
      <c r="AC18" s="35">
        <f t="shared" ref="AC18:AC109" si="10">SUMIF(AD$12:AS$12,"总值",AD18:AS18)</f>
        <v>0</v>
      </c>
      <c r="AD18" s="40"/>
      <c r="AE18" s="40"/>
      <c r="AF18" s="40"/>
      <c r="AG18" s="40"/>
      <c r="AH18" s="40"/>
      <c r="AI18" s="40"/>
      <c r="AJ18" s="40"/>
      <c r="AK18" s="40"/>
      <c r="AL18" s="40"/>
      <c r="AM18" s="40"/>
      <c r="AN18" s="40"/>
      <c r="AO18" s="40"/>
      <c r="AP18" s="40"/>
      <c r="AQ18" s="40"/>
      <c r="AR18" s="40"/>
      <c r="AS18" s="40"/>
      <c r="AT18" s="41"/>
      <c r="AU18" s="1806"/>
      <c r="AV18" s="1517">
        <f t="shared" ref="AV18:AV112" si="11">A18</f>
        <v>0</v>
      </c>
      <c r="AW18" s="1517">
        <f t="shared" ref="AW18:AW112" si="12">B18</f>
        <v>0</v>
      </c>
      <c r="AX18" s="1517">
        <f t="shared" ref="AX18:AX112" si="13">C18</f>
        <v>0</v>
      </c>
      <c r="AY18" s="42">
        <f t="shared" ref="AY18:AY109" si="14">ROUND($AY$6*AZ18/$AZ$5,2)</f>
        <v>0</v>
      </c>
      <c r="AZ18" s="35">
        <f t="shared" ref="AZ18:AZ109" si="15">BA18+BL18</f>
        <v>0</v>
      </c>
      <c r="BA18" s="35">
        <f t="shared" ref="BA18:BA109" si="16">SUM(BB18:BK18)</f>
        <v>0</v>
      </c>
      <c r="BB18" s="35">
        <f t="shared" ref="BB18:BB109" si="17">IF($D18="是",I18-J18,0)</f>
        <v>0</v>
      </c>
      <c r="BC18" s="35">
        <f t="shared" ref="BC18:BC109" si="18">IF($D18="是",K18-L18,0)</f>
        <v>0</v>
      </c>
      <c r="BD18" s="35">
        <f t="shared" ref="BD18:BD109" si="19">IF($D18="是",M18-N18,0)</f>
        <v>0</v>
      </c>
      <c r="BE18" s="35">
        <f t="shared" ref="BE18:BE109" si="20">IF($D18="是",O18-P18,0)</f>
        <v>0</v>
      </c>
      <c r="BF18" s="35">
        <f t="shared" ref="BF18:BF109" si="21">IF($D18="是",Q18-R18,0)</f>
        <v>0</v>
      </c>
      <c r="BG18" s="35">
        <f t="shared" ref="BG18:BG109" si="22">IF($D18="是",S18-T18,0)</f>
        <v>0</v>
      </c>
      <c r="BH18" s="35">
        <f t="shared" ref="BH18:BH109" si="23">IF($D18="是",U18-V18,0)</f>
        <v>0</v>
      </c>
      <c r="BI18" s="35">
        <f t="shared" ref="BI18:BI109" si="24">IF($D18="是",W18-X18,0)</f>
        <v>0</v>
      </c>
      <c r="BJ18" s="35">
        <f t="shared" ref="BJ18:BJ109" si="25">IF($D18="是",Y18-Z18,0)</f>
        <v>0</v>
      </c>
      <c r="BK18" s="35">
        <f t="shared" ref="BK18:BK109" si="26">IF($D18="是",AA18-AB18,0)</f>
        <v>0</v>
      </c>
      <c r="BL18" s="35">
        <f t="shared" ref="BL18:BL109" si="27">SUM(BM18:BT18)</f>
        <v>0</v>
      </c>
      <c r="BM18" s="35">
        <f t="shared" ref="BM18:BM109" si="28">IF($D18="是",AD18-AE18,0)</f>
        <v>0</v>
      </c>
      <c r="BN18" s="35">
        <f t="shared" ref="BN18:BN109" si="29">IF($D18="是",AF18-AG18,0)</f>
        <v>0</v>
      </c>
      <c r="BO18" s="35">
        <f t="shared" ref="BO18:BO109" si="30">IF($D18="是",AH18-AI18,0)</f>
        <v>0</v>
      </c>
      <c r="BP18" s="35">
        <f t="shared" ref="BP18:BP109" si="31">IF($D18="是",AJ18-AK18,0)</f>
        <v>0</v>
      </c>
      <c r="BQ18" s="35">
        <f t="shared" ref="BQ18:BQ109" si="32">IF($D18="是",AL18-AM18,0)</f>
        <v>0</v>
      </c>
      <c r="BR18" s="35">
        <f t="shared" ref="BR18:BR109" si="33">IF($D18="是",AN18-AO18,0)</f>
        <v>0</v>
      </c>
      <c r="BS18" s="35">
        <f t="shared" ref="BS18:BS109" si="34">IF($D18="是",AP18-AQ18,0)</f>
        <v>0</v>
      </c>
      <c r="BT18" s="43">
        <f t="shared" ref="BT18:BT109" si="35">IF($D18="是",AR18-AS18,0)</f>
        <v>0</v>
      </c>
    </row>
    <row r="19" spans="1:72">
      <c r="A19" s="9"/>
      <c r="B19" s="34"/>
      <c r="C19" s="34"/>
      <c r="D19" s="1805"/>
      <c r="E19" s="35">
        <f t="shared" si="7"/>
        <v>0</v>
      </c>
      <c r="F19" s="36"/>
      <c r="G19" s="37">
        <f t="shared" si="8"/>
        <v>0</v>
      </c>
      <c r="H19" s="38">
        <f t="shared" si="9"/>
        <v>0</v>
      </c>
      <c r="I19" s="39"/>
      <c r="J19" s="39"/>
      <c r="K19" s="39"/>
      <c r="L19" s="39"/>
      <c r="M19" s="39"/>
      <c r="N19" s="39"/>
      <c r="O19" s="39"/>
      <c r="P19" s="39"/>
      <c r="Q19" s="39"/>
      <c r="R19" s="39"/>
      <c r="S19" s="39"/>
      <c r="T19" s="39"/>
      <c r="U19" s="39"/>
      <c r="V19" s="39"/>
      <c r="W19" s="39"/>
      <c r="X19" s="39"/>
      <c r="Y19" s="39"/>
      <c r="Z19" s="39"/>
      <c r="AA19" s="39"/>
      <c r="AB19" s="39"/>
      <c r="AC19" s="35">
        <f t="shared" si="10"/>
        <v>0</v>
      </c>
      <c r="AD19" s="40"/>
      <c r="AE19" s="40"/>
      <c r="AF19" s="40"/>
      <c r="AG19" s="40"/>
      <c r="AH19" s="40"/>
      <c r="AI19" s="40"/>
      <c r="AJ19" s="40"/>
      <c r="AK19" s="40"/>
      <c r="AL19" s="40"/>
      <c r="AM19" s="40"/>
      <c r="AN19" s="40"/>
      <c r="AO19" s="40"/>
      <c r="AP19" s="40"/>
      <c r="AQ19" s="40"/>
      <c r="AR19" s="40"/>
      <c r="AS19" s="40"/>
      <c r="AT19" s="41"/>
      <c r="AU19" s="1806"/>
      <c r="AV19" s="1517">
        <f t="shared" si="11"/>
        <v>0</v>
      </c>
      <c r="AW19" s="1517">
        <f t="shared" si="12"/>
        <v>0</v>
      </c>
      <c r="AX19" s="1517">
        <f t="shared" si="13"/>
        <v>0</v>
      </c>
      <c r="AY19" s="42">
        <f t="shared" si="14"/>
        <v>0</v>
      </c>
      <c r="AZ19" s="35">
        <f t="shared" si="15"/>
        <v>0</v>
      </c>
      <c r="BA19" s="35">
        <f t="shared" si="16"/>
        <v>0</v>
      </c>
      <c r="BB19" s="35">
        <f t="shared" si="17"/>
        <v>0</v>
      </c>
      <c r="BC19" s="35">
        <f t="shared" si="18"/>
        <v>0</v>
      </c>
      <c r="BD19" s="35">
        <f t="shared" si="19"/>
        <v>0</v>
      </c>
      <c r="BE19" s="35">
        <f t="shared" si="20"/>
        <v>0</v>
      </c>
      <c r="BF19" s="35">
        <f t="shared" si="21"/>
        <v>0</v>
      </c>
      <c r="BG19" s="35">
        <f t="shared" si="22"/>
        <v>0</v>
      </c>
      <c r="BH19" s="35">
        <f t="shared" si="23"/>
        <v>0</v>
      </c>
      <c r="BI19" s="35">
        <f t="shared" si="24"/>
        <v>0</v>
      </c>
      <c r="BJ19" s="35">
        <f t="shared" si="25"/>
        <v>0</v>
      </c>
      <c r="BK19" s="35">
        <f t="shared" si="26"/>
        <v>0</v>
      </c>
      <c r="BL19" s="35">
        <f t="shared" si="27"/>
        <v>0</v>
      </c>
      <c r="BM19" s="35">
        <f t="shared" si="28"/>
        <v>0</v>
      </c>
      <c r="BN19" s="35">
        <f t="shared" si="29"/>
        <v>0</v>
      </c>
      <c r="BO19" s="35">
        <f t="shared" si="30"/>
        <v>0</v>
      </c>
      <c r="BP19" s="35">
        <f t="shared" si="31"/>
        <v>0</v>
      </c>
      <c r="BQ19" s="35">
        <f t="shared" si="32"/>
        <v>0</v>
      </c>
      <c r="BR19" s="35">
        <f t="shared" si="33"/>
        <v>0</v>
      </c>
      <c r="BS19" s="35">
        <f t="shared" si="34"/>
        <v>0</v>
      </c>
      <c r="BT19" s="43">
        <f t="shared" si="35"/>
        <v>0</v>
      </c>
    </row>
    <row r="20" spans="1:72">
      <c r="A20" s="9"/>
      <c r="B20" s="34"/>
      <c r="C20" s="34"/>
      <c r="D20" s="1805"/>
      <c r="E20" s="35">
        <f t="shared" si="7"/>
        <v>0</v>
      </c>
      <c r="F20" s="36"/>
      <c r="G20" s="37">
        <f t="shared" si="8"/>
        <v>0</v>
      </c>
      <c r="H20" s="38">
        <f t="shared" si="9"/>
        <v>0</v>
      </c>
      <c r="I20" s="39"/>
      <c r="J20" s="39"/>
      <c r="K20" s="39"/>
      <c r="L20" s="39"/>
      <c r="M20" s="39"/>
      <c r="N20" s="39"/>
      <c r="O20" s="39"/>
      <c r="P20" s="39"/>
      <c r="Q20" s="39"/>
      <c r="R20" s="39"/>
      <c r="S20" s="39"/>
      <c r="T20" s="39"/>
      <c r="U20" s="39"/>
      <c r="V20" s="39"/>
      <c r="W20" s="39"/>
      <c r="X20" s="39"/>
      <c r="Y20" s="39"/>
      <c r="Z20" s="39"/>
      <c r="AA20" s="39"/>
      <c r="AB20" s="39"/>
      <c r="AC20" s="35">
        <f t="shared" si="10"/>
        <v>0</v>
      </c>
      <c r="AD20" s="40"/>
      <c r="AE20" s="40"/>
      <c r="AF20" s="40"/>
      <c r="AG20" s="40"/>
      <c r="AH20" s="40"/>
      <c r="AI20" s="40"/>
      <c r="AJ20" s="40"/>
      <c r="AK20" s="40"/>
      <c r="AL20" s="40"/>
      <c r="AM20" s="40"/>
      <c r="AN20" s="40"/>
      <c r="AO20" s="40"/>
      <c r="AP20" s="40"/>
      <c r="AQ20" s="40"/>
      <c r="AR20" s="40"/>
      <c r="AS20" s="40"/>
      <c r="AT20" s="41"/>
      <c r="AU20" s="1806"/>
      <c r="AV20" s="1517">
        <f t="shared" si="11"/>
        <v>0</v>
      </c>
      <c r="AW20" s="1517">
        <f t="shared" si="12"/>
        <v>0</v>
      </c>
      <c r="AX20" s="1517">
        <f t="shared" si="13"/>
        <v>0</v>
      </c>
      <c r="AY20" s="42">
        <f t="shared" si="14"/>
        <v>0</v>
      </c>
      <c r="AZ20" s="35">
        <f t="shared" si="15"/>
        <v>0</v>
      </c>
      <c r="BA20" s="35">
        <f t="shared" si="16"/>
        <v>0</v>
      </c>
      <c r="BB20" s="35">
        <f t="shared" si="17"/>
        <v>0</v>
      </c>
      <c r="BC20" s="35">
        <f t="shared" si="18"/>
        <v>0</v>
      </c>
      <c r="BD20" s="35">
        <f t="shared" si="19"/>
        <v>0</v>
      </c>
      <c r="BE20" s="35">
        <f t="shared" si="20"/>
        <v>0</v>
      </c>
      <c r="BF20" s="35">
        <f t="shared" si="21"/>
        <v>0</v>
      </c>
      <c r="BG20" s="35">
        <f t="shared" si="22"/>
        <v>0</v>
      </c>
      <c r="BH20" s="35">
        <f t="shared" si="23"/>
        <v>0</v>
      </c>
      <c r="BI20" s="35">
        <f t="shared" si="24"/>
        <v>0</v>
      </c>
      <c r="BJ20" s="35">
        <f t="shared" si="25"/>
        <v>0</v>
      </c>
      <c r="BK20" s="35">
        <f t="shared" si="26"/>
        <v>0</v>
      </c>
      <c r="BL20" s="35">
        <f t="shared" si="27"/>
        <v>0</v>
      </c>
      <c r="BM20" s="35">
        <f t="shared" si="28"/>
        <v>0</v>
      </c>
      <c r="BN20" s="35">
        <f t="shared" si="29"/>
        <v>0</v>
      </c>
      <c r="BO20" s="35">
        <f t="shared" si="30"/>
        <v>0</v>
      </c>
      <c r="BP20" s="35">
        <f t="shared" si="31"/>
        <v>0</v>
      </c>
      <c r="BQ20" s="35">
        <f t="shared" si="32"/>
        <v>0</v>
      </c>
      <c r="BR20" s="35">
        <f t="shared" si="33"/>
        <v>0</v>
      </c>
      <c r="BS20" s="35">
        <f t="shared" si="34"/>
        <v>0</v>
      </c>
      <c r="BT20" s="43">
        <f t="shared" si="35"/>
        <v>0</v>
      </c>
    </row>
    <row r="21" spans="1:72">
      <c r="A21" s="9"/>
      <c r="B21" s="34"/>
      <c r="C21" s="34"/>
      <c r="D21" s="1805"/>
      <c r="E21" s="35">
        <f t="shared" si="7"/>
        <v>0</v>
      </c>
      <c r="F21" s="36"/>
      <c r="G21" s="37">
        <f t="shared" si="8"/>
        <v>0</v>
      </c>
      <c r="H21" s="38">
        <f t="shared" si="9"/>
        <v>0</v>
      </c>
      <c r="I21" s="39"/>
      <c r="J21" s="39"/>
      <c r="K21" s="39"/>
      <c r="L21" s="39"/>
      <c r="M21" s="39"/>
      <c r="N21" s="39"/>
      <c r="O21" s="39"/>
      <c r="P21" s="39"/>
      <c r="Q21" s="39"/>
      <c r="R21" s="39"/>
      <c r="S21" s="39"/>
      <c r="T21" s="39"/>
      <c r="U21" s="39"/>
      <c r="V21" s="39"/>
      <c r="W21" s="39"/>
      <c r="X21" s="39"/>
      <c r="Y21" s="39"/>
      <c r="Z21" s="39"/>
      <c r="AA21" s="39"/>
      <c r="AB21" s="39"/>
      <c r="AC21" s="35">
        <f t="shared" si="10"/>
        <v>0</v>
      </c>
      <c r="AD21" s="40"/>
      <c r="AE21" s="40"/>
      <c r="AF21" s="40"/>
      <c r="AG21" s="40"/>
      <c r="AH21" s="40"/>
      <c r="AI21" s="40"/>
      <c r="AJ21" s="40"/>
      <c r="AK21" s="40"/>
      <c r="AL21" s="40"/>
      <c r="AM21" s="40"/>
      <c r="AN21" s="40"/>
      <c r="AO21" s="40"/>
      <c r="AP21" s="40"/>
      <c r="AQ21" s="40"/>
      <c r="AR21" s="40"/>
      <c r="AS21" s="40"/>
      <c r="AT21" s="41"/>
      <c r="AU21" s="1806"/>
      <c r="AV21" s="1517">
        <f t="shared" si="11"/>
        <v>0</v>
      </c>
      <c r="AW21" s="1517">
        <f t="shared" si="12"/>
        <v>0</v>
      </c>
      <c r="AX21" s="1517">
        <f t="shared" si="13"/>
        <v>0</v>
      </c>
      <c r="AY21" s="42">
        <f t="shared" si="14"/>
        <v>0</v>
      </c>
      <c r="AZ21" s="35">
        <f t="shared" si="15"/>
        <v>0</v>
      </c>
      <c r="BA21" s="35">
        <f t="shared" si="16"/>
        <v>0</v>
      </c>
      <c r="BB21" s="35">
        <f t="shared" si="17"/>
        <v>0</v>
      </c>
      <c r="BC21" s="35">
        <f t="shared" si="18"/>
        <v>0</v>
      </c>
      <c r="BD21" s="35">
        <f t="shared" si="19"/>
        <v>0</v>
      </c>
      <c r="BE21" s="35">
        <f t="shared" si="20"/>
        <v>0</v>
      </c>
      <c r="BF21" s="35">
        <f t="shared" si="21"/>
        <v>0</v>
      </c>
      <c r="BG21" s="35">
        <f t="shared" si="22"/>
        <v>0</v>
      </c>
      <c r="BH21" s="35">
        <f t="shared" si="23"/>
        <v>0</v>
      </c>
      <c r="BI21" s="35">
        <f t="shared" si="24"/>
        <v>0</v>
      </c>
      <c r="BJ21" s="35">
        <f t="shared" si="25"/>
        <v>0</v>
      </c>
      <c r="BK21" s="35">
        <f t="shared" si="26"/>
        <v>0</v>
      </c>
      <c r="BL21" s="35">
        <f t="shared" si="27"/>
        <v>0</v>
      </c>
      <c r="BM21" s="35">
        <f t="shared" si="28"/>
        <v>0</v>
      </c>
      <c r="BN21" s="35">
        <f t="shared" si="29"/>
        <v>0</v>
      </c>
      <c r="BO21" s="35">
        <f t="shared" si="30"/>
        <v>0</v>
      </c>
      <c r="BP21" s="35">
        <f t="shared" si="31"/>
        <v>0</v>
      </c>
      <c r="BQ21" s="35">
        <f t="shared" si="32"/>
        <v>0</v>
      </c>
      <c r="BR21" s="35">
        <f t="shared" si="33"/>
        <v>0</v>
      </c>
      <c r="BS21" s="35">
        <f t="shared" si="34"/>
        <v>0</v>
      </c>
      <c r="BT21" s="43">
        <f t="shared" si="35"/>
        <v>0</v>
      </c>
    </row>
    <row r="22" spans="1:72">
      <c r="A22" s="9"/>
      <c r="B22" s="34"/>
      <c r="C22" s="34"/>
      <c r="D22" s="1805"/>
      <c r="E22" s="35">
        <f t="shared" si="7"/>
        <v>0</v>
      </c>
      <c r="F22" s="36"/>
      <c r="G22" s="37">
        <f t="shared" si="8"/>
        <v>0</v>
      </c>
      <c r="H22" s="38">
        <f t="shared" si="9"/>
        <v>0</v>
      </c>
      <c r="I22" s="39"/>
      <c r="J22" s="39"/>
      <c r="K22" s="39"/>
      <c r="L22" s="39"/>
      <c r="M22" s="39"/>
      <c r="N22" s="39"/>
      <c r="O22" s="39"/>
      <c r="P22" s="39"/>
      <c r="Q22" s="39"/>
      <c r="R22" s="39"/>
      <c r="S22" s="39"/>
      <c r="T22" s="39"/>
      <c r="U22" s="39"/>
      <c r="V22" s="39"/>
      <c r="W22" s="39"/>
      <c r="X22" s="39"/>
      <c r="Y22" s="39"/>
      <c r="Z22" s="39"/>
      <c r="AA22" s="39"/>
      <c r="AB22" s="39"/>
      <c r="AC22" s="35">
        <f t="shared" si="10"/>
        <v>0</v>
      </c>
      <c r="AD22" s="40"/>
      <c r="AE22" s="40"/>
      <c r="AF22" s="40"/>
      <c r="AG22" s="40"/>
      <c r="AH22" s="40"/>
      <c r="AI22" s="40"/>
      <c r="AJ22" s="40"/>
      <c r="AK22" s="40"/>
      <c r="AL22" s="40"/>
      <c r="AM22" s="40"/>
      <c r="AN22" s="40"/>
      <c r="AO22" s="40"/>
      <c r="AP22" s="40"/>
      <c r="AQ22" s="40"/>
      <c r="AR22" s="40"/>
      <c r="AS22" s="40"/>
      <c r="AT22" s="41"/>
      <c r="AU22" s="1806"/>
      <c r="AV22" s="1517">
        <f t="shared" si="11"/>
        <v>0</v>
      </c>
      <c r="AW22" s="1517">
        <f t="shared" si="12"/>
        <v>0</v>
      </c>
      <c r="AX22" s="1517">
        <f t="shared" si="13"/>
        <v>0</v>
      </c>
      <c r="AY22" s="42">
        <f t="shared" si="14"/>
        <v>0</v>
      </c>
      <c r="AZ22" s="35">
        <f t="shared" si="15"/>
        <v>0</v>
      </c>
      <c r="BA22" s="35">
        <f t="shared" si="16"/>
        <v>0</v>
      </c>
      <c r="BB22" s="35">
        <f t="shared" si="17"/>
        <v>0</v>
      </c>
      <c r="BC22" s="35">
        <f t="shared" si="18"/>
        <v>0</v>
      </c>
      <c r="BD22" s="35">
        <f t="shared" si="19"/>
        <v>0</v>
      </c>
      <c r="BE22" s="35">
        <f t="shared" si="20"/>
        <v>0</v>
      </c>
      <c r="BF22" s="35">
        <f t="shared" si="21"/>
        <v>0</v>
      </c>
      <c r="BG22" s="35">
        <f t="shared" si="22"/>
        <v>0</v>
      </c>
      <c r="BH22" s="35">
        <f t="shared" si="23"/>
        <v>0</v>
      </c>
      <c r="BI22" s="35">
        <f t="shared" si="24"/>
        <v>0</v>
      </c>
      <c r="BJ22" s="35">
        <f t="shared" si="25"/>
        <v>0</v>
      </c>
      <c r="BK22" s="35">
        <f t="shared" si="26"/>
        <v>0</v>
      </c>
      <c r="BL22" s="35">
        <f t="shared" si="27"/>
        <v>0</v>
      </c>
      <c r="BM22" s="35">
        <f t="shared" si="28"/>
        <v>0</v>
      </c>
      <c r="BN22" s="35">
        <f t="shared" si="29"/>
        <v>0</v>
      </c>
      <c r="BO22" s="35">
        <f t="shared" si="30"/>
        <v>0</v>
      </c>
      <c r="BP22" s="35">
        <f t="shared" si="31"/>
        <v>0</v>
      </c>
      <c r="BQ22" s="35">
        <f t="shared" si="32"/>
        <v>0</v>
      </c>
      <c r="BR22" s="35">
        <f t="shared" si="33"/>
        <v>0</v>
      </c>
      <c r="BS22" s="35">
        <f t="shared" si="34"/>
        <v>0</v>
      </c>
      <c r="BT22" s="43">
        <f t="shared" si="35"/>
        <v>0</v>
      </c>
    </row>
    <row r="23" spans="1:72">
      <c r="A23" s="9"/>
      <c r="B23" s="34"/>
      <c r="C23" s="34"/>
      <c r="D23" s="1805"/>
      <c r="E23" s="35">
        <f t="shared" si="7"/>
        <v>0</v>
      </c>
      <c r="F23" s="36"/>
      <c r="G23" s="37">
        <f t="shared" si="8"/>
        <v>0</v>
      </c>
      <c r="H23" s="38">
        <f t="shared" si="9"/>
        <v>0</v>
      </c>
      <c r="I23" s="39"/>
      <c r="J23" s="39"/>
      <c r="K23" s="39"/>
      <c r="L23" s="39"/>
      <c r="M23" s="39"/>
      <c r="N23" s="39"/>
      <c r="O23" s="39"/>
      <c r="P23" s="39"/>
      <c r="Q23" s="39"/>
      <c r="R23" s="39"/>
      <c r="S23" s="39"/>
      <c r="T23" s="39"/>
      <c r="U23" s="39"/>
      <c r="V23" s="39"/>
      <c r="W23" s="39"/>
      <c r="X23" s="39"/>
      <c r="Y23" s="39"/>
      <c r="Z23" s="39"/>
      <c r="AA23" s="39"/>
      <c r="AB23" s="39"/>
      <c r="AC23" s="35">
        <f t="shared" si="10"/>
        <v>0</v>
      </c>
      <c r="AD23" s="40"/>
      <c r="AE23" s="40"/>
      <c r="AF23" s="40"/>
      <c r="AG23" s="40"/>
      <c r="AH23" s="40"/>
      <c r="AI23" s="40"/>
      <c r="AJ23" s="40"/>
      <c r="AK23" s="40"/>
      <c r="AL23" s="40"/>
      <c r="AM23" s="40"/>
      <c r="AN23" s="40"/>
      <c r="AO23" s="40"/>
      <c r="AP23" s="40"/>
      <c r="AQ23" s="40"/>
      <c r="AR23" s="40"/>
      <c r="AS23" s="40"/>
      <c r="AT23" s="41"/>
      <c r="AU23" s="1806"/>
      <c r="AV23" s="1517">
        <f t="shared" si="11"/>
        <v>0</v>
      </c>
      <c r="AW23" s="1517">
        <f t="shared" si="12"/>
        <v>0</v>
      </c>
      <c r="AX23" s="1517">
        <f t="shared" si="13"/>
        <v>0</v>
      </c>
      <c r="AY23" s="42">
        <f t="shared" si="14"/>
        <v>0</v>
      </c>
      <c r="AZ23" s="35">
        <f t="shared" si="15"/>
        <v>0</v>
      </c>
      <c r="BA23" s="35">
        <f t="shared" si="16"/>
        <v>0</v>
      </c>
      <c r="BB23" s="35">
        <f t="shared" si="17"/>
        <v>0</v>
      </c>
      <c r="BC23" s="35">
        <f t="shared" si="18"/>
        <v>0</v>
      </c>
      <c r="BD23" s="35">
        <f t="shared" si="19"/>
        <v>0</v>
      </c>
      <c r="BE23" s="35">
        <f t="shared" si="20"/>
        <v>0</v>
      </c>
      <c r="BF23" s="35">
        <f t="shared" si="21"/>
        <v>0</v>
      </c>
      <c r="BG23" s="35">
        <f t="shared" si="22"/>
        <v>0</v>
      </c>
      <c r="BH23" s="35">
        <f t="shared" si="23"/>
        <v>0</v>
      </c>
      <c r="BI23" s="35">
        <f t="shared" si="24"/>
        <v>0</v>
      </c>
      <c r="BJ23" s="35">
        <f t="shared" si="25"/>
        <v>0</v>
      </c>
      <c r="BK23" s="35">
        <f t="shared" si="26"/>
        <v>0</v>
      </c>
      <c r="BL23" s="35">
        <f t="shared" si="27"/>
        <v>0</v>
      </c>
      <c r="BM23" s="35">
        <f t="shared" si="28"/>
        <v>0</v>
      </c>
      <c r="BN23" s="35">
        <f t="shared" si="29"/>
        <v>0</v>
      </c>
      <c r="BO23" s="35">
        <f t="shared" si="30"/>
        <v>0</v>
      </c>
      <c r="BP23" s="35">
        <f t="shared" si="31"/>
        <v>0</v>
      </c>
      <c r="BQ23" s="35">
        <f t="shared" si="32"/>
        <v>0</v>
      </c>
      <c r="BR23" s="35">
        <f t="shared" si="33"/>
        <v>0</v>
      </c>
      <c r="BS23" s="35">
        <f t="shared" si="34"/>
        <v>0</v>
      </c>
      <c r="BT23" s="43">
        <f t="shared" si="35"/>
        <v>0</v>
      </c>
    </row>
    <row r="24" spans="1:72">
      <c r="A24" s="9"/>
      <c r="B24" s="34"/>
      <c r="C24" s="34"/>
      <c r="D24" s="1805"/>
      <c r="E24" s="35">
        <f t="shared" si="7"/>
        <v>0</v>
      </c>
      <c r="F24" s="36"/>
      <c r="G24" s="37">
        <f t="shared" si="8"/>
        <v>0</v>
      </c>
      <c r="H24" s="38">
        <f t="shared" si="9"/>
        <v>0</v>
      </c>
      <c r="I24" s="39"/>
      <c r="J24" s="39"/>
      <c r="K24" s="39"/>
      <c r="L24" s="39"/>
      <c r="M24" s="39"/>
      <c r="N24" s="39"/>
      <c r="O24" s="39"/>
      <c r="P24" s="39"/>
      <c r="Q24" s="39"/>
      <c r="R24" s="39"/>
      <c r="S24" s="39"/>
      <c r="T24" s="39"/>
      <c r="U24" s="39"/>
      <c r="V24" s="39"/>
      <c r="W24" s="39"/>
      <c r="X24" s="39"/>
      <c r="Y24" s="39"/>
      <c r="Z24" s="39"/>
      <c r="AA24" s="39"/>
      <c r="AB24" s="39"/>
      <c r="AC24" s="35">
        <f t="shared" si="10"/>
        <v>0</v>
      </c>
      <c r="AD24" s="40"/>
      <c r="AE24" s="40"/>
      <c r="AF24" s="40"/>
      <c r="AG24" s="40"/>
      <c r="AH24" s="40"/>
      <c r="AI24" s="40"/>
      <c r="AJ24" s="40"/>
      <c r="AK24" s="40"/>
      <c r="AL24" s="40"/>
      <c r="AM24" s="40"/>
      <c r="AN24" s="40"/>
      <c r="AO24" s="40"/>
      <c r="AP24" s="40"/>
      <c r="AQ24" s="40"/>
      <c r="AR24" s="40"/>
      <c r="AS24" s="40"/>
      <c r="AT24" s="41"/>
      <c r="AU24" s="1806"/>
      <c r="AV24" s="1517">
        <f t="shared" si="11"/>
        <v>0</v>
      </c>
      <c r="AW24" s="1517">
        <f t="shared" si="12"/>
        <v>0</v>
      </c>
      <c r="AX24" s="1517">
        <f t="shared" si="13"/>
        <v>0</v>
      </c>
      <c r="AY24" s="42">
        <f t="shared" si="14"/>
        <v>0</v>
      </c>
      <c r="AZ24" s="35">
        <f t="shared" si="15"/>
        <v>0</v>
      </c>
      <c r="BA24" s="35">
        <f t="shared" si="16"/>
        <v>0</v>
      </c>
      <c r="BB24" s="35">
        <f t="shared" si="17"/>
        <v>0</v>
      </c>
      <c r="BC24" s="35">
        <f t="shared" si="18"/>
        <v>0</v>
      </c>
      <c r="BD24" s="35">
        <f t="shared" si="19"/>
        <v>0</v>
      </c>
      <c r="BE24" s="35">
        <f t="shared" si="20"/>
        <v>0</v>
      </c>
      <c r="BF24" s="35">
        <f t="shared" si="21"/>
        <v>0</v>
      </c>
      <c r="BG24" s="35">
        <f t="shared" si="22"/>
        <v>0</v>
      </c>
      <c r="BH24" s="35">
        <f t="shared" si="23"/>
        <v>0</v>
      </c>
      <c r="BI24" s="35">
        <f t="shared" si="24"/>
        <v>0</v>
      </c>
      <c r="BJ24" s="35">
        <f t="shared" si="25"/>
        <v>0</v>
      </c>
      <c r="BK24" s="35">
        <f t="shared" si="26"/>
        <v>0</v>
      </c>
      <c r="BL24" s="35">
        <f t="shared" si="27"/>
        <v>0</v>
      </c>
      <c r="BM24" s="35">
        <f t="shared" si="28"/>
        <v>0</v>
      </c>
      <c r="BN24" s="35">
        <f t="shared" si="29"/>
        <v>0</v>
      </c>
      <c r="BO24" s="35">
        <f t="shared" si="30"/>
        <v>0</v>
      </c>
      <c r="BP24" s="35">
        <f t="shared" si="31"/>
        <v>0</v>
      </c>
      <c r="BQ24" s="35">
        <f t="shared" si="32"/>
        <v>0</v>
      </c>
      <c r="BR24" s="35">
        <f t="shared" si="33"/>
        <v>0</v>
      </c>
      <c r="BS24" s="35">
        <f t="shared" si="34"/>
        <v>0</v>
      </c>
      <c r="BT24" s="43">
        <f t="shared" si="35"/>
        <v>0</v>
      </c>
    </row>
    <row r="25" spans="1:72">
      <c r="A25" s="9"/>
      <c r="B25" s="34"/>
      <c r="C25" s="34"/>
      <c r="D25" s="1805"/>
      <c r="E25" s="35">
        <f t="shared" si="7"/>
        <v>0</v>
      </c>
      <c r="F25" s="36"/>
      <c r="G25" s="37">
        <f t="shared" si="8"/>
        <v>0</v>
      </c>
      <c r="H25" s="38">
        <f t="shared" si="9"/>
        <v>0</v>
      </c>
      <c r="I25" s="39"/>
      <c r="J25" s="39"/>
      <c r="K25" s="39"/>
      <c r="L25" s="39"/>
      <c r="M25" s="39"/>
      <c r="N25" s="39"/>
      <c r="O25" s="39"/>
      <c r="P25" s="39"/>
      <c r="Q25" s="39"/>
      <c r="R25" s="39"/>
      <c r="S25" s="39"/>
      <c r="T25" s="39"/>
      <c r="U25" s="39"/>
      <c r="V25" s="39"/>
      <c r="W25" s="39"/>
      <c r="X25" s="39"/>
      <c r="Y25" s="39"/>
      <c r="Z25" s="39"/>
      <c r="AA25" s="39"/>
      <c r="AB25" s="39"/>
      <c r="AC25" s="35">
        <f t="shared" si="10"/>
        <v>0</v>
      </c>
      <c r="AD25" s="40"/>
      <c r="AE25" s="40"/>
      <c r="AF25" s="40"/>
      <c r="AG25" s="40"/>
      <c r="AH25" s="40"/>
      <c r="AI25" s="40"/>
      <c r="AJ25" s="40"/>
      <c r="AK25" s="40"/>
      <c r="AL25" s="40"/>
      <c r="AM25" s="40"/>
      <c r="AN25" s="40"/>
      <c r="AO25" s="40"/>
      <c r="AP25" s="40"/>
      <c r="AQ25" s="40"/>
      <c r="AR25" s="40"/>
      <c r="AS25" s="40"/>
      <c r="AT25" s="41"/>
      <c r="AU25" s="1806"/>
      <c r="AV25" s="1517">
        <f t="shared" si="11"/>
        <v>0</v>
      </c>
      <c r="AW25" s="1517">
        <f t="shared" si="12"/>
        <v>0</v>
      </c>
      <c r="AX25" s="1517">
        <f t="shared" si="13"/>
        <v>0</v>
      </c>
      <c r="AY25" s="42">
        <f t="shared" si="14"/>
        <v>0</v>
      </c>
      <c r="AZ25" s="35">
        <f t="shared" si="15"/>
        <v>0</v>
      </c>
      <c r="BA25" s="35">
        <f t="shared" si="16"/>
        <v>0</v>
      </c>
      <c r="BB25" s="35">
        <f t="shared" si="17"/>
        <v>0</v>
      </c>
      <c r="BC25" s="35">
        <f t="shared" si="18"/>
        <v>0</v>
      </c>
      <c r="BD25" s="35">
        <f t="shared" si="19"/>
        <v>0</v>
      </c>
      <c r="BE25" s="35">
        <f t="shared" si="20"/>
        <v>0</v>
      </c>
      <c r="BF25" s="35">
        <f t="shared" si="21"/>
        <v>0</v>
      </c>
      <c r="BG25" s="35">
        <f t="shared" si="22"/>
        <v>0</v>
      </c>
      <c r="BH25" s="35">
        <f t="shared" si="23"/>
        <v>0</v>
      </c>
      <c r="BI25" s="35">
        <f t="shared" si="24"/>
        <v>0</v>
      </c>
      <c r="BJ25" s="35">
        <f t="shared" si="25"/>
        <v>0</v>
      </c>
      <c r="BK25" s="35">
        <f t="shared" si="26"/>
        <v>0</v>
      </c>
      <c r="BL25" s="35">
        <f t="shared" si="27"/>
        <v>0</v>
      </c>
      <c r="BM25" s="35">
        <f t="shared" si="28"/>
        <v>0</v>
      </c>
      <c r="BN25" s="35">
        <f t="shared" si="29"/>
        <v>0</v>
      </c>
      <c r="BO25" s="35">
        <f t="shared" si="30"/>
        <v>0</v>
      </c>
      <c r="BP25" s="35">
        <f t="shared" si="31"/>
        <v>0</v>
      </c>
      <c r="BQ25" s="35">
        <f t="shared" si="32"/>
        <v>0</v>
      </c>
      <c r="BR25" s="35">
        <f t="shared" si="33"/>
        <v>0</v>
      </c>
      <c r="BS25" s="35">
        <f t="shared" si="34"/>
        <v>0</v>
      </c>
      <c r="BT25" s="43">
        <f t="shared" si="35"/>
        <v>0</v>
      </c>
    </row>
    <row r="26" spans="1:72">
      <c r="A26" s="9"/>
      <c r="B26" s="34"/>
      <c r="C26" s="34"/>
      <c r="D26" s="1805"/>
      <c r="E26" s="35">
        <f t="shared" si="7"/>
        <v>0</v>
      </c>
      <c r="F26" s="36"/>
      <c r="G26" s="37">
        <f t="shared" si="8"/>
        <v>0</v>
      </c>
      <c r="H26" s="38">
        <f t="shared" si="9"/>
        <v>0</v>
      </c>
      <c r="I26" s="39"/>
      <c r="J26" s="39"/>
      <c r="K26" s="39"/>
      <c r="L26" s="39"/>
      <c r="M26" s="39"/>
      <c r="N26" s="39"/>
      <c r="O26" s="39"/>
      <c r="P26" s="39"/>
      <c r="Q26" s="39"/>
      <c r="R26" s="39"/>
      <c r="S26" s="39"/>
      <c r="T26" s="39"/>
      <c r="U26" s="39"/>
      <c r="V26" s="39"/>
      <c r="W26" s="39"/>
      <c r="X26" s="39"/>
      <c r="Y26" s="39"/>
      <c r="Z26" s="39"/>
      <c r="AA26" s="39"/>
      <c r="AB26" s="39"/>
      <c r="AC26" s="35">
        <f t="shared" si="10"/>
        <v>0</v>
      </c>
      <c r="AD26" s="40"/>
      <c r="AE26" s="40"/>
      <c r="AF26" s="40"/>
      <c r="AG26" s="40"/>
      <c r="AH26" s="40"/>
      <c r="AI26" s="40"/>
      <c r="AJ26" s="40"/>
      <c r="AK26" s="40"/>
      <c r="AL26" s="40"/>
      <c r="AM26" s="40"/>
      <c r="AN26" s="40"/>
      <c r="AO26" s="40"/>
      <c r="AP26" s="40"/>
      <c r="AQ26" s="40"/>
      <c r="AR26" s="40"/>
      <c r="AS26" s="40"/>
      <c r="AT26" s="41"/>
      <c r="AU26" s="1806"/>
      <c r="AV26" s="1517">
        <f t="shared" si="11"/>
        <v>0</v>
      </c>
      <c r="AW26" s="1517">
        <f t="shared" si="12"/>
        <v>0</v>
      </c>
      <c r="AX26" s="1517">
        <f t="shared" si="13"/>
        <v>0</v>
      </c>
      <c r="AY26" s="42">
        <f t="shared" si="14"/>
        <v>0</v>
      </c>
      <c r="AZ26" s="35">
        <f t="shared" si="15"/>
        <v>0</v>
      </c>
      <c r="BA26" s="35">
        <f t="shared" si="16"/>
        <v>0</v>
      </c>
      <c r="BB26" s="35">
        <f t="shared" si="17"/>
        <v>0</v>
      </c>
      <c r="BC26" s="35">
        <f t="shared" si="18"/>
        <v>0</v>
      </c>
      <c r="BD26" s="35">
        <f t="shared" si="19"/>
        <v>0</v>
      </c>
      <c r="BE26" s="35">
        <f t="shared" si="20"/>
        <v>0</v>
      </c>
      <c r="BF26" s="35">
        <f t="shared" si="21"/>
        <v>0</v>
      </c>
      <c r="BG26" s="35">
        <f t="shared" si="22"/>
        <v>0</v>
      </c>
      <c r="BH26" s="35">
        <f t="shared" si="23"/>
        <v>0</v>
      </c>
      <c r="BI26" s="35">
        <f t="shared" si="24"/>
        <v>0</v>
      </c>
      <c r="BJ26" s="35">
        <f t="shared" si="25"/>
        <v>0</v>
      </c>
      <c r="BK26" s="35">
        <f t="shared" si="26"/>
        <v>0</v>
      </c>
      <c r="BL26" s="35">
        <f t="shared" si="27"/>
        <v>0</v>
      </c>
      <c r="BM26" s="35">
        <f t="shared" si="28"/>
        <v>0</v>
      </c>
      <c r="BN26" s="35">
        <f t="shared" si="29"/>
        <v>0</v>
      </c>
      <c r="BO26" s="35">
        <f t="shared" si="30"/>
        <v>0</v>
      </c>
      <c r="BP26" s="35">
        <f t="shared" si="31"/>
        <v>0</v>
      </c>
      <c r="BQ26" s="35">
        <f t="shared" si="32"/>
        <v>0</v>
      </c>
      <c r="BR26" s="35">
        <f t="shared" si="33"/>
        <v>0</v>
      </c>
      <c r="BS26" s="35">
        <f t="shared" si="34"/>
        <v>0</v>
      </c>
      <c r="BT26" s="43">
        <f t="shared" si="35"/>
        <v>0</v>
      </c>
    </row>
    <row r="27" spans="1:72">
      <c r="A27" s="9"/>
      <c r="B27" s="34"/>
      <c r="C27" s="34"/>
      <c r="D27" s="1805"/>
      <c r="E27" s="35">
        <f t="shared" si="7"/>
        <v>0</v>
      </c>
      <c r="F27" s="36"/>
      <c r="G27" s="37">
        <f t="shared" si="8"/>
        <v>0</v>
      </c>
      <c r="H27" s="38">
        <f t="shared" si="9"/>
        <v>0</v>
      </c>
      <c r="I27" s="39"/>
      <c r="J27" s="39"/>
      <c r="K27" s="39"/>
      <c r="L27" s="39"/>
      <c r="M27" s="39"/>
      <c r="N27" s="39"/>
      <c r="O27" s="39"/>
      <c r="P27" s="39"/>
      <c r="Q27" s="39"/>
      <c r="R27" s="39"/>
      <c r="S27" s="39"/>
      <c r="T27" s="39"/>
      <c r="U27" s="39"/>
      <c r="V27" s="39"/>
      <c r="W27" s="39"/>
      <c r="X27" s="39"/>
      <c r="Y27" s="39"/>
      <c r="Z27" s="39"/>
      <c r="AA27" s="39"/>
      <c r="AB27" s="39"/>
      <c r="AC27" s="35">
        <f t="shared" si="10"/>
        <v>0</v>
      </c>
      <c r="AD27" s="40"/>
      <c r="AE27" s="40"/>
      <c r="AF27" s="40"/>
      <c r="AG27" s="40"/>
      <c r="AH27" s="40"/>
      <c r="AI27" s="40"/>
      <c r="AJ27" s="40"/>
      <c r="AK27" s="40"/>
      <c r="AL27" s="40"/>
      <c r="AM27" s="40"/>
      <c r="AN27" s="40"/>
      <c r="AO27" s="40"/>
      <c r="AP27" s="40"/>
      <c r="AQ27" s="40"/>
      <c r="AR27" s="40"/>
      <c r="AS27" s="40"/>
      <c r="AT27" s="41"/>
      <c r="AU27" s="1806"/>
      <c r="AV27" s="1517">
        <f t="shared" si="11"/>
        <v>0</v>
      </c>
      <c r="AW27" s="1517">
        <f t="shared" si="12"/>
        <v>0</v>
      </c>
      <c r="AX27" s="1517">
        <f t="shared" si="13"/>
        <v>0</v>
      </c>
      <c r="AY27" s="42">
        <f t="shared" si="14"/>
        <v>0</v>
      </c>
      <c r="AZ27" s="35">
        <f t="shared" si="15"/>
        <v>0</v>
      </c>
      <c r="BA27" s="35">
        <f t="shared" si="16"/>
        <v>0</v>
      </c>
      <c r="BB27" s="35">
        <f t="shared" si="17"/>
        <v>0</v>
      </c>
      <c r="BC27" s="35">
        <f t="shared" si="18"/>
        <v>0</v>
      </c>
      <c r="BD27" s="35">
        <f t="shared" si="19"/>
        <v>0</v>
      </c>
      <c r="BE27" s="35">
        <f t="shared" si="20"/>
        <v>0</v>
      </c>
      <c r="BF27" s="35">
        <f t="shared" si="21"/>
        <v>0</v>
      </c>
      <c r="BG27" s="35">
        <f t="shared" si="22"/>
        <v>0</v>
      </c>
      <c r="BH27" s="35">
        <f t="shared" si="23"/>
        <v>0</v>
      </c>
      <c r="BI27" s="35">
        <f t="shared" si="24"/>
        <v>0</v>
      </c>
      <c r="BJ27" s="35">
        <f t="shared" si="25"/>
        <v>0</v>
      </c>
      <c r="BK27" s="35">
        <f t="shared" si="26"/>
        <v>0</v>
      </c>
      <c r="BL27" s="35">
        <f t="shared" si="27"/>
        <v>0</v>
      </c>
      <c r="BM27" s="35">
        <f t="shared" si="28"/>
        <v>0</v>
      </c>
      <c r="BN27" s="35">
        <f t="shared" si="29"/>
        <v>0</v>
      </c>
      <c r="BO27" s="35">
        <f t="shared" si="30"/>
        <v>0</v>
      </c>
      <c r="BP27" s="35">
        <f t="shared" si="31"/>
        <v>0</v>
      </c>
      <c r="BQ27" s="35">
        <f t="shared" si="32"/>
        <v>0</v>
      </c>
      <c r="BR27" s="35">
        <f t="shared" si="33"/>
        <v>0</v>
      </c>
      <c r="BS27" s="35">
        <f t="shared" si="34"/>
        <v>0</v>
      </c>
      <c r="BT27" s="43">
        <f t="shared" si="35"/>
        <v>0</v>
      </c>
    </row>
    <row r="28" spans="1:72">
      <c r="A28" s="9"/>
      <c r="B28" s="34"/>
      <c r="C28" s="34"/>
      <c r="D28" s="1805"/>
      <c r="E28" s="35">
        <f t="shared" si="7"/>
        <v>0</v>
      </c>
      <c r="F28" s="36"/>
      <c r="G28" s="37">
        <f t="shared" si="8"/>
        <v>0</v>
      </c>
      <c r="H28" s="38">
        <f t="shared" si="9"/>
        <v>0</v>
      </c>
      <c r="I28" s="39"/>
      <c r="J28" s="39"/>
      <c r="K28" s="39"/>
      <c r="L28" s="39"/>
      <c r="M28" s="39"/>
      <c r="N28" s="39"/>
      <c r="O28" s="39"/>
      <c r="P28" s="39"/>
      <c r="Q28" s="39"/>
      <c r="R28" s="39"/>
      <c r="S28" s="39"/>
      <c r="T28" s="39"/>
      <c r="U28" s="39"/>
      <c r="V28" s="39"/>
      <c r="W28" s="39"/>
      <c r="X28" s="39"/>
      <c r="Y28" s="39"/>
      <c r="Z28" s="39"/>
      <c r="AA28" s="39"/>
      <c r="AB28" s="39"/>
      <c r="AC28" s="35">
        <f t="shared" si="10"/>
        <v>0</v>
      </c>
      <c r="AD28" s="40"/>
      <c r="AE28" s="40"/>
      <c r="AF28" s="40"/>
      <c r="AG28" s="40"/>
      <c r="AH28" s="40"/>
      <c r="AI28" s="40"/>
      <c r="AJ28" s="40"/>
      <c r="AK28" s="40"/>
      <c r="AL28" s="40"/>
      <c r="AM28" s="40"/>
      <c r="AN28" s="40"/>
      <c r="AO28" s="40"/>
      <c r="AP28" s="40"/>
      <c r="AQ28" s="40"/>
      <c r="AR28" s="40"/>
      <c r="AS28" s="40"/>
      <c r="AT28" s="41"/>
      <c r="AU28" s="1806"/>
      <c r="AV28" s="1517">
        <f t="shared" si="11"/>
        <v>0</v>
      </c>
      <c r="AW28" s="1517">
        <f t="shared" si="12"/>
        <v>0</v>
      </c>
      <c r="AX28" s="1517">
        <f t="shared" si="13"/>
        <v>0</v>
      </c>
      <c r="AY28" s="42">
        <f t="shared" si="14"/>
        <v>0</v>
      </c>
      <c r="AZ28" s="35">
        <f t="shared" si="15"/>
        <v>0</v>
      </c>
      <c r="BA28" s="35">
        <f t="shared" si="16"/>
        <v>0</v>
      </c>
      <c r="BB28" s="35">
        <f t="shared" si="17"/>
        <v>0</v>
      </c>
      <c r="BC28" s="35">
        <f t="shared" si="18"/>
        <v>0</v>
      </c>
      <c r="BD28" s="35">
        <f t="shared" si="19"/>
        <v>0</v>
      </c>
      <c r="BE28" s="35">
        <f t="shared" si="20"/>
        <v>0</v>
      </c>
      <c r="BF28" s="35">
        <f t="shared" si="21"/>
        <v>0</v>
      </c>
      <c r="BG28" s="35">
        <f t="shared" si="22"/>
        <v>0</v>
      </c>
      <c r="BH28" s="35">
        <f t="shared" si="23"/>
        <v>0</v>
      </c>
      <c r="BI28" s="35">
        <f t="shared" si="24"/>
        <v>0</v>
      </c>
      <c r="BJ28" s="35">
        <f t="shared" si="25"/>
        <v>0</v>
      </c>
      <c r="BK28" s="35">
        <f t="shared" si="26"/>
        <v>0</v>
      </c>
      <c r="BL28" s="35">
        <f t="shared" si="27"/>
        <v>0</v>
      </c>
      <c r="BM28" s="35">
        <f t="shared" si="28"/>
        <v>0</v>
      </c>
      <c r="BN28" s="35">
        <f t="shared" si="29"/>
        <v>0</v>
      </c>
      <c r="BO28" s="35">
        <f t="shared" si="30"/>
        <v>0</v>
      </c>
      <c r="BP28" s="35">
        <f t="shared" si="31"/>
        <v>0</v>
      </c>
      <c r="BQ28" s="35">
        <f t="shared" si="32"/>
        <v>0</v>
      </c>
      <c r="BR28" s="35">
        <f t="shared" si="33"/>
        <v>0</v>
      </c>
      <c r="BS28" s="35">
        <f t="shared" si="34"/>
        <v>0</v>
      </c>
      <c r="BT28" s="43">
        <f t="shared" si="35"/>
        <v>0</v>
      </c>
    </row>
    <row r="29" spans="1:72">
      <c r="A29" s="9"/>
      <c r="B29" s="34"/>
      <c r="C29" s="34"/>
      <c r="D29" s="1805"/>
      <c r="E29" s="35">
        <f t="shared" si="7"/>
        <v>0</v>
      </c>
      <c r="F29" s="36"/>
      <c r="G29" s="37">
        <f t="shared" si="8"/>
        <v>0</v>
      </c>
      <c r="H29" s="38">
        <f t="shared" si="9"/>
        <v>0</v>
      </c>
      <c r="I29" s="39"/>
      <c r="J29" s="39"/>
      <c r="K29" s="39"/>
      <c r="L29" s="39"/>
      <c r="M29" s="39"/>
      <c r="N29" s="39"/>
      <c r="O29" s="39"/>
      <c r="P29" s="39"/>
      <c r="Q29" s="39"/>
      <c r="R29" s="39"/>
      <c r="S29" s="39"/>
      <c r="T29" s="39"/>
      <c r="U29" s="39"/>
      <c r="V29" s="39"/>
      <c r="W29" s="39"/>
      <c r="X29" s="39"/>
      <c r="Y29" s="39"/>
      <c r="Z29" s="39"/>
      <c r="AA29" s="39"/>
      <c r="AB29" s="39"/>
      <c r="AC29" s="35">
        <f t="shared" si="10"/>
        <v>0</v>
      </c>
      <c r="AD29" s="40"/>
      <c r="AE29" s="40"/>
      <c r="AF29" s="40"/>
      <c r="AG29" s="40"/>
      <c r="AH29" s="40"/>
      <c r="AI29" s="40"/>
      <c r="AJ29" s="40"/>
      <c r="AK29" s="40"/>
      <c r="AL29" s="40"/>
      <c r="AM29" s="40"/>
      <c r="AN29" s="40"/>
      <c r="AO29" s="40"/>
      <c r="AP29" s="40"/>
      <c r="AQ29" s="40"/>
      <c r="AR29" s="40"/>
      <c r="AS29" s="40"/>
      <c r="AT29" s="41"/>
      <c r="AU29" s="1806"/>
      <c r="AV29" s="1517">
        <f t="shared" si="11"/>
        <v>0</v>
      </c>
      <c r="AW29" s="1517">
        <f t="shared" si="12"/>
        <v>0</v>
      </c>
      <c r="AX29" s="1517">
        <f t="shared" si="13"/>
        <v>0</v>
      </c>
      <c r="AY29" s="42">
        <f t="shared" si="14"/>
        <v>0</v>
      </c>
      <c r="AZ29" s="35">
        <f t="shared" si="15"/>
        <v>0</v>
      </c>
      <c r="BA29" s="35">
        <f t="shared" si="16"/>
        <v>0</v>
      </c>
      <c r="BB29" s="35">
        <f t="shared" si="17"/>
        <v>0</v>
      </c>
      <c r="BC29" s="35">
        <f t="shared" si="18"/>
        <v>0</v>
      </c>
      <c r="BD29" s="35">
        <f t="shared" si="19"/>
        <v>0</v>
      </c>
      <c r="BE29" s="35">
        <f t="shared" si="20"/>
        <v>0</v>
      </c>
      <c r="BF29" s="35">
        <f t="shared" si="21"/>
        <v>0</v>
      </c>
      <c r="BG29" s="35">
        <f t="shared" si="22"/>
        <v>0</v>
      </c>
      <c r="BH29" s="35">
        <f t="shared" si="23"/>
        <v>0</v>
      </c>
      <c r="BI29" s="35">
        <f t="shared" si="24"/>
        <v>0</v>
      </c>
      <c r="BJ29" s="35">
        <f t="shared" si="25"/>
        <v>0</v>
      </c>
      <c r="BK29" s="35">
        <f t="shared" si="26"/>
        <v>0</v>
      </c>
      <c r="BL29" s="35">
        <f t="shared" si="27"/>
        <v>0</v>
      </c>
      <c r="BM29" s="35">
        <f t="shared" si="28"/>
        <v>0</v>
      </c>
      <c r="BN29" s="35">
        <f t="shared" si="29"/>
        <v>0</v>
      </c>
      <c r="BO29" s="35">
        <f t="shared" si="30"/>
        <v>0</v>
      </c>
      <c r="BP29" s="35">
        <f t="shared" si="31"/>
        <v>0</v>
      </c>
      <c r="BQ29" s="35">
        <f t="shared" si="32"/>
        <v>0</v>
      </c>
      <c r="BR29" s="35">
        <f t="shared" si="33"/>
        <v>0</v>
      </c>
      <c r="BS29" s="35">
        <f t="shared" si="34"/>
        <v>0</v>
      </c>
      <c r="BT29" s="43">
        <f t="shared" si="35"/>
        <v>0</v>
      </c>
    </row>
    <row r="30" spans="1:72">
      <c r="A30" s="9"/>
      <c r="B30" s="34"/>
      <c r="C30" s="34"/>
      <c r="D30" s="1805"/>
      <c r="E30" s="35">
        <f t="shared" si="7"/>
        <v>0</v>
      </c>
      <c r="F30" s="36"/>
      <c r="G30" s="37">
        <f t="shared" si="8"/>
        <v>0</v>
      </c>
      <c r="H30" s="38">
        <f t="shared" si="9"/>
        <v>0</v>
      </c>
      <c r="I30" s="39"/>
      <c r="J30" s="39"/>
      <c r="K30" s="39"/>
      <c r="L30" s="39"/>
      <c r="M30" s="39"/>
      <c r="N30" s="39"/>
      <c r="O30" s="39"/>
      <c r="P30" s="39"/>
      <c r="Q30" s="39"/>
      <c r="R30" s="39"/>
      <c r="S30" s="39"/>
      <c r="T30" s="39"/>
      <c r="U30" s="39"/>
      <c r="V30" s="39"/>
      <c r="W30" s="39"/>
      <c r="X30" s="39"/>
      <c r="Y30" s="39"/>
      <c r="Z30" s="39"/>
      <c r="AA30" s="39"/>
      <c r="AB30" s="39"/>
      <c r="AC30" s="35">
        <f t="shared" si="10"/>
        <v>0</v>
      </c>
      <c r="AD30" s="40"/>
      <c r="AE30" s="40"/>
      <c r="AF30" s="40"/>
      <c r="AG30" s="40"/>
      <c r="AH30" s="40"/>
      <c r="AI30" s="40"/>
      <c r="AJ30" s="40"/>
      <c r="AK30" s="40"/>
      <c r="AL30" s="40"/>
      <c r="AM30" s="40"/>
      <c r="AN30" s="40"/>
      <c r="AO30" s="40"/>
      <c r="AP30" s="40"/>
      <c r="AQ30" s="40"/>
      <c r="AR30" s="40"/>
      <c r="AS30" s="40"/>
      <c r="AT30" s="41"/>
      <c r="AU30" s="1806"/>
      <c r="AV30" s="1517">
        <f t="shared" si="11"/>
        <v>0</v>
      </c>
      <c r="AW30" s="1517">
        <f t="shared" si="12"/>
        <v>0</v>
      </c>
      <c r="AX30" s="1517">
        <f t="shared" si="13"/>
        <v>0</v>
      </c>
      <c r="AY30" s="42">
        <f t="shared" si="14"/>
        <v>0</v>
      </c>
      <c r="AZ30" s="35">
        <f t="shared" si="15"/>
        <v>0</v>
      </c>
      <c r="BA30" s="35">
        <f t="shared" si="16"/>
        <v>0</v>
      </c>
      <c r="BB30" s="35">
        <f t="shared" si="17"/>
        <v>0</v>
      </c>
      <c r="BC30" s="35">
        <f t="shared" si="18"/>
        <v>0</v>
      </c>
      <c r="BD30" s="35">
        <f t="shared" si="19"/>
        <v>0</v>
      </c>
      <c r="BE30" s="35">
        <f t="shared" si="20"/>
        <v>0</v>
      </c>
      <c r="BF30" s="35">
        <f t="shared" si="21"/>
        <v>0</v>
      </c>
      <c r="BG30" s="35">
        <f t="shared" si="22"/>
        <v>0</v>
      </c>
      <c r="BH30" s="35">
        <f t="shared" si="23"/>
        <v>0</v>
      </c>
      <c r="BI30" s="35">
        <f t="shared" si="24"/>
        <v>0</v>
      </c>
      <c r="BJ30" s="35">
        <f t="shared" si="25"/>
        <v>0</v>
      </c>
      <c r="BK30" s="35">
        <f t="shared" si="26"/>
        <v>0</v>
      </c>
      <c r="BL30" s="35">
        <f t="shared" si="27"/>
        <v>0</v>
      </c>
      <c r="BM30" s="35">
        <f t="shared" si="28"/>
        <v>0</v>
      </c>
      <c r="BN30" s="35">
        <f t="shared" si="29"/>
        <v>0</v>
      </c>
      <c r="BO30" s="35">
        <f t="shared" si="30"/>
        <v>0</v>
      </c>
      <c r="BP30" s="35">
        <f t="shared" si="31"/>
        <v>0</v>
      </c>
      <c r="BQ30" s="35">
        <f t="shared" si="32"/>
        <v>0</v>
      </c>
      <c r="BR30" s="35">
        <f t="shared" si="33"/>
        <v>0</v>
      </c>
      <c r="BS30" s="35">
        <f t="shared" si="34"/>
        <v>0</v>
      </c>
      <c r="BT30" s="43">
        <f t="shared" si="35"/>
        <v>0</v>
      </c>
    </row>
    <row r="31" spans="1:72">
      <c r="A31" s="9"/>
      <c r="B31" s="34"/>
      <c r="C31" s="34"/>
      <c r="D31" s="1805"/>
      <c r="E31" s="35">
        <f t="shared" si="7"/>
        <v>0</v>
      </c>
      <c r="F31" s="36"/>
      <c r="G31" s="37">
        <f t="shared" si="8"/>
        <v>0</v>
      </c>
      <c r="H31" s="38">
        <f t="shared" si="9"/>
        <v>0</v>
      </c>
      <c r="I31" s="39"/>
      <c r="J31" s="39"/>
      <c r="K31" s="39"/>
      <c r="L31" s="39"/>
      <c r="M31" s="39"/>
      <c r="N31" s="39"/>
      <c r="O31" s="39"/>
      <c r="P31" s="39"/>
      <c r="Q31" s="39"/>
      <c r="R31" s="39"/>
      <c r="S31" s="39"/>
      <c r="T31" s="39"/>
      <c r="U31" s="39"/>
      <c r="V31" s="39"/>
      <c r="W31" s="39"/>
      <c r="X31" s="39"/>
      <c r="Y31" s="39"/>
      <c r="Z31" s="39"/>
      <c r="AA31" s="39"/>
      <c r="AB31" s="39"/>
      <c r="AC31" s="35">
        <f t="shared" si="10"/>
        <v>0</v>
      </c>
      <c r="AD31" s="40"/>
      <c r="AE31" s="40"/>
      <c r="AF31" s="40"/>
      <c r="AG31" s="40"/>
      <c r="AH31" s="40"/>
      <c r="AI31" s="40"/>
      <c r="AJ31" s="40"/>
      <c r="AK31" s="40"/>
      <c r="AL31" s="40"/>
      <c r="AM31" s="40"/>
      <c r="AN31" s="40"/>
      <c r="AO31" s="40"/>
      <c r="AP31" s="40"/>
      <c r="AQ31" s="40"/>
      <c r="AR31" s="40"/>
      <c r="AS31" s="40"/>
      <c r="AT31" s="41"/>
      <c r="AU31" s="1806"/>
      <c r="AV31" s="1517">
        <f t="shared" si="11"/>
        <v>0</v>
      </c>
      <c r="AW31" s="1517">
        <f t="shared" si="12"/>
        <v>0</v>
      </c>
      <c r="AX31" s="1517">
        <f t="shared" si="13"/>
        <v>0</v>
      </c>
      <c r="AY31" s="42">
        <f t="shared" si="14"/>
        <v>0</v>
      </c>
      <c r="AZ31" s="35">
        <f t="shared" si="15"/>
        <v>0</v>
      </c>
      <c r="BA31" s="35">
        <f t="shared" si="16"/>
        <v>0</v>
      </c>
      <c r="BB31" s="35">
        <f t="shared" si="17"/>
        <v>0</v>
      </c>
      <c r="BC31" s="35">
        <f t="shared" si="18"/>
        <v>0</v>
      </c>
      <c r="BD31" s="35">
        <f t="shared" si="19"/>
        <v>0</v>
      </c>
      <c r="BE31" s="35">
        <f t="shared" si="20"/>
        <v>0</v>
      </c>
      <c r="BF31" s="35">
        <f t="shared" si="21"/>
        <v>0</v>
      </c>
      <c r="BG31" s="35">
        <f t="shared" si="22"/>
        <v>0</v>
      </c>
      <c r="BH31" s="35">
        <f t="shared" si="23"/>
        <v>0</v>
      </c>
      <c r="BI31" s="35">
        <f t="shared" si="24"/>
        <v>0</v>
      </c>
      <c r="BJ31" s="35">
        <f t="shared" si="25"/>
        <v>0</v>
      </c>
      <c r="BK31" s="35">
        <f t="shared" si="26"/>
        <v>0</v>
      </c>
      <c r="BL31" s="35">
        <f t="shared" si="27"/>
        <v>0</v>
      </c>
      <c r="BM31" s="35">
        <f t="shared" si="28"/>
        <v>0</v>
      </c>
      <c r="BN31" s="35">
        <f t="shared" si="29"/>
        <v>0</v>
      </c>
      <c r="BO31" s="35">
        <f t="shared" si="30"/>
        <v>0</v>
      </c>
      <c r="BP31" s="35">
        <f t="shared" si="31"/>
        <v>0</v>
      </c>
      <c r="BQ31" s="35">
        <f t="shared" si="32"/>
        <v>0</v>
      </c>
      <c r="BR31" s="35">
        <f t="shared" si="33"/>
        <v>0</v>
      </c>
      <c r="BS31" s="35">
        <f t="shared" si="34"/>
        <v>0</v>
      </c>
      <c r="BT31" s="43">
        <f t="shared" si="35"/>
        <v>0</v>
      </c>
    </row>
    <row r="32" spans="1:72">
      <c r="A32" s="9"/>
      <c r="B32" s="34"/>
      <c r="C32" s="34"/>
      <c r="D32" s="1805"/>
      <c r="E32" s="35">
        <f t="shared" si="7"/>
        <v>0</v>
      </c>
      <c r="F32" s="36"/>
      <c r="G32" s="37">
        <f t="shared" si="8"/>
        <v>0</v>
      </c>
      <c r="H32" s="38">
        <f t="shared" si="9"/>
        <v>0</v>
      </c>
      <c r="I32" s="39"/>
      <c r="J32" s="39"/>
      <c r="K32" s="39"/>
      <c r="L32" s="39"/>
      <c r="M32" s="39"/>
      <c r="N32" s="39"/>
      <c r="O32" s="39"/>
      <c r="P32" s="39"/>
      <c r="Q32" s="39"/>
      <c r="R32" s="39"/>
      <c r="S32" s="39"/>
      <c r="T32" s="39"/>
      <c r="U32" s="39"/>
      <c r="V32" s="39"/>
      <c r="W32" s="39"/>
      <c r="X32" s="39"/>
      <c r="Y32" s="39"/>
      <c r="Z32" s="39"/>
      <c r="AA32" s="39"/>
      <c r="AB32" s="39"/>
      <c r="AC32" s="35">
        <f t="shared" si="10"/>
        <v>0</v>
      </c>
      <c r="AD32" s="40"/>
      <c r="AE32" s="40"/>
      <c r="AF32" s="40"/>
      <c r="AG32" s="40"/>
      <c r="AH32" s="40"/>
      <c r="AI32" s="40"/>
      <c r="AJ32" s="40"/>
      <c r="AK32" s="40"/>
      <c r="AL32" s="40"/>
      <c r="AM32" s="40"/>
      <c r="AN32" s="40"/>
      <c r="AO32" s="40"/>
      <c r="AP32" s="40"/>
      <c r="AQ32" s="40"/>
      <c r="AR32" s="40"/>
      <c r="AS32" s="40"/>
      <c r="AT32" s="41"/>
      <c r="AU32" s="1806"/>
      <c r="AV32" s="1517">
        <f t="shared" si="11"/>
        <v>0</v>
      </c>
      <c r="AW32" s="1517">
        <f t="shared" si="12"/>
        <v>0</v>
      </c>
      <c r="AX32" s="1517">
        <f t="shared" si="13"/>
        <v>0</v>
      </c>
      <c r="AY32" s="42">
        <f t="shared" si="14"/>
        <v>0</v>
      </c>
      <c r="AZ32" s="35">
        <f t="shared" si="15"/>
        <v>0</v>
      </c>
      <c r="BA32" s="35">
        <f t="shared" si="16"/>
        <v>0</v>
      </c>
      <c r="BB32" s="35">
        <f t="shared" si="17"/>
        <v>0</v>
      </c>
      <c r="BC32" s="35">
        <f t="shared" si="18"/>
        <v>0</v>
      </c>
      <c r="BD32" s="35">
        <f t="shared" si="19"/>
        <v>0</v>
      </c>
      <c r="BE32" s="35">
        <f t="shared" si="20"/>
        <v>0</v>
      </c>
      <c r="BF32" s="35">
        <f t="shared" si="21"/>
        <v>0</v>
      </c>
      <c r="BG32" s="35">
        <f t="shared" si="22"/>
        <v>0</v>
      </c>
      <c r="BH32" s="35">
        <f t="shared" si="23"/>
        <v>0</v>
      </c>
      <c r="BI32" s="35">
        <f t="shared" si="24"/>
        <v>0</v>
      </c>
      <c r="BJ32" s="35">
        <f t="shared" si="25"/>
        <v>0</v>
      </c>
      <c r="BK32" s="35">
        <f t="shared" si="26"/>
        <v>0</v>
      </c>
      <c r="BL32" s="35">
        <f t="shared" si="27"/>
        <v>0</v>
      </c>
      <c r="BM32" s="35">
        <f t="shared" si="28"/>
        <v>0</v>
      </c>
      <c r="BN32" s="35">
        <f t="shared" si="29"/>
        <v>0</v>
      </c>
      <c r="BO32" s="35">
        <f t="shared" si="30"/>
        <v>0</v>
      </c>
      <c r="BP32" s="35">
        <f t="shared" si="31"/>
        <v>0</v>
      </c>
      <c r="BQ32" s="35">
        <f t="shared" si="32"/>
        <v>0</v>
      </c>
      <c r="BR32" s="35">
        <f t="shared" si="33"/>
        <v>0</v>
      </c>
      <c r="BS32" s="35">
        <f t="shared" si="34"/>
        <v>0</v>
      </c>
      <c r="BT32" s="43">
        <f t="shared" si="35"/>
        <v>0</v>
      </c>
    </row>
    <row r="33" spans="1:72">
      <c r="A33" s="9"/>
      <c r="B33" s="34"/>
      <c r="C33" s="34"/>
      <c r="D33" s="1805"/>
      <c r="E33" s="35">
        <f t="shared" si="7"/>
        <v>0</v>
      </c>
      <c r="F33" s="36"/>
      <c r="G33" s="37">
        <f t="shared" si="8"/>
        <v>0</v>
      </c>
      <c r="H33" s="38">
        <f t="shared" si="9"/>
        <v>0</v>
      </c>
      <c r="I33" s="39"/>
      <c r="J33" s="39"/>
      <c r="K33" s="39"/>
      <c r="L33" s="39"/>
      <c r="M33" s="39"/>
      <c r="N33" s="39"/>
      <c r="O33" s="39"/>
      <c r="P33" s="39"/>
      <c r="Q33" s="39"/>
      <c r="R33" s="39"/>
      <c r="S33" s="39"/>
      <c r="T33" s="39"/>
      <c r="U33" s="39"/>
      <c r="V33" s="39"/>
      <c r="W33" s="39"/>
      <c r="X33" s="39"/>
      <c r="Y33" s="39"/>
      <c r="Z33" s="39"/>
      <c r="AA33" s="39"/>
      <c r="AB33" s="39"/>
      <c r="AC33" s="35">
        <f t="shared" si="10"/>
        <v>0</v>
      </c>
      <c r="AD33" s="40"/>
      <c r="AE33" s="40"/>
      <c r="AF33" s="40"/>
      <c r="AG33" s="40"/>
      <c r="AH33" s="40"/>
      <c r="AI33" s="40"/>
      <c r="AJ33" s="40"/>
      <c r="AK33" s="40"/>
      <c r="AL33" s="40"/>
      <c r="AM33" s="40"/>
      <c r="AN33" s="40"/>
      <c r="AO33" s="40"/>
      <c r="AP33" s="40"/>
      <c r="AQ33" s="40"/>
      <c r="AR33" s="40"/>
      <c r="AS33" s="40"/>
      <c r="AT33" s="41"/>
      <c r="AU33" s="1806"/>
      <c r="AV33" s="1517">
        <f t="shared" si="11"/>
        <v>0</v>
      </c>
      <c r="AW33" s="1517">
        <f t="shared" si="12"/>
        <v>0</v>
      </c>
      <c r="AX33" s="1517">
        <f t="shared" si="13"/>
        <v>0</v>
      </c>
      <c r="AY33" s="42">
        <f t="shared" si="14"/>
        <v>0</v>
      </c>
      <c r="AZ33" s="35">
        <f t="shared" si="15"/>
        <v>0</v>
      </c>
      <c r="BA33" s="35">
        <f t="shared" si="16"/>
        <v>0</v>
      </c>
      <c r="BB33" s="35">
        <f t="shared" si="17"/>
        <v>0</v>
      </c>
      <c r="BC33" s="35">
        <f t="shared" si="18"/>
        <v>0</v>
      </c>
      <c r="BD33" s="35">
        <f t="shared" si="19"/>
        <v>0</v>
      </c>
      <c r="BE33" s="35">
        <f t="shared" si="20"/>
        <v>0</v>
      </c>
      <c r="BF33" s="35">
        <f t="shared" si="21"/>
        <v>0</v>
      </c>
      <c r="BG33" s="35">
        <f t="shared" si="22"/>
        <v>0</v>
      </c>
      <c r="BH33" s="35">
        <f t="shared" si="23"/>
        <v>0</v>
      </c>
      <c r="BI33" s="35">
        <f t="shared" si="24"/>
        <v>0</v>
      </c>
      <c r="BJ33" s="35">
        <f t="shared" si="25"/>
        <v>0</v>
      </c>
      <c r="BK33" s="35">
        <f t="shared" si="26"/>
        <v>0</v>
      </c>
      <c r="BL33" s="35">
        <f t="shared" si="27"/>
        <v>0</v>
      </c>
      <c r="BM33" s="35">
        <f t="shared" si="28"/>
        <v>0</v>
      </c>
      <c r="BN33" s="35">
        <f t="shared" si="29"/>
        <v>0</v>
      </c>
      <c r="BO33" s="35">
        <f t="shared" si="30"/>
        <v>0</v>
      </c>
      <c r="BP33" s="35">
        <f t="shared" si="31"/>
        <v>0</v>
      </c>
      <c r="BQ33" s="35">
        <f t="shared" si="32"/>
        <v>0</v>
      </c>
      <c r="BR33" s="35">
        <f t="shared" si="33"/>
        <v>0</v>
      </c>
      <c r="BS33" s="35">
        <f t="shared" si="34"/>
        <v>0</v>
      </c>
      <c r="BT33" s="43">
        <f t="shared" si="35"/>
        <v>0</v>
      </c>
    </row>
    <row r="34" spans="1:72">
      <c r="A34" s="9"/>
      <c r="B34" s="34"/>
      <c r="C34" s="34"/>
      <c r="D34" s="1805"/>
      <c r="E34" s="35">
        <f t="shared" si="7"/>
        <v>0</v>
      </c>
      <c r="F34" s="36"/>
      <c r="G34" s="37">
        <f t="shared" si="8"/>
        <v>0</v>
      </c>
      <c r="H34" s="38">
        <f t="shared" si="9"/>
        <v>0</v>
      </c>
      <c r="I34" s="39"/>
      <c r="J34" s="39"/>
      <c r="K34" s="39"/>
      <c r="L34" s="39"/>
      <c r="M34" s="39"/>
      <c r="N34" s="39"/>
      <c r="O34" s="39"/>
      <c r="P34" s="39"/>
      <c r="Q34" s="39"/>
      <c r="R34" s="39"/>
      <c r="S34" s="39"/>
      <c r="T34" s="39"/>
      <c r="U34" s="39"/>
      <c r="V34" s="39"/>
      <c r="W34" s="39"/>
      <c r="X34" s="39"/>
      <c r="Y34" s="39"/>
      <c r="Z34" s="39"/>
      <c r="AA34" s="39"/>
      <c r="AB34" s="39"/>
      <c r="AC34" s="35">
        <f t="shared" si="10"/>
        <v>0</v>
      </c>
      <c r="AD34" s="40"/>
      <c r="AE34" s="40"/>
      <c r="AF34" s="40"/>
      <c r="AG34" s="40"/>
      <c r="AH34" s="40"/>
      <c r="AI34" s="40"/>
      <c r="AJ34" s="40"/>
      <c r="AK34" s="40"/>
      <c r="AL34" s="40"/>
      <c r="AM34" s="40"/>
      <c r="AN34" s="40"/>
      <c r="AO34" s="40"/>
      <c r="AP34" s="40"/>
      <c r="AQ34" s="40"/>
      <c r="AR34" s="40"/>
      <c r="AS34" s="40"/>
      <c r="AT34" s="41"/>
      <c r="AU34" s="1806"/>
      <c r="AV34" s="1517">
        <f t="shared" si="11"/>
        <v>0</v>
      </c>
      <c r="AW34" s="1517">
        <f t="shared" si="12"/>
        <v>0</v>
      </c>
      <c r="AX34" s="1517">
        <f t="shared" si="13"/>
        <v>0</v>
      </c>
      <c r="AY34" s="42">
        <f t="shared" si="14"/>
        <v>0</v>
      </c>
      <c r="AZ34" s="35">
        <f t="shared" si="15"/>
        <v>0</v>
      </c>
      <c r="BA34" s="35">
        <f t="shared" si="16"/>
        <v>0</v>
      </c>
      <c r="BB34" s="35">
        <f t="shared" si="17"/>
        <v>0</v>
      </c>
      <c r="BC34" s="35">
        <f t="shared" si="18"/>
        <v>0</v>
      </c>
      <c r="BD34" s="35">
        <f t="shared" si="19"/>
        <v>0</v>
      </c>
      <c r="BE34" s="35">
        <f t="shared" si="20"/>
        <v>0</v>
      </c>
      <c r="BF34" s="35">
        <f t="shared" si="21"/>
        <v>0</v>
      </c>
      <c r="BG34" s="35">
        <f t="shared" si="22"/>
        <v>0</v>
      </c>
      <c r="BH34" s="35">
        <f t="shared" si="23"/>
        <v>0</v>
      </c>
      <c r="BI34" s="35">
        <f t="shared" si="24"/>
        <v>0</v>
      </c>
      <c r="BJ34" s="35">
        <f t="shared" si="25"/>
        <v>0</v>
      </c>
      <c r="BK34" s="35">
        <f t="shared" si="26"/>
        <v>0</v>
      </c>
      <c r="BL34" s="35">
        <f t="shared" si="27"/>
        <v>0</v>
      </c>
      <c r="BM34" s="35">
        <f t="shared" si="28"/>
        <v>0</v>
      </c>
      <c r="BN34" s="35">
        <f t="shared" si="29"/>
        <v>0</v>
      </c>
      <c r="BO34" s="35">
        <f t="shared" si="30"/>
        <v>0</v>
      </c>
      <c r="BP34" s="35">
        <f t="shared" si="31"/>
        <v>0</v>
      </c>
      <c r="BQ34" s="35">
        <f t="shared" si="32"/>
        <v>0</v>
      </c>
      <c r="BR34" s="35">
        <f t="shared" si="33"/>
        <v>0</v>
      </c>
      <c r="BS34" s="35">
        <f t="shared" si="34"/>
        <v>0</v>
      </c>
      <c r="BT34" s="43">
        <f t="shared" si="35"/>
        <v>0</v>
      </c>
    </row>
    <row r="35" spans="1:72">
      <c r="A35" s="9"/>
      <c r="B35" s="34"/>
      <c r="C35" s="34"/>
      <c r="D35" s="1805"/>
      <c r="E35" s="35">
        <f t="shared" si="7"/>
        <v>0</v>
      </c>
      <c r="F35" s="36"/>
      <c r="G35" s="37">
        <f t="shared" si="8"/>
        <v>0</v>
      </c>
      <c r="H35" s="38">
        <f t="shared" si="9"/>
        <v>0</v>
      </c>
      <c r="I35" s="39"/>
      <c r="J35" s="39"/>
      <c r="K35" s="39"/>
      <c r="L35" s="39"/>
      <c r="M35" s="39"/>
      <c r="N35" s="39"/>
      <c r="O35" s="39"/>
      <c r="P35" s="39"/>
      <c r="Q35" s="39"/>
      <c r="R35" s="39"/>
      <c r="S35" s="39"/>
      <c r="T35" s="39"/>
      <c r="U35" s="39"/>
      <c r="V35" s="39"/>
      <c r="W35" s="39"/>
      <c r="X35" s="39"/>
      <c r="Y35" s="39"/>
      <c r="Z35" s="39"/>
      <c r="AA35" s="39"/>
      <c r="AB35" s="39"/>
      <c r="AC35" s="35">
        <f t="shared" si="10"/>
        <v>0</v>
      </c>
      <c r="AD35" s="40"/>
      <c r="AE35" s="40"/>
      <c r="AF35" s="40"/>
      <c r="AG35" s="40"/>
      <c r="AH35" s="40"/>
      <c r="AI35" s="40"/>
      <c r="AJ35" s="40"/>
      <c r="AK35" s="40"/>
      <c r="AL35" s="40"/>
      <c r="AM35" s="40"/>
      <c r="AN35" s="40"/>
      <c r="AO35" s="40"/>
      <c r="AP35" s="40"/>
      <c r="AQ35" s="40"/>
      <c r="AR35" s="40"/>
      <c r="AS35" s="40"/>
      <c r="AT35" s="41"/>
      <c r="AU35" s="1806"/>
      <c r="AV35" s="1517">
        <f t="shared" si="11"/>
        <v>0</v>
      </c>
      <c r="AW35" s="1517">
        <f t="shared" si="12"/>
        <v>0</v>
      </c>
      <c r="AX35" s="1517">
        <f t="shared" si="13"/>
        <v>0</v>
      </c>
      <c r="AY35" s="42">
        <f t="shared" si="14"/>
        <v>0</v>
      </c>
      <c r="AZ35" s="35">
        <f t="shared" si="15"/>
        <v>0</v>
      </c>
      <c r="BA35" s="35">
        <f t="shared" si="16"/>
        <v>0</v>
      </c>
      <c r="BB35" s="35">
        <f t="shared" si="17"/>
        <v>0</v>
      </c>
      <c r="BC35" s="35">
        <f t="shared" si="18"/>
        <v>0</v>
      </c>
      <c r="BD35" s="35">
        <f t="shared" si="19"/>
        <v>0</v>
      </c>
      <c r="BE35" s="35">
        <f t="shared" si="20"/>
        <v>0</v>
      </c>
      <c r="BF35" s="35">
        <f t="shared" si="21"/>
        <v>0</v>
      </c>
      <c r="BG35" s="35">
        <f t="shared" si="22"/>
        <v>0</v>
      </c>
      <c r="BH35" s="35">
        <f t="shared" si="23"/>
        <v>0</v>
      </c>
      <c r="BI35" s="35">
        <f t="shared" si="24"/>
        <v>0</v>
      </c>
      <c r="BJ35" s="35">
        <f t="shared" si="25"/>
        <v>0</v>
      </c>
      <c r="BK35" s="35">
        <f t="shared" si="26"/>
        <v>0</v>
      </c>
      <c r="BL35" s="35">
        <f t="shared" si="27"/>
        <v>0</v>
      </c>
      <c r="BM35" s="35">
        <f t="shared" si="28"/>
        <v>0</v>
      </c>
      <c r="BN35" s="35">
        <f t="shared" si="29"/>
        <v>0</v>
      </c>
      <c r="BO35" s="35">
        <f t="shared" si="30"/>
        <v>0</v>
      </c>
      <c r="BP35" s="35">
        <f t="shared" si="31"/>
        <v>0</v>
      </c>
      <c r="BQ35" s="35">
        <f t="shared" si="32"/>
        <v>0</v>
      </c>
      <c r="BR35" s="35">
        <f t="shared" si="33"/>
        <v>0</v>
      </c>
      <c r="BS35" s="35">
        <f t="shared" si="34"/>
        <v>0</v>
      </c>
      <c r="BT35" s="43">
        <f t="shared" si="35"/>
        <v>0</v>
      </c>
    </row>
    <row r="36" spans="1:72">
      <c r="A36" s="9"/>
      <c r="B36" s="34"/>
      <c r="C36" s="34"/>
      <c r="D36" s="1805"/>
      <c r="E36" s="35">
        <f t="shared" si="7"/>
        <v>0</v>
      </c>
      <c r="F36" s="36"/>
      <c r="G36" s="37">
        <f t="shared" si="8"/>
        <v>0</v>
      </c>
      <c r="H36" s="38">
        <f t="shared" si="9"/>
        <v>0</v>
      </c>
      <c r="I36" s="39"/>
      <c r="J36" s="39"/>
      <c r="K36" s="39"/>
      <c r="L36" s="39"/>
      <c r="M36" s="39"/>
      <c r="N36" s="39"/>
      <c r="O36" s="39"/>
      <c r="P36" s="39"/>
      <c r="Q36" s="39"/>
      <c r="R36" s="39"/>
      <c r="S36" s="39"/>
      <c r="T36" s="39"/>
      <c r="U36" s="39"/>
      <c r="V36" s="39"/>
      <c r="W36" s="39"/>
      <c r="X36" s="39"/>
      <c r="Y36" s="39"/>
      <c r="Z36" s="39"/>
      <c r="AA36" s="39"/>
      <c r="AB36" s="39"/>
      <c r="AC36" s="35">
        <f t="shared" si="10"/>
        <v>0</v>
      </c>
      <c r="AD36" s="40"/>
      <c r="AE36" s="40"/>
      <c r="AF36" s="40"/>
      <c r="AG36" s="40"/>
      <c r="AH36" s="40"/>
      <c r="AI36" s="40"/>
      <c r="AJ36" s="40"/>
      <c r="AK36" s="40"/>
      <c r="AL36" s="40"/>
      <c r="AM36" s="40"/>
      <c r="AN36" s="40"/>
      <c r="AO36" s="40"/>
      <c r="AP36" s="40"/>
      <c r="AQ36" s="40"/>
      <c r="AR36" s="40"/>
      <c r="AS36" s="40"/>
      <c r="AT36" s="41"/>
      <c r="AU36" s="1806"/>
      <c r="AV36" s="1517">
        <f t="shared" si="11"/>
        <v>0</v>
      </c>
      <c r="AW36" s="1517">
        <f t="shared" si="12"/>
        <v>0</v>
      </c>
      <c r="AX36" s="1517">
        <f t="shared" si="13"/>
        <v>0</v>
      </c>
      <c r="AY36" s="42">
        <f t="shared" si="14"/>
        <v>0</v>
      </c>
      <c r="AZ36" s="35">
        <f t="shared" si="15"/>
        <v>0</v>
      </c>
      <c r="BA36" s="35">
        <f t="shared" si="16"/>
        <v>0</v>
      </c>
      <c r="BB36" s="35">
        <f t="shared" si="17"/>
        <v>0</v>
      </c>
      <c r="BC36" s="35">
        <f t="shared" si="18"/>
        <v>0</v>
      </c>
      <c r="BD36" s="35">
        <f t="shared" si="19"/>
        <v>0</v>
      </c>
      <c r="BE36" s="35">
        <f t="shared" si="20"/>
        <v>0</v>
      </c>
      <c r="BF36" s="35">
        <f t="shared" si="21"/>
        <v>0</v>
      </c>
      <c r="BG36" s="35">
        <f t="shared" si="22"/>
        <v>0</v>
      </c>
      <c r="BH36" s="35">
        <f t="shared" si="23"/>
        <v>0</v>
      </c>
      <c r="BI36" s="35">
        <f t="shared" si="24"/>
        <v>0</v>
      </c>
      <c r="BJ36" s="35">
        <f t="shared" si="25"/>
        <v>0</v>
      </c>
      <c r="BK36" s="35">
        <f t="shared" si="26"/>
        <v>0</v>
      </c>
      <c r="BL36" s="35">
        <f t="shared" si="27"/>
        <v>0</v>
      </c>
      <c r="BM36" s="35">
        <f t="shared" si="28"/>
        <v>0</v>
      </c>
      <c r="BN36" s="35">
        <f t="shared" si="29"/>
        <v>0</v>
      </c>
      <c r="BO36" s="35">
        <f t="shared" si="30"/>
        <v>0</v>
      </c>
      <c r="BP36" s="35">
        <f t="shared" si="31"/>
        <v>0</v>
      </c>
      <c r="BQ36" s="35">
        <f t="shared" si="32"/>
        <v>0</v>
      </c>
      <c r="BR36" s="35">
        <f t="shared" si="33"/>
        <v>0</v>
      </c>
      <c r="BS36" s="35">
        <f t="shared" si="34"/>
        <v>0</v>
      </c>
      <c r="BT36" s="43">
        <f t="shared" si="35"/>
        <v>0</v>
      </c>
    </row>
    <row r="37" spans="1:72">
      <c r="A37" s="9"/>
      <c r="B37" s="34"/>
      <c r="C37" s="34"/>
      <c r="D37" s="1805"/>
      <c r="E37" s="35">
        <f t="shared" si="7"/>
        <v>0</v>
      </c>
      <c r="F37" s="36"/>
      <c r="G37" s="37">
        <f t="shared" si="8"/>
        <v>0</v>
      </c>
      <c r="H37" s="38">
        <f t="shared" si="9"/>
        <v>0</v>
      </c>
      <c r="I37" s="39"/>
      <c r="J37" s="39"/>
      <c r="K37" s="39"/>
      <c r="L37" s="39"/>
      <c r="M37" s="39"/>
      <c r="N37" s="39"/>
      <c r="O37" s="39"/>
      <c r="P37" s="39"/>
      <c r="Q37" s="39"/>
      <c r="R37" s="39"/>
      <c r="S37" s="39"/>
      <c r="T37" s="39"/>
      <c r="U37" s="39"/>
      <c r="V37" s="39"/>
      <c r="W37" s="39"/>
      <c r="X37" s="39"/>
      <c r="Y37" s="39"/>
      <c r="Z37" s="39"/>
      <c r="AA37" s="39"/>
      <c r="AB37" s="39"/>
      <c r="AC37" s="35">
        <f t="shared" si="10"/>
        <v>0</v>
      </c>
      <c r="AD37" s="40"/>
      <c r="AE37" s="40"/>
      <c r="AF37" s="40"/>
      <c r="AG37" s="40"/>
      <c r="AH37" s="40"/>
      <c r="AI37" s="40"/>
      <c r="AJ37" s="40"/>
      <c r="AK37" s="40"/>
      <c r="AL37" s="40"/>
      <c r="AM37" s="40"/>
      <c r="AN37" s="40"/>
      <c r="AO37" s="40"/>
      <c r="AP37" s="40"/>
      <c r="AQ37" s="40"/>
      <c r="AR37" s="40"/>
      <c r="AS37" s="40"/>
      <c r="AT37" s="41"/>
      <c r="AU37" s="1806"/>
      <c r="AV37" s="1517">
        <f t="shared" si="11"/>
        <v>0</v>
      </c>
      <c r="AW37" s="1517">
        <f t="shared" si="12"/>
        <v>0</v>
      </c>
      <c r="AX37" s="1517">
        <f t="shared" si="13"/>
        <v>0</v>
      </c>
      <c r="AY37" s="42">
        <f t="shared" si="14"/>
        <v>0</v>
      </c>
      <c r="AZ37" s="35">
        <f t="shared" si="15"/>
        <v>0</v>
      </c>
      <c r="BA37" s="35">
        <f t="shared" si="16"/>
        <v>0</v>
      </c>
      <c r="BB37" s="35">
        <f t="shared" si="17"/>
        <v>0</v>
      </c>
      <c r="BC37" s="35">
        <f t="shared" si="18"/>
        <v>0</v>
      </c>
      <c r="BD37" s="35">
        <f t="shared" si="19"/>
        <v>0</v>
      </c>
      <c r="BE37" s="35">
        <f t="shared" si="20"/>
        <v>0</v>
      </c>
      <c r="BF37" s="35">
        <f t="shared" si="21"/>
        <v>0</v>
      </c>
      <c r="BG37" s="35">
        <f t="shared" si="22"/>
        <v>0</v>
      </c>
      <c r="BH37" s="35">
        <f t="shared" si="23"/>
        <v>0</v>
      </c>
      <c r="BI37" s="35">
        <f t="shared" si="24"/>
        <v>0</v>
      </c>
      <c r="BJ37" s="35">
        <f t="shared" si="25"/>
        <v>0</v>
      </c>
      <c r="BK37" s="35">
        <f t="shared" si="26"/>
        <v>0</v>
      </c>
      <c r="BL37" s="35">
        <f t="shared" si="27"/>
        <v>0</v>
      </c>
      <c r="BM37" s="35">
        <f t="shared" si="28"/>
        <v>0</v>
      </c>
      <c r="BN37" s="35">
        <f t="shared" si="29"/>
        <v>0</v>
      </c>
      <c r="BO37" s="35">
        <f t="shared" si="30"/>
        <v>0</v>
      </c>
      <c r="BP37" s="35">
        <f t="shared" si="31"/>
        <v>0</v>
      </c>
      <c r="BQ37" s="35">
        <f t="shared" si="32"/>
        <v>0</v>
      </c>
      <c r="BR37" s="35">
        <f t="shared" si="33"/>
        <v>0</v>
      </c>
      <c r="BS37" s="35">
        <f t="shared" si="34"/>
        <v>0</v>
      </c>
      <c r="BT37" s="43">
        <f t="shared" si="35"/>
        <v>0</v>
      </c>
    </row>
    <row r="38" spans="1:72">
      <c r="A38" s="9"/>
      <c r="B38" s="34"/>
      <c r="C38" s="34"/>
      <c r="D38" s="1805"/>
      <c r="E38" s="35">
        <f t="shared" si="7"/>
        <v>0</v>
      </c>
      <c r="F38" s="36"/>
      <c r="G38" s="37">
        <f t="shared" si="8"/>
        <v>0</v>
      </c>
      <c r="H38" s="38">
        <f t="shared" si="9"/>
        <v>0</v>
      </c>
      <c r="I38" s="39"/>
      <c r="J38" s="39"/>
      <c r="K38" s="39"/>
      <c r="L38" s="39"/>
      <c r="M38" s="39"/>
      <c r="N38" s="39"/>
      <c r="O38" s="39"/>
      <c r="P38" s="39"/>
      <c r="Q38" s="39"/>
      <c r="R38" s="39"/>
      <c r="S38" s="39"/>
      <c r="T38" s="39"/>
      <c r="U38" s="39"/>
      <c r="V38" s="39"/>
      <c r="W38" s="39"/>
      <c r="X38" s="39"/>
      <c r="Y38" s="39"/>
      <c r="Z38" s="39"/>
      <c r="AA38" s="39"/>
      <c r="AB38" s="39"/>
      <c r="AC38" s="35">
        <f t="shared" si="10"/>
        <v>0</v>
      </c>
      <c r="AD38" s="40"/>
      <c r="AE38" s="40"/>
      <c r="AF38" s="40"/>
      <c r="AG38" s="40"/>
      <c r="AH38" s="40"/>
      <c r="AI38" s="40"/>
      <c r="AJ38" s="40"/>
      <c r="AK38" s="40"/>
      <c r="AL38" s="40"/>
      <c r="AM38" s="40"/>
      <c r="AN38" s="40"/>
      <c r="AO38" s="40"/>
      <c r="AP38" s="40"/>
      <c r="AQ38" s="40"/>
      <c r="AR38" s="40"/>
      <c r="AS38" s="40"/>
      <c r="AT38" s="41"/>
      <c r="AU38" s="1806"/>
      <c r="AV38" s="1517">
        <f t="shared" si="11"/>
        <v>0</v>
      </c>
      <c r="AW38" s="1517">
        <f t="shared" si="12"/>
        <v>0</v>
      </c>
      <c r="AX38" s="1517">
        <f t="shared" si="13"/>
        <v>0</v>
      </c>
      <c r="AY38" s="42">
        <f t="shared" si="14"/>
        <v>0</v>
      </c>
      <c r="AZ38" s="35">
        <f t="shared" si="15"/>
        <v>0</v>
      </c>
      <c r="BA38" s="35">
        <f t="shared" si="16"/>
        <v>0</v>
      </c>
      <c r="BB38" s="35">
        <f t="shared" si="17"/>
        <v>0</v>
      </c>
      <c r="BC38" s="35">
        <f t="shared" si="18"/>
        <v>0</v>
      </c>
      <c r="BD38" s="35">
        <f t="shared" si="19"/>
        <v>0</v>
      </c>
      <c r="BE38" s="35">
        <f t="shared" si="20"/>
        <v>0</v>
      </c>
      <c r="BF38" s="35">
        <f t="shared" si="21"/>
        <v>0</v>
      </c>
      <c r="BG38" s="35">
        <f t="shared" si="22"/>
        <v>0</v>
      </c>
      <c r="BH38" s="35">
        <f t="shared" si="23"/>
        <v>0</v>
      </c>
      <c r="BI38" s="35">
        <f t="shared" si="24"/>
        <v>0</v>
      </c>
      <c r="BJ38" s="35">
        <f t="shared" si="25"/>
        <v>0</v>
      </c>
      <c r="BK38" s="35">
        <f t="shared" si="26"/>
        <v>0</v>
      </c>
      <c r="BL38" s="35">
        <f t="shared" si="27"/>
        <v>0</v>
      </c>
      <c r="BM38" s="35">
        <f t="shared" si="28"/>
        <v>0</v>
      </c>
      <c r="BN38" s="35">
        <f t="shared" si="29"/>
        <v>0</v>
      </c>
      <c r="BO38" s="35">
        <f t="shared" si="30"/>
        <v>0</v>
      </c>
      <c r="BP38" s="35">
        <f t="shared" si="31"/>
        <v>0</v>
      </c>
      <c r="BQ38" s="35">
        <f t="shared" si="32"/>
        <v>0</v>
      </c>
      <c r="BR38" s="35">
        <f t="shared" si="33"/>
        <v>0</v>
      </c>
      <c r="BS38" s="35">
        <f t="shared" si="34"/>
        <v>0</v>
      </c>
      <c r="BT38" s="43">
        <f t="shared" si="35"/>
        <v>0</v>
      </c>
    </row>
    <row r="39" spans="1:72">
      <c r="A39" s="9"/>
      <c r="B39" s="34"/>
      <c r="C39" s="34"/>
      <c r="D39" s="1805"/>
      <c r="E39" s="35">
        <f t="shared" si="7"/>
        <v>0</v>
      </c>
      <c r="F39" s="36"/>
      <c r="G39" s="37">
        <f t="shared" si="8"/>
        <v>0</v>
      </c>
      <c r="H39" s="38">
        <f t="shared" si="9"/>
        <v>0</v>
      </c>
      <c r="I39" s="39"/>
      <c r="J39" s="39"/>
      <c r="K39" s="39"/>
      <c r="L39" s="39"/>
      <c r="M39" s="39"/>
      <c r="N39" s="39"/>
      <c r="O39" s="39"/>
      <c r="P39" s="39"/>
      <c r="Q39" s="39"/>
      <c r="R39" s="39"/>
      <c r="S39" s="39"/>
      <c r="T39" s="39"/>
      <c r="U39" s="39"/>
      <c r="V39" s="39"/>
      <c r="W39" s="39"/>
      <c r="X39" s="39"/>
      <c r="Y39" s="39"/>
      <c r="Z39" s="39"/>
      <c r="AA39" s="39"/>
      <c r="AB39" s="39"/>
      <c r="AC39" s="35">
        <f t="shared" si="10"/>
        <v>0</v>
      </c>
      <c r="AD39" s="40"/>
      <c r="AE39" s="40"/>
      <c r="AF39" s="40"/>
      <c r="AG39" s="40"/>
      <c r="AH39" s="40"/>
      <c r="AI39" s="40"/>
      <c r="AJ39" s="40"/>
      <c r="AK39" s="40"/>
      <c r="AL39" s="40"/>
      <c r="AM39" s="40"/>
      <c r="AN39" s="40"/>
      <c r="AO39" s="40"/>
      <c r="AP39" s="40"/>
      <c r="AQ39" s="40"/>
      <c r="AR39" s="40"/>
      <c r="AS39" s="40"/>
      <c r="AT39" s="41"/>
      <c r="AU39" s="1806"/>
      <c r="AV39" s="1517">
        <f t="shared" si="11"/>
        <v>0</v>
      </c>
      <c r="AW39" s="1517">
        <f t="shared" si="12"/>
        <v>0</v>
      </c>
      <c r="AX39" s="1517">
        <f t="shared" si="13"/>
        <v>0</v>
      </c>
      <c r="AY39" s="42">
        <f t="shared" si="14"/>
        <v>0</v>
      </c>
      <c r="AZ39" s="35">
        <f t="shared" si="15"/>
        <v>0</v>
      </c>
      <c r="BA39" s="35">
        <f t="shared" si="16"/>
        <v>0</v>
      </c>
      <c r="BB39" s="35">
        <f t="shared" si="17"/>
        <v>0</v>
      </c>
      <c r="BC39" s="35">
        <f t="shared" si="18"/>
        <v>0</v>
      </c>
      <c r="BD39" s="35">
        <f t="shared" si="19"/>
        <v>0</v>
      </c>
      <c r="BE39" s="35">
        <f t="shared" si="20"/>
        <v>0</v>
      </c>
      <c r="BF39" s="35">
        <f t="shared" si="21"/>
        <v>0</v>
      </c>
      <c r="BG39" s="35">
        <f t="shared" si="22"/>
        <v>0</v>
      </c>
      <c r="BH39" s="35">
        <f t="shared" si="23"/>
        <v>0</v>
      </c>
      <c r="BI39" s="35">
        <f t="shared" si="24"/>
        <v>0</v>
      </c>
      <c r="BJ39" s="35">
        <f t="shared" si="25"/>
        <v>0</v>
      </c>
      <c r="BK39" s="35">
        <f t="shared" si="26"/>
        <v>0</v>
      </c>
      <c r="BL39" s="35">
        <f t="shared" si="27"/>
        <v>0</v>
      </c>
      <c r="BM39" s="35">
        <f t="shared" si="28"/>
        <v>0</v>
      </c>
      <c r="BN39" s="35">
        <f t="shared" si="29"/>
        <v>0</v>
      </c>
      <c r="BO39" s="35">
        <f t="shared" si="30"/>
        <v>0</v>
      </c>
      <c r="BP39" s="35">
        <f t="shared" si="31"/>
        <v>0</v>
      </c>
      <c r="BQ39" s="35">
        <f t="shared" si="32"/>
        <v>0</v>
      </c>
      <c r="BR39" s="35">
        <f t="shared" si="33"/>
        <v>0</v>
      </c>
      <c r="BS39" s="35">
        <f t="shared" si="34"/>
        <v>0</v>
      </c>
      <c r="BT39" s="43">
        <f t="shared" si="35"/>
        <v>0</v>
      </c>
    </row>
    <row r="40" spans="1:72">
      <c r="A40" s="9"/>
      <c r="B40" s="34"/>
      <c r="C40" s="34"/>
      <c r="D40" s="1805"/>
      <c r="E40" s="35">
        <f t="shared" si="7"/>
        <v>0</v>
      </c>
      <c r="F40" s="36"/>
      <c r="G40" s="37">
        <f t="shared" si="8"/>
        <v>0</v>
      </c>
      <c r="H40" s="38">
        <f t="shared" si="9"/>
        <v>0</v>
      </c>
      <c r="I40" s="39"/>
      <c r="J40" s="39"/>
      <c r="K40" s="39"/>
      <c r="L40" s="39"/>
      <c r="M40" s="39"/>
      <c r="N40" s="39"/>
      <c r="O40" s="39"/>
      <c r="P40" s="39"/>
      <c r="Q40" s="39"/>
      <c r="R40" s="39"/>
      <c r="S40" s="39"/>
      <c r="T40" s="39"/>
      <c r="U40" s="39"/>
      <c r="V40" s="39"/>
      <c r="W40" s="39"/>
      <c r="X40" s="39"/>
      <c r="Y40" s="39"/>
      <c r="Z40" s="39"/>
      <c r="AA40" s="39"/>
      <c r="AB40" s="39"/>
      <c r="AC40" s="35">
        <f t="shared" si="10"/>
        <v>0</v>
      </c>
      <c r="AD40" s="40"/>
      <c r="AE40" s="40"/>
      <c r="AF40" s="40"/>
      <c r="AG40" s="40"/>
      <c r="AH40" s="40"/>
      <c r="AI40" s="40"/>
      <c r="AJ40" s="40"/>
      <c r="AK40" s="40"/>
      <c r="AL40" s="40"/>
      <c r="AM40" s="40"/>
      <c r="AN40" s="40"/>
      <c r="AO40" s="40"/>
      <c r="AP40" s="40"/>
      <c r="AQ40" s="40"/>
      <c r="AR40" s="40"/>
      <c r="AS40" s="40"/>
      <c r="AT40" s="41"/>
      <c r="AU40" s="1806"/>
      <c r="AV40" s="1517">
        <f t="shared" si="11"/>
        <v>0</v>
      </c>
      <c r="AW40" s="1517">
        <f t="shared" si="12"/>
        <v>0</v>
      </c>
      <c r="AX40" s="1517">
        <f t="shared" si="13"/>
        <v>0</v>
      </c>
      <c r="AY40" s="42">
        <f t="shared" si="14"/>
        <v>0</v>
      </c>
      <c r="AZ40" s="35">
        <f t="shared" si="15"/>
        <v>0</v>
      </c>
      <c r="BA40" s="35">
        <f t="shared" si="16"/>
        <v>0</v>
      </c>
      <c r="BB40" s="35">
        <f t="shared" si="17"/>
        <v>0</v>
      </c>
      <c r="BC40" s="35">
        <f t="shared" si="18"/>
        <v>0</v>
      </c>
      <c r="BD40" s="35">
        <f t="shared" si="19"/>
        <v>0</v>
      </c>
      <c r="BE40" s="35">
        <f t="shared" si="20"/>
        <v>0</v>
      </c>
      <c r="BF40" s="35">
        <f t="shared" si="21"/>
        <v>0</v>
      </c>
      <c r="BG40" s="35">
        <f t="shared" si="22"/>
        <v>0</v>
      </c>
      <c r="BH40" s="35">
        <f t="shared" si="23"/>
        <v>0</v>
      </c>
      <c r="BI40" s="35">
        <f t="shared" si="24"/>
        <v>0</v>
      </c>
      <c r="BJ40" s="35">
        <f t="shared" si="25"/>
        <v>0</v>
      </c>
      <c r="BK40" s="35">
        <f t="shared" si="26"/>
        <v>0</v>
      </c>
      <c r="BL40" s="35">
        <f t="shared" si="27"/>
        <v>0</v>
      </c>
      <c r="BM40" s="35">
        <f t="shared" si="28"/>
        <v>0</v>
      </c>
      <c r="BN40" s="35">
        <f t="shared" si="29"/>
        <v>0</v>
      </c>
      <c r="BO40" s="35">
        <f t="shared" si="30"/>
        <v>0</v>
      </c>
      <c r="BP40" s="35">
        <f t="shared" si="31"/>
        <v>0</v>
      </c>
      <c r="BQ40" s="35">
        <f t="shared" si="32"/>
        <v>0</v>
      </c>
      <c r="BR40" s="35">
        <f t="shared" si="33"/>
        <v>0</v>
      </c>
      <c r="BS40" s="35">
        <f t="shared" si="34"/>
        <v>0</v>
      </c>
      <c r="BT40" s="43">
        <f t="shared" si="35"/>
        <v>0</v>
      </c>
    </row>
    <row r="41" spans="1:72">
      <c r="A41" s="9"/>
      <c r="B41" s="34"/>
      <c r="C41" s="34"/>
      <c r="D41" s="1805"/>
      <c r="E41" s="35">
        <f t="shared" si="7"/>
        <v>0</v>
      </c>
      <c r="F41" s="36"/>
      <c r="G41" s="37">
        <f t="shared" si="8"/>
        <v>0</v>
      </c>
      <c r="H41" s="38">
        <f t="shared" si="9"/>
        <v>0</v>
      </c>
      <c r="I41" s="39"/>
      <c r="J41" s="39"/>
      <c r="K41" s="39"/>
      <c r="L41" s="39"/>
      <c r="M41" s="39"/>
      <c r="N41" s="39"/>
      <c r="O41" s="39"/>
      <c r="P41" s="39"/>
      <c r="Q41" s="39"/>
      <c r="R41" s="39"/>
      <c r="S41" s="39"/>
      <c r="T41" s="39"/>
      <c r="U41" s="39"/>
      <c r="V41" s="39"/>
      <c r="W41" s="39"/>
      <c r="X41" s="39"/>
      <c r="Y41" s="39"/>
      <c r="Z41" s="39"/>
      <c r="AA41" s="39"/>
      <c r="AB41" s="39"/>
      <c r="AC41" s="35">
        <f t="shared" si="10"/>
        <v>0</v>
      </c>
      <c r="AD41" s="40"/>
      <c r="AE41" s="40"/>
      <c r="AF41" s="40"/>
      <c r="AG41" s="40"/>
      <c r="AH41" s="40"/>
      <c r="AI41" s="40"/>
      <c r="AJ41" s="40"/>
      <c r="AK41" s="40"/>
      <c r="AL41" s="40"/>
      <c r="AM41" s="40"/>
      <c r="AN41" s="40"/>
      <c r="AO41" s="40"/>
      <c r="AP41" s="40"/>
      <c r="AQ41" s="40"/>
      <c r="AR41" s="40"/>
      <c r="AS41" s="40"/>
      <c r="AT41" s="41"/>
      <c r="AU41" s="1806"/>
      <c r="AV41" s="1517">
        <f t="shared" si="11"/>
        <v>0</v>
      </c>
      <c r="AW41" s="1517">
        <f t="shared" si="12"/>
        <v>0</v>
      </c>
      <c r="AX41" s="1517">
        <f t="shared" si="13"/>
        <v>0</v>
      </c>
      <c r="AY41" s="42">
        <f t="shared" si="14"/>
        <v>0</v>
      </c>
      <c r="AZ41" s="35">
        <f t="shared" si="15"/>
        <v>0</v>
      </c>
      <c r="BA41" s="35">
        <f t="shared" si="16"/>
        <v>0</v>
      </c>
      <c r="BB41" s="35">
        <f t="shared" si="17"/>
        <v>0</v>
      </c>
      <c r="BC41" s="35">
        <f t="shared" si="18"/>
        <v>0</v>
      </c>
      <c r="BD41" s="35">
        <f t="shared" si="19"/>
        <v>0</v>
      </c>
      <c r="BE41" s="35">
        <f t="shared" si="20"/>
        <v>0</v>
      </c>
      <c r="BF41" s="35">
        <f t="shared" si="21"/>
        <v>0</v>
      </c>
      <c r="BG41" s="35">
        <f t="shared" si="22"/>
        <v>0</v>
      </c>
      <c r="BH41" s="35">
        <f t="shared" si="23"/>
        <v>0</v>
      </c>
      <c r="BI41" s="35">
        <f t="shared" si="24"/>
        <v>0</v>
      </c>
      <c r="BJ41" s="35">
        <f t="shared" si="25"/>
        <v>0</v>
      </c>
      <c r="BK41" s="35">
        <f t="shared" si="26"/>
        <v>0</v>
      </c>
      <c r="BL41" s="35">
        <f t="shared" si="27"/>
        <v>0</v>
      </c>
      <c r="BM41" s="35">
        <f t="shared" si="28"/>
        <v>0</v>
      </c>
      <c r="BN41" s="35">
        <f t="shared" si="29"/>
        <v>0</v>
      </c>
      <c r="BO41" s="35">
        <f t="shared" si="30"/>
        <v>0</v>
      </c>
      <c r="BP41" s="35">
        <f t="shared" si="31"/>
        <v>0</v>
      </c>
      <c r="BQ41" s="35">
        <f t="shared" si="32"/>
        <v>0</v>
      </c>
      <c r="BR41" s="35">
        <f t="shared" si="33"/>
        <v>0</v>
      </c>
      <c r="BS41" s="35">
        <f t="shared" si="34"/>
        <v>0</v>
      </c>
      <c r="BT41" s="43">
        <f t="shared" si="35"/>
        <v>0</v>
      </c>
    </row>
    <row r="42" spans="1:72">
      <c r="A42" s="9"/>
      <c r="B42" s="34"/>
      <c r="C42" s="34"/>
      <c r="D42" s="1805"/>
      <c r="E42" s="35">
        <f t="shared" si="7"/>
        <v>0</v>
      </c>
      <c r="F42" s="36"/>
      <c r="G42" s="37">
        <f t="shared" si="8"/>
        <v>0</v>
      </c>
      <c r="H42" s="38">
        <f t="shared" si="9"/>
        <v>0</v>
      </c>
      <c r="I42" s="39"/>
      <c r="J42" s="39"/>
      <c r="K42" s="39"/>
      <c r="L42" s="39"/>
      <c r="M42" s="39"/>
      <c r="N42" s="39"/>
      <c r="O42" s="39"/>
      <c r="P42" s="39"/>
      <c r="Q42" s="39"/>
      <c r="R42" s="39"/>
      <c r="S42" s="39"/>
      <c r="T42" s="39"/>
      <c r="U42" s="39"/>
      <c r="V42" s="39"/>
      <c r="W42" s="39"/>
      <c r="X42" s="39"/>
      <c r="Y42" s="39"/>
      <c r="Z42" s="39"/>
      <c r="AA42" s="39"/>
      <c r="AB42" s="39"/>
      <c r="AC42" s="35">
        <f t="shared" si="10"/>
        <v>0</v>
      </c>
      <c r="AD42" s="40"/>
      <c r="AE42" s="40"/>
      <c r="AF42" s="40"/>
      <c r="AG42" s="40"/>
      <c r="AH42" s="40"/>
      <c r="AI42" s="40"/>
      <c r="AJ42" s="40"/>
      <c r="AK42" s="40"/>
      <c r="AL42" s="40"/>
      <c r="AM42" s="40"/>
      <c r="AN42" s="40"/>
      <c r="AO42" s="40"/>
      <c r="AP42" s="40"/>
      <c r="AQ42" s="40"/>
      <c r="AR42" s="40"/>
      <c r="AS42" s="40"/>
      <c r="AT42" s="41"/>
      <c r="AU42" s="1806"/>
      <c r="AV42" s="1517">
        <f t="shared" si="11"/>
        <v>0</v>
      </c>
      <c r="AW42" s="1517">
        <f t="shared" si="12"/>
        <v>0</v>
      </c>
      <c r="AX42" s="1517">
        <f t="shared" si="13"/>
        <v>0</v>
      </c>
      <c r="AY42" s="42">
        <f t="shared" si="14"/>
        <v>0</v>
      </c>
      <c r="AZ42" s="35">
        <f t="shared" si="15"/>
        <v>0</v>
      </c>
      <c r="BA42" s="35">
        <f t="shared" si="16"/>
        <v>0</v>
      </c>
      <c r="BB42" s="35">
        <f t="shared" si="17"/>
        <v>0</v>
      </c>
      <c r="BC42" s="35">
        <f t="shared" si="18"/>
        <v>0</v>
      </c>
      <c r="BD42" s="35">
        <f t="shared" si="19"/>
        <v>0</v>
      </c>
      <c r="BE42" s="35">
        <f t="shared" si="20"/>
        <v>0</v>
      </c>
      <c r="BF42" s="35">
        <f t="shared" si="21"/>
        <v>0</v>
      </c>
      <c r="BG42" s="35">
        <f t="shared" si="22"/>
        <v>0</v>
      </c>
      <c r="BH42" s="35">
        <f t="shared" si="23"/>
        <v>0</v>
      </c>
      <c r="BI42" s="35">
        <f t="shared" si="24"/>
        <v>0</v>
      </c>
      <c r="BJ42" s="35">
        <f t="shared" si="25"/>
        <v>0</v>
      </c>
      <c r="BK42" s="35">
        <f t="shared" si="26"/>
        <v>0</v>
      </c>
      <c r="BL42" s="35">
        <f t="shared" si="27"/>
        <v>0</v>
      </c>
      <c r="BM42" s="35">
        <f t="shared" si="28"/>
        <v>0</v>
      </c>
      <c r="BN42" s="35">
        <f t="shared" si="29"/>
        <v>0</v>
      </c>
      <c r="BO42" s="35">
        <f t="shared" si="30"/>
        <v>0</v>
      </c>
      <c r="BP42" s="35">
        <f t="shared" si="31"/>
        <v>0</v>
      </c>
      <c r="BQ42" s="35">
        <f t="shared" si="32"/>
        <v>0</v>
      </c>
      <c r="BR42" s="35">
        <f t="shared" si="33"/>
        <v>0</v>
      </c>
      <c r="BS42" s="35">
        <f t="shared" si="34"/>
        <v>0</v>
      </c>
      <c r="BT42" s="43">
        <f t="shared" si="35"/>
        <v>0</v>
      </c>
    </row>
    <row r="43" spans="1:72">
      <c r="A43" s="9"/>
      <c r="B43" s="34"/>
      <c r="C43" s="34"/>
      <c r="D43" s="1805"/>
      <c r="E43" s="35">
        <f t="shared" si="7"/>
        <v>0</v>
      </c>
      <c r="F43" s="36"/>
      <c r="G43" s="37">
        <f t="shared" si="8"/>
        <v>0</v>
      </c>
      <c r="H43" s="38">
        <f t="shared" si="9"/>
        <v>0</v>
      </c>
      <c r="I43" s="39"/>
      <c r="J43" s="39"/>
      <c r="K43" s="39"/>
      <c r="L43" s="39"/>
      <c r="M43" s="39"/>
      <c r="N43" s="39"/>
      <c r="O43" s="39"/>
      <c r="P43" s="39"/>
      <c r="Q43" s="39"/>
      <c r="R43" s="39"/>
      <c r="S43" s="39"/>
      <c r="T43" s="39"/>
      <c r="U43" s="39"/>
      <c r="V43" s="39"/>
      <c r="W43" s="39"/>
      <c r="X43" s="39"/>
      <c r="Y43" s="39"/>
      <c r="Z43" s="39"/>
      <c r="AA43" s="39"/>
      <c r="AB43" s="39"/>
      <c r="AC43" s="35">
        <f t="shared" si="10"/>
        <v>0</v>
      </c>
      <c r="AD43" s="40"/>
      <c r="AE43" s="40"/>
      <c r="AF43" s="40"/>
      <c r="AG43" s="40"/>
      <c r="AH43" s="40"/>
      <c r="AI43" s="40"/>
      <c r="AJ43" s="40"/>
      <c r="AK43" s="40"/>
      <c r="AL43" s="40"/>
      <c r="AM43" s="40"/>
      <c r="AN43" s="40"/>
      <c r="AO43" s="40"/>
      <c r="AP43" s="40"/>
      <c r="AQ43" s="40"/>
      <c r="AR43" s="40"/>
      <c r="AS43" s="40"/>
      <c r="AT43" s="41"/>
      <c r="AU43" s="1806"/>
      <c r="AV43" s="1517">
        <f t="shared" si="11"/>
        <v>0</v>
      </c>
      <c r="AW43" s="1517">
        <f t="shared" si="12"/>
        <v>0</v>
      </c>
      <c r="AX43" s="1517">
        <f t="shared" si="13"/>
        <v>0</v>
      </c>
      <c r="AY43" s="42">
        <f t="shared" si="14"/>
        <v>0</v>
      </c>
      <c r="AZ43" s="35">
        <f t="shared" si="15"/>
        <v>0</v>
      </c>
      <c r="BA43" s="35">
        <f t="shared" si="16"/>
        <v>0</v>
      </c>
      <c r="BB43" s="35">
        <f t="shared" si="17"/>
        <v>0</v>
      </c>
      <c r="BC43" s="35">
        <f t="shared" si="18"/>
        <v>0</v>
      </c>
      <c r="BD43" s="35">
        <f t="shared" si="19"/>
        <v>0</v>
      </c>
      <c r="BE43" s="35">
        <f t="shared" si="20"/>
        <v>0</v>
      </c>
      <c r="BF43" s="35">
        <f t="shared" si="21"/>
        <v>0</v>
      </c>
      <c r="BG43" s="35">
        <f t="shared" si="22"/>
        <v>0</v>
      </c>
      <c r="BH43" s="35">
        <f t="shared" si="23"/>
        <v>0</v>
      </c>
      <c r="BI43" s="35">
        <f t="shared" si="24"/>
        <v>0</v>
      </c>
      <c r="BJ43" s="35">
        <f t="shared" si="25"/>
        <v>0</v>
      </c>
      <c r="BK43" s="35">
        <f t="shared" si="26"/>
        <v>0</v>
      </c>
      <c r="BL43" s="35">
        <f t="shared" si="27"/>
        <v>0</v>
      </c>
      <c r="BM43" s="35">
        <f t="shared" si="28"/>
        <v>0</v>
      </c>
      <c r="BN43" s="35">
        <f t="shared" si="29"/>
        <v>0</v>
      </c>
      <c r="BO43" s="35">
        <f t="shared" si="30"/>
        <v>0</v>
      </c>
      <c r="BP43" s="35">
        <f t="shared" si="31"/>
        <v>0</v>
      </c>
      <c r="BQ43" s="35">
        <f t="shared" si="32"/>
        <v>0</v>
      </c>
      <c r="BR43" s="35">
        <f t="shared" si="33"/>
        <v>0</v>
      </c>
      <c r="BS43" s="35">
        <f t="shared" si="34"/>
        <v>0</v>
      </c>
      <c r="BT43" s="43">
        <f t="shared" si="35"/>
        <v>0</v>
      </c>
    </row>
    <row r="44" spans="1:72">
      <c r="A44" s="9"/>
      <c r="B44" s="34"/>
      <c r="C44" s="34"/>
      <c r="D44" s="1805"/>
      <c r="E44" s="35">
        <f t="shared" si="7"/>
        <v>0</v>
      </c>
      <c r="F44" s="36"/>
      <c r="G44" s="37">
        <f t="shared" si="8"/>
        <v>0</v>
      </c>
      <c r="H44" s="38">
        <f t="shared" si="9"/>
        <v>0</v>
      </c>
      <c r="I44" s="39"/>
      <c r="J44" s="39"/>
      <c r="K44" s="39"/>
      <c r="L44" s="39"/>
      <c r="M44" s="39"/>
      <c r="N44" s="39"/>
      <c r="O44" s="39"/>
      <c r="P44" s="39"/>
      <c r="Q44" s="39"/>
      <c r="R44" s="39"/>
      <c r="S44" s="39"/>
      <c r="T44" s="39"/>
      <c r="U44" s="39"/>
      <c r="V44" s="39"/>
      <c r="W44" s="39"/>
      <c r="X44" s="39"/>
      <c r="Y44" s="39"/>
      <c r="Z44" s="39"/>
      <c r="AA44" s="39"/>
      <c r="AB44" s="39"/>
      <c r="AC44" s="35">
        <f t="shared" si="10"/>
        <v>0</v>
      </c>
      <c r="AD44" s="40"/>
      <c r="AE44" s="40"/>
      <c r="AF44" s="40"/>
      <c r="AG44" s="40"/>
      <c r="AH44" s="40"/>
      <c r="AI44" s="40"/>
      <c r="AJ44" s="40"/>
      <c r="AK44" s="40"/>
      <c r="AL44" s="40"/>
      <c r="AM44" s="40"/>
      <c r="AN44" s="40"/>
      <c r="AO44" s="40"/>
      <c r="AP44" s="40"/>
      <c r="AQ44" s="40"/>
      <c r="AR44" s="40"/>
      <c r="AS44" s="40"/>
      <c r="AT44" s="41"/>
      <c r="AU44" s="1806"/>
      <c r="AV44" s="1517">
        <f t="shared" si="11"/>
        <v>0</v>
      </c>
      <c r="AW44" s="1517">
        <f t="shared" si="12"/>
        <v>0</v>
      </c>
      <c r="AX44" s="1517">
        <f t="shared" si="13"/>
        <v>0</v>
      </c>
      <c r="AY44" s="42">
        <f t="shared" si="14"/>
        <v>0</v>
      </c>
      <c r="AZ44" s="35">
        <f t="shared" si="15"/>
        <v>0</v>
      </c>
      <c r="BA44" s="35">
        <f t="shared" si="16"/>
        <v>0</v>
      </c>
      <c r="BB44" s="35">
        <f t="shared" si="17"/>
        <v>0</v>
      </c>
      <c r="BC44" s="35">
        <f t="shared" si="18"/>
        <v>0</v>
      </c>
      <c r="BD44" s="35">
        <f t="shared" si="19"/>
        <v>0</v>
      </c>
      <c r="BE44" s="35">
        <f t="shared" si="20"/>
        <v>0</v>
      </c>
      <c r="BF44" s="35">
        <f t="shared" si="21"/>
        <v>0</v>
      </c>
      <c r="BG44" s="35">
        <f t="shared" si="22"/>
        <v>0</v>
      </c>
      <c r="BH44" s="35">
        <f t="shared" si="23"/>
        <v>0</v>
      </c>
      <c r="BI44" s="35">
        <f t="shared" si="24"/>
        <v>0</v>
      </c>
      <c r="BJ44" s="35">
        <f t="shared" si="25"/>
        <v>0</v>
      </c>
      <c r="BK44" s="35">
        <f t="shared" si="26"/>
        <v>0</v>
      </c>
      <c r="BL44" s="35">
        <f t="shared" si="27"/>
        <v>0</v>
      </c>
      <c r="BM44" s="35">
        <f t="shared" si="28"/>
        <v>0</v>
      </c>
      <c r="BN44" s="35">
        <f t="shared" si="29"/>
        <v>0</v>
      </c>
      <c r="BO44" s="35">
        <f t="shared" si="30"/>
        <v>0</v>
      </c>
      <c r="BP44" s="35">
        <f t="shared" si="31"/>
        <v>0</v>
      </c>
      <c r="BQ44" s="35">
        <f t="shared" si="32"/>
        <v>0</v>
      </c>
      <c r="BR44" s="35">
        <f t="shared" si="33"/>
        <v>0</v>
      </c>
      <c r="BS44" s="35">
        <f t="shared" si="34"/>
        <v>0</v>
      </c>
      <c r="BT44" s="43">
        <f t="shared" si="35"/>
        <v>0</v>
      </c>
    </row>
    <row r="45" spans="1:72">
      <c r="A45" s="9"/>
      <c r="B45" s="34"/>
      <c r="C45" s="34"/>
      <c r="D45" s="1805"/>
      <c r="E45" s="35">
        <f t="shared" si="7"/>
        <v>0</v>
      </c>
      <c r="F45" s="36"/>
      <c r="G45" s="37">
        <f t="shared" si="8"/>
        <v>0</v>
      </c>
      <c r="H45" s="38">
        <f t="shared" si="9"/>
        <v>0</v>
      </c>
      <c r="I45" s="39"/>
      <c r="J45" s="39"/>
      <c r="K45" s="39"/>
      <c r="L45" s="39"/>
      <c r="M45" s="39"/>
      <c r="N45" s="39"/>
      <c r="O45" s="39"/>
      <c r="P45" s="39"/>
      <c r="Q45" s="39"/>
      <c r="R45" s="39"/>
      <c r="S45" s="39"/>
      <c r="T45" s="39"/>
      <c r="U45" s="39"/>
      <c r="V45" s="39"/>
      <c r="W45" s="39"/>
      <c r="X45" s="39"/>
      <c r="Y45" s="39"/>
      <c r="Z45" s="39"/>
      <c r="AA45" s="39"/>
      <c r="AB45" s="39"/>
      <c r="AC45" s="35">
        <f t="shared" si="10"/>
        <v>0</v>
      </c>
      <c r="AD45" s="40"/>
      <c r="AE45" s="40"/>
      <c r="AF45" s="40"/>
      <c r="AG45" s="40"/>
      <c r="AH45" s="40"/>
      <c r="AI45" s="40"/>
      <c r="AJ45" s="40"/>
      <c r="AK45" s="40"/>
      <c r="AL45" s="40"/>
      <c r="AM45" s="40"/>
      <c r="AN45" s="40"/>
      <c r="AO45" s="40"/>
      <c r="AP45" s="40"/>
      <c r="AQ45" s="40"/>
      <c r="AR45" s="40"/>
      <c r="AS45" s="40"/>
      <c r="AT45" s="41"/>
      <c r="AU45" s="1806"/>
      <c r="AV45" s="1517">
        <f t="shared" si="11"/>
        <v>0</v>
      </c>
      <c r="AW45" s="1517">
        <f t="shared" si="12"/>
        <v>0</v>
      </c>
      <c r="AX45" s="1517">
        <f t="shared" si="13"/>
        <v>0</v>
      </c>
      <c r="AY45" s="42">
        <f t="shared" si="14"/>
        <v>0</v>
      </c>
      <c r="AZ45" s="35">
        <f t="shared" si="15"/>
        <v>0</v>
      </c>
      <c r="BA45" s="35">
        <f t="shared" si="16"/>
        <v>0</v>
      </c>
      <c r="BB45" s="35">
        <f t="shared" si="17"/>
        <v>0</v>
      </c>
      <c r="BC45" s="35">
        <f t="shared" si="18"/>
        <v>0</v>
      </c>
      <c r="BD45" s="35">
        <f t="shared" si="19"/>
        <v>0</v>
      </c>
      <c r="BE45" s="35">
        <f t="shared" si="20"/>
        <v>0</v>
      </c>
      <c r="BF45" s="35">
        <f t="shared" si="21"/>
        <v>0</v>
      </c>
      <c r="BG45" s="35">
        <f t="shared" si="22"/>
        <v>0</v>
      </c>
      <c r="BH45" s="35">
        <f t="shared" si="23"/>
        <v>0</v>
      </c>
      <c r="BI45" s="35">
        <f t="shared" si="24"/>
        <v>0</v>
      </c>
      <c r="BJ45" s="35">
        <f t="shared" si="25"/>
        <v>0</v>
      </c>
      <c r="BK45" s="35">
        <f t="shared" si="26"/>
        <v>0</v>
      </c>
      <c r="BL45" s="35">
        <f t="shared" si="27"/>
        <v>0</v>
      </c>
      <c r="BM45" s="35">
        <f t="shared" si="28"/>
        <v>0</v>
      </c>
      <c r="BN45" s="35">
        <f t="shared" si="29"/>
        <v>0</v>
      </c>
      <c r="BO45" s="35">
        <f t="shared" si="30"/>
        <v>0</v>
      </c>
      <c r="BP45" s="35">
        <f t="shared" si="31"/>
        <v>0</v>
      </c>
      <c r="BQ45" s="35">
        <f t="shared" si="32"/>
        <v>0</v>
      </c>
      <c r="BR45" s="35">
        <f t="shared" si="33"/>
        <v>0</v>
      </c>
      <c r="BS45" s="35">
        <f t="shared" si="34"/>
        <v>0</v>
      </c>
      <c r="BT45" s="43">
        <f t="shared" si="35"/>
        <v>0</v>
      </c>
    </row>
    <row r="46" spans="1:72">
      <c r="A46" s="9"/>
      <c r="B46" s="34"/>
      <c r="C46" s="34"/>
      <c r="D46" s="1805"/>
      <c r="E46" s="35">
        <f t="shared" si="7"/>
        <v>0</v>
      </c>
      <c r="F46" s="36"/>
      <c r="G46" s="37">
        <f t="shared" si="8"/>
        <v>0</v>
      </c>
      <c r="H46" s="38">
        <f t="shared" si="9"/>
        <v>0</v>
      </c>
      <c r="I46" s="39"/>
      <c r="J46" s="39"/>
      <c r="K46" s="39"/>
      <c r="L46" s="39"/>
      <c r="M46" s="39"/>
      <c r="N46" s="39"/>
      <c r="O46" s="39"/>
      <c r="P46" s="39"/>
      <c r="Q46" s="39"/>
      <c r="R46" s="39"/>
      <c r="S46" s="39"/>
      <c r="T46" s="39"/>
      <c r="U46" s="39"/>
      <c r="V46" s="39"/>
      <c r="W46" s="39"/>
      <c r="X46" s="39"/>
      <c r="Y46" s="39"/>
      <c r="Z46" s="39"/>
      <c r="AA46" s="39"/>
      <c r="AB46" s="39"/>
      <c r="AC46" s="35">
        <f t="shared" si="10"/>
        <v>0</v>
      </c>
      <c r="AD46" s="40"/>
      <c r="AE46" s="40"/>
      <c r="AF46" s="40"/>
      <c r="AG46" s="40"/>
      <c r="AH46" s="40"/>
      <c r="AI46" s="40"/>
      <c r="AJ46" s="40"/>
      <c r="AK46" s="40"/>
      <c r="AL46" s="40"/>
      <c r="AM46" s="40"/>
      <c r="AN46" s="40"/>
      <c r="AO46" s="40"/>
      <c r="AP46" s="40"/>
      <c r="AQ46" s="40"/>
      <c r="AR46" s="40"/>
      <c r="AS46" s="40"/>
      <c r="AT46" s="41"/>
      <c r="AU46" s="1806"/>
      <c r="AV46" s="1517">
        <f t="shared" si="11"/>
        <v>0</v>
      </c>
      <c r="AW46" s="1517">
        <f t="shared" si="12"/>
        <v>0</v>
      </c>
      <c r="AX46" s="1517">
        <f t="shared" si="13"/>
        <v>0</v>
      </c>
      <c r="AY46" s="42">
        <f t="shared" si="14"/>
        <v>0</v>
      </c>
      <c r="AZ46" s="35">
        <f t="shared" si="15"/>
        <v>0</v>
      </c>
      <c r="BA46" s="35">
        <f t="shared" si="16"/>
        <v>0</v>
      </c>
      <c r="BB46" s="35">
        <f t="shared" si="17"/>
        <v>0</v>
      </c>
      <c r="BC46" s="35">
        <f t="shared" si="18"/>
        <v>0</v>
      </c>
      <c r="BD46" s="35">
        <f t="shared" si="19"/>
        <v>0</v>
      </c>
      <c r="BE46" s="35">
        <f t="shared" si="20"/>
        <v>0</v>
      </c>
      <c r="BF46" s="35">
        <f t="shared" si="21"/>
        <v>0</v>
      </c>
      <c r="BG46" s="35">
        <f t="shared" si="22"/>
        <v>0</v>
      </c>
      <c r="BH46" s="35">
        <f t="shared" si="23"/>
        <v>0</v>
      </c>
      <c r="BI46" s="35">
        <f t="shared" si="24"/>
        <v>0</v>
      </c>
      <c r="BJ46" s="35">
        <f t="shared" si="25"/>
        <v>0</v>
      </c>
      <c r="BK46" s="35">
        <f t="shared" si="26"/>
        <v>0</v>
      </c>
      <c r="BL46" s="35">
        <f t="shared" si="27"/>
        <v>0</v>
      </c>
      <c r="BM46" s="35">
        <f t="shared" si="28"/>
        <v>0</v>
      </c>
      <c r="BN46" s="35">
        <f t="shared" si="29"/>
        <v>0</v>
      </c>
      <c r="BO46" s="35">
        <f t="shared" si="30"/>
        <v>0</v>
      </c>
      <c r="BP46" s="35">
        <f t="shared" si="31"/>
        <v>0</v>
      </c>
      <c r="BQ46" s="35">
        <f t="shared" si="32"/>
        <v>0</v>
      </c>
      <c r="BR46" s="35">
        <f t="shared" si="33"/>
        <v>0</v>
      </c>
      <c r="BS46" s="35">
        <f t="shared" si="34"/>
        <v>0</v>
      </c>
      <c r="BT46" s="43">
        <f t="shared" si="35"/>
        <v>0</v>
      </c>
    </row>
    <row r="47" spans="1:72">
      <c r="A47" s="9"/>
      <c r="B47" s="34"/>
      <c r="C47" s="34"/>
      <c r="D47" s="1805"/>
      <c r="E47" s="35">
        <f t="shared" si="7"/>
        <v>0</v>
      </c>
      <c r="F47" s="36"/>
      <c r="G47" s="37">
        <f t="shared" si="8"/>
        <v>0</v>
      </c>
      <c r="H47" s="38">
        <f t="shared" si="9"/>
        <v>0</v>
      </c>
      <c r="I47" s="39"/>
      <c r="J47" s="39"/>
      <c r="K47" s="39"/>
      <c r="L47" s="39"/>
      <c r="M47" s="39"/>
      <c r="N47" s="39"/>
      <c r="O47" s="39"/>
      <c r="P47" s="39"/>
      <c r="Q47" s="39"/>
      <c r="R47" s="39"/>
      <c r="S47" s="39"/>
      <c r="T47" s="39"/>
      <c r="U47" s="39"/>
      <c r="V47" s="39"/>
      <c r="W47" s="39"/>
      <c r="X47" s="39"/>
      <c r="Y47" s="39"/>
      <c r="Z47" s="39"/>
      <c r="AA47" s="39"/>
      <c r="AB47" s="39"/>
      <c r="AC47" s="35">
        <f t="shared" si="10"/>
        <v>0</v>
      </c>
      <c r="AD47" s="40"/>
      <c r="AE47" s="40"/>
      <c r="AF47" s="40"/>
      <c r="AG47" s="40"/>
      <c r="AH47" s="40"/>
      <c r="AI47" s="40"/>
      <c r="AJ47" s="40"/>
      <c r="AK47" s="40"/>
      <c r="AL47" s="40"/>
      <c r="AM47" s="40"/>
      <c r="AN47" s="40"/>
      <c r="AO47" s="40"/>
      <c r="AP47" s="40"/>
      <c r="AQ47" s="40"/>
      <c r="AR47" s="40"/>
      <c r="AS47" s="40"/>
      <c r="AT47" s="41"/>
      <c r="AU47" s="1806"/>
      <c r="AV47" s="1517">
        <f t="shared" si="11"/>
        <v>0</v>
      </c>
      <c r="AW47" s="1517">
        <f t="shared" si="12"/>
        <v>0</v>
      </c>
      <c r="AX47" s="1517">
        <f t="shared" si="13"/>
        <v>0</v>
      </c>
      <c r="AY47" s="42">
        <f t="shared" si="14"/>
        <v>0</v>
      </c>
      <c r="AZ47" s="35">
        <f t="shared" si="15"/>
        <v>0</v>
      </c>
      <c r="BA47" s="35">
        <f t="shared" si="16"/>
        <v>0</v>
      </c>
      <c r="BB47" s="35">
        <f t="shared" si="17"/>
        <v>0</v>
      </c>
      <c r="BC47" s="35">
        <f t="shared" si="18"/>
        <v>0</v>
      </c>
      <c r="BD47" s="35">
        <f t="shared" si="19"/>
        <v>0</v>
      </c>
      <c r="BE47" s="35">
        <f t="shared" si="20"/>
        <v>0</v>
      </c>
      <c r="BF47" s="35">
        <f t="shared" si="21"/>
        <v>0</v>
      </c>
      <c r="BG47" s="35">
        <f t="shared" si="22"/>
        <v>0</v>
      </c>
      <c r="BH47" s="35">
        <f t="shared" si="23"/>
        <v>0</v>
      </c>
      <c r="BI47" s="35">
        <f t="shared" si="24"/>
        <v>0</v>
      </c>
      <c r="BJ47" s="35">
        <f t="shared" si="25"/>
        <v>0</v>
      </c>
      <c r="BK47" s="35">
        <f t="shared" si="26"/>
        <v>0</v>
      </c>
      <c r="BL47" s="35">
        <f t="shared" si="27"/>
        <v>0</v>
      </c>
      <c r="BM47" s="35">
        <f t="shared" si="28"/>
        <v>0</v>
      </c>
      <c r="BN47" s="35">
        <f t="shared" si="29"/>
        <v>0</v>
      </c>
      <c r="BO47" s="35">
        <f t="shared" si="30"/>
        <v>0</v>
      </c>
      <c r="BP47" s="35">
        <f t="shared" si="31"/>
        <v>0</v>
      </c>
      <c r="BQ47" s="35">
        <f t="shared" si="32"/>
        <v>0</v>
      </c>
      <c r="BR47" s="35">
        <f t="shared" si="33"/>
        <v>0</v>
      </c>
      <c r="BS47" s="35">
        <f t="shared" si="34"/>
        <v>0</v>
      </c>
      <c r="BT47" s="43">
        <f t="shared" si="35"/>
        <v>0</v>
      </c>
    </row>
    <row r="48" spans="1:72">
      <c r="A48" s="9"/>
      <c r="B48" s="34"/>
      <c r="C48" s="34"/>
      <c r="D48" s="1805"/>
      <c r="E48" s="35">
        <f t="shared" si="7"/>
        <v>0</v>
      </c>
      <c r="F48" s="36"/>
      <c r="G48" s="37">
        <f t="shared" si="8"/>
        <v>0</v>
      </c>
      <c r="H48" s="38">
        <f t="shared" si="9"/>
        <v>0</v>
      </c>
      <c r="I48" s="39"/>
      <c r="J48" s="39"/>
      <c r="K48" s="39"/>
      <c r="L48" s="39"/>
      <c r="M48" s="39"/>
      <c r="N48" s="39"/>
      <c r="O48" s="39"/>
      <c r="P48" s="39"/>
      <c r="Q48" s="39"/>
      <c r="R48" s="39"/>
      <c r="S48" s="39"/>
      <c r="T48" s="39"/>
      <c r="U48" s="39"/>
      <c r="V48" s="39"/>
      <c r="W48" s="39"/>
      <c r="X48" s="39"/>
      <c r="Y48" s="39"/>
      <c r="Z48" s="39"/>
      <c r="AA48" s="39"/>
      <c r="AB48" s="39"/>
      <c r="AC48" s="35">
        <f t="shared" si="10"/>
        <v>0</v>
      </c>
      <c r="AD48" s="40"/>
      <c r="AE48" s="40"/>
      <c r="AF48" s="40"/>
      <c r="AG48" s="40"/>
      <c r="AH48" s="40"/>
      <c r="AI48" s="40"/>
      <c r="AJ48" s="40"/>
      <c r="AK48" s="40"/>
      <c r="AL48" s="40"/>
      <c r="AM48" s="40"/>
      <c r="AN48" s="40"/>
      <c r="AO48" s="40"/>
      <c r="AP48" s="40"/>
      <c r="AQ48" s="40"/>
      <c r="AR48" s="40"/>
      <c r="AS48" s="40"/>
      <c r="AT48" s="41"/>
      <c r="AU48" s="1806"/>
      <c r="AV48" s="1517">
        <f t="shared" si="11"/>
        <v>0</v>
      </c>
      <c r="AW48" s="1517">
        <f t="shared" si="12"/>
        <v>0</v>
      </c>
      <c r="AX48" s="1517">
        <f t="shared" si="13"/>
        <v>0</v>
      </c>
      <c r="AY48" s="42">
        <f t="shared" si="14"/>
        <v>0</v>
      </c>
      <c r="AZ48" s="35">
        <f t="shared" si="15"/>
        <v>0</v>
      </c>
      <c r="BA48" s="35">
        <f t="shared" si="16"/>
        <v>0</v>
      </c>
      <c r="BB48" s="35">
        <f t="shared" si="17"/>
        <v>0</v>
      </c>
      <c r="BC48" s="35">
        <f t="shared" si="18"/>
        <v>0</v>
      </c>
      <c r="BD48" s="35">
        <f t="shared" si="19"/>
        <v>0</v>
      </c>
      <c r="BE48" s="35">
        <f t="shared" si="20"/>
        <v>0</v>
      </c>
      <c r="BF48" s="35">
        <f t="shared" si="21"/>
        <v>0</v>
      </c>
      <c r="BG48" s="35">
        <f t="shared" si="22"/>
        <v>0</v>
      </c>
      <c r="BH48" s="35">
        <f t="shared" si="23"/>
        <v>0</v>
      </c>
      <c r="BI48" s="35">
        <f t="shared" si="24"/>
        <v>0</v>
      </c>
      <c r="BJ48" s="35">
        <f t="shared" si="25"/>
        <v>0</v>
      </c>
      <c r="BK48" s="35">
        <f t="shared" si="26"/>
        <v>0</v>
      </c>
      <c r="BL48" s="35">
        <f t="shared" si="27"/>
        <v>0</v>
      </c>
      <c r="BM48" s="35">
        <f t="shared" si="28"/>
        <v>0</v>
      </c>
      <c r="BN48" s="35">
        <f t="shared" si="29"/>
        <v>0</v>
      </c>
      <c r="BO48" s="35">
        <f t="shared" si="30"/>
        <v>0</v>
      </c>
      <c r="BP48" s="35">
        <f t="shared" si="31"/>
        <v>0</v>
      </c>
      <c r="BQ48" s="35">
        <f t="shared" si="32"/>
        <v>0</v>
      </c>
      <c r="BR48" s="35">
        <f t="shared" si="33"/>
        <v>0</v>
      </c>
      <c r="BS48" s="35">
        <f t="shared" si="34"/>
        <v>0</v>
      </c>
      <c r="BT48" s="43">
        <f t="shared" si="35"/>
        <v>0</v>
      </c>
    </row>
    <row r="49" spans="1:72">
      <c r="A49" s="9"/>
      <c r="B49" s="34"/>
      <c r="C49" s="34"/>
      <c r="D49" s="1805"/>
      <c r="E49" s="35">
        <f t="shared" si="7"/>
        <v>0</v>
      </c>
      <c r="F49" s="36"/>
      <c r="G49" s="37">
        <f t="shared" si="8"/>
        <v>0</v>
      </c>
      <c r="H49" s="38">
        <f t="shared" si="9"/>
        <v>0</v>
      </c>
      <c r="I49" s="39"/>
      <c r="J49" s="39"/>
      <c r="K49" s="39"/>
      <c r="L49" s="39"/>
      <c r="M49" s="39"/>
      <c r="N49" s="39"/>
      <c r="O49" s="39"/>
      <c r="P49" s="39"/>
      <c r="Q49" s="39"/>
      <c r="R49" s="39"/>
      <c r="S49" s="39"/>
      <c r="T49" s="39"/>
      <c r="U49" s="39"/>
      <c r="V49" s="39"/>
      <c r="W49" s="39"/>
      <c r="X49" s="39"/>
      <c r="Y49" s="39"/>
      <c r="Z49" s="39"/>
      <c r="AA49" s="39"/>
      <c r="AB49" s="39"/>
      <c r="AC49" s="35">
        <f t="shared" si="10"/>
        <v>0</v>
      </c>
      <c r="AD49" s="40"/>
      <c r="AE49" s="40"/>
      <c r="AF49" s="40"/>
      <c r="AG49" s="40"/>
      <c r="AH49" s="40"/>
      <c r="AI49" s="40"/>
      <c r="AJ49" s="40"/>
      <c r="AK49" s="40"/>
      <c r="AL49" s="40"/>
      <c r="AM49" s="40"/>
      <c r="AN49" s="40"/>
      <c r="AO49" s="40"/>
      <c r="AP49" s="40"/>
      <c r="AQ49" s="40"/>
      <c r="AR49" s="40"/>
      <c r="AS49" s="40"/>
      <c r="AT49" s="41"/>
      <c r="AU49" s="1806"/>
      <c r="AV49" s="1517">
        <f t="shared" si="11"/>
        <v>0</v>
      </c>
      <c r="AW49" s="1517">
        <f t="shared" si="12"/>
        <v>0</v>
      </c>
      <c r="AX49" s="1517">
        <f t="shared" si="13"/>
        <v>0</v>
      </c>
      <c r="AY49" s="42">
        <f t="shared" si="14"/>
        <v>0</v>
      </c>
      <c r="AZ49" s="35">
        <f t="shared" si="15"/>
        <v>0</v>
      </c>
      <c r="BA49" s="35">
        <f t="shared" si="16"/>
        <v>0</v>
      </c>
      <c r="BB49" s="35">
        <f t="shared" si="17"/>
        <v>0</v>
      </c>
      <c r="BC49" s="35">
        <f t="shared" si="18"/>
        <v>0</v>
      </c>
      <c r="BD49" s="35">
        <f t="shared" si="19"/>
        <v>0</v>
      </c>
      <c r="BE49" s="35">
        <f t="shared" si="20"/>
        <v>0</v>
      </c>
      <c r="BF49" s="35">
        <f t="shared" si="21"/>
        <v>0</v>
      </c>
      <c r="BG49" s="35">
        <f t="shared" si="22"/>
        <v>0</v>
      </c>
      <c r="BH49" s="35">
        <f t="shared" si="23"/>
        <v>0</v>
      </c>
      <c r="BI49" s="35">
        <f t="shared" si="24"/>
        <v>0</v>
      </c>
      <c r="BJ49" s="35">
        <f t="shared" si="25"/>
        <v>0</v>
      </c>
      <c r="BK49" s="35">
        <f t="shared" si="26"/>
        <v>0</v>
      </c>
      <c r="BL49" s="35">
        <f t="shared" si="27"/>
        <v>0</v>
      </c>
      <c r="BM49" s="35">
        <f t="shared" si="28"/>
        <v>0</v>
      </c>
      <c r="BN49" s="35">
        <f t="shared" si="29"/>
        <v>0</v>
      </c>
      <c r="BO49" s="35">
        <f t="shared" si="30"/>
        <v>0</v>
      </c>
      <c r="BP49" s="35">
        <f t="shared" si="31"/>
        <v>0</v>
      </c>
      <c r="BQ49" s="35">
        <f t="shared" si="32"/>
        <v>0</v>
      </c>
      <c r="BR49" s="35">
        <f t="shared" si="33"/>
        <v>0</v>
      </c>
      <c r="BS49" s="35">
        <f t="shared" si="34"/>
        <v>0</v>
      </c>
      <c r="BT49" s="43">
        <f t="shared" si="35"/>
        <v>0</v>
      </c>
    </row>
    <row r="50" spans="1:72">
      <c r="A50" s="9"/>
      <c r="B50" s="34"/>
      <c r="C50" s="34"/>
      <c r="D50" s="1805"/>
      <c r="E50" s="35">
        <f t="shared" si="7"/>
        <v>0</v>
      </c>
      <c r="F50" s="36"/>
      <c r="G50" s="37">
        <f t="shared" si="8"/>
        <v>0</v>
      </c>
      <c r="H50" s="38">
        <f t="shared" si="9"/>
        <v>0</v>
      </c>
      <c r="I50" s="39"/>
      <c r="J50" s="39"/>
      <c r="K50" s="39"/>
      <c r="L50" s="39"/>
      <c r="M50" s="39"/>
      <c r="N50" s="39"/>
      <c r="O50" s="39"/>
      <c r="P50" s="39"/>
      <c r="Q50" s="39"/>
      <c r="R50" s="39"/>
      <c r="S50" s="39"/>
      <c r="T50" s="39"/>
      <c r="U50" s="39"/>
      <c r="V50" s="39"/>
      <c r="W50" s="39"/>
      <c r="X50" s="39"/>
      <c r="Y50" s="39"/>
      <c r="Z50" s="39"/>
      <c r="AA50" s="39"/>
      <c r="AB50" s="39"/>
      <c r="AC50" s="35">
        <f t="shared" si="10"/>
        <v>0</v>
      </c>
      <c r="AD50" s="40"/>
      <c r="AE50" s="40"/>
      <c r="AF50" s="40"/>
      <c r="AG50" s="40"/>
      <c r="AH50" s="40"/>
      <c r="AI50" s="40"/>
      <c r="AJ50" s="40"/>
      <c r="AK50" s="40"/>
      <c r="AL50" s="40"/>
      <c r="AM50" s="40"/>
      <c r="AN50" s="40"/>
      <c r="AO50" s="40"/>
      <c r="AP50" s="40"/>
      <c r="AQ50" s="40"/>
      <c r="AR50" s="40"/>
      <c r="AS50" s="40"/>
      <c r="AT50" s="41"/>
      <c r="AU50" s="1806"/>
      <c r="AV50" s="1517">
        <f t="shared" si="11"/>
        <v>0</v>
      </c>
      <c r="AW50" s="1517">
        <f t="shared" si="12"/>
        <v>0</v>
      </c>
      <c r="AX50" s="1517">
        <f t="shared" si="13"/>
        <v>0</v>
      </c>
      <c r="AY50" s="42">
        <f t="shared" si="14"/>
        <v>0</v>
      </c>
      <c r="AZ50" s="35">
        <f t="shared" si="15"/>
        <v>0</v>
      </c>
      <c r="BA50" s="35">
        <f t="shared" si="16"/>
        <v>0</v>
      </c>
      <c r="BB50" s="35">
        <f t="shared" si="17"/>
        <v>0</v>
      </c>
      <c r="BC50" s="35">
        <f t="shared" si="18"/>
        <v>0</v>
      </c>
      <c r="BD50" s="35">
        <f t="shared" si="19"/>
        <v>0</v>
      </c>
      <c r="BE50" s="35">
        <f t="shared" si="20"/>
        <v>0</v>
      </c>
      <c r="BF50" s="35">
        <f t="shared" si="21"/>
        <v>0</v>
      </c>
      <c r="BG50" s="35">
        <f t="shared" si="22"/>
        <v>0</v>
      </c>
      <c r="BH50" s="35">
        <f t="shared" si="23"/>
        <v>0</v>
      </c>
      <c r="BI50" s="35">
        <f t="shared" si="24"/>
        <v>0</v>
      </c>
      <c r="BJ50" s="35">
        <f t="shared" si="25"/>
        <v>0</v>
      </c>
      <c r="BK50" s="35">
        <f t="shared" si="26"/>
        <v>0</v>
      </c>
      <c r="BL50" s="35">
        <f t="shared" si="27"/>
        <v>0</v>
      </c>
      <c r="BM50" s="35">
        <f t="shared" si="28"/>
        <v>0</v>
      </c>
      <c r="BN50" s="35">
        <f t="shared" si="29"/>
        <v>0</v>
      </c>
      <c r="BO50" s="35">
        <f t="shared" si="30"/>
        <v>0</v>
      </c>
      <c r="BP50" s="35">
        <f t="shared" si="31"/>
        <v>0</v>
      </c>
      <c r="BQ50" s="35">
        <f t="shared" si="32"/>
        <v>0</v>
      </c>
      <c r="BR50" s="35">
        <f t="shared" si="33"/>
        <v>0</v>
      </c>
      <c r="BS50" s="35">
        <f t="shared" si="34"/>
        <v>0</v>
      </c>
      <c r="BT50" s="43">
        <f t="shared" si="35"/>
        <v>0</v>
      </c>
    </row>
    <row r="51" spans="1:72">
      <c r="A51" s="9"/>
      <c r="B51" s="34"/>
      <c r="C51" s="34"/>
      <c r="D51" s="1805"/>
      <c r="E51" s="35">
        <f t="shared" si="7"/>
        <v>0</v>
      </c>
      <c r="F51" s="36"/>
      <c r="G51" s="37">
        <f t="shared" si="8"/>
        <v>0</v>
      </c>
      <c r="H51" s="38">
        <f t="shared" si="9"/>
        <v>0</v>
      </c>
      <c r="I51" s="39"/>
      <c r="J51" s="39"/>
      <c r="K51" s="39"/>
      <c r="L51" s="39"/>
      <c r="M51" s="39"/>
      <c r="N51" s="39"/>
      <c r="O51" s="39"/>
      <c r="P51" s="39"/>
      <c r="Q51" s="39"/>
      <c r="R51" s="39"/>
      <c r="S51" s="39"/>
      <c r="T51" s="39"/>
      <c r="U51" s="39"/>
      <c r="V51" s="39"/>
      <c r="W51" s="39"/>
      <c r="X51" s="39"/>
      <c r="Y51" s="39"/>
      <c r="Z51" s="39"/>
      <c r="AA51" s="39"/>
      <c r="AB51" s="39"/>
      <c r="AC51" s="35">
        <f t="shared" si="10"/>
        <v>0</v>
      </c>
      <c r="AD51" s="40"/>
      <c r="AE51" s="40"/>
      <c r="AF51" s="40"/>
      <c r="AG51" s="40"/>
      <c r="AH51" s="40"/>
      <c r="AI51" s="40"/>
      <c r="AJ51" s="40"/>
      <c r="AK51" s="40"/>
      <c r="AL51" s="40"/>
      <c r="AM51" s="40"/>
      <c r="AN51" s="40"/>
      <c r="AO51" s="40"/>
      <c r="AP51" s="40"/>
      <c r="AQ51" s="40"/>
      <c r="AR51" s="40"/>
      <c r="AS51" s="40"/>
      <c r="AT51" s="41"/>
      <c r="AU51" s="1806"/>
      <c r="AV51" s="1517">
        <f t="shared" si="11"/>
        <v>0</v>
      </c>
      <c r="AW51" s="1517">
        <f t="shared" si="12"/>
        <v>0</v>
      </c>
      <c r="AX51" s="1517">
        <f t="shared" si="13"/>
        <v>0</v>
      </c>
      <c r="AY51" s="42">
        <f t="shared" si="14"/>
        <v>0</v>
      </c>
      <c r="AZ51" s="35">
        <f t="shared" si="15"/>
        <v>0</v>
      </c>
      <c r="BA51" s="35">
        <f t="shared" si="16"/>
        <v>0</v>
      </c>
      <c r="BB51" s="35">
        <f t="shared" si="17"/>
        <v>0</v>
      </c>
      <c r="BC51" s="35">
        <f t="shared" si="18"/>
        <v>0</v>
      </c>
      <c r="BD51" s="35">
        <f t="shared" si="19"/>
        <v>0</v>
      </c>
      <c r="BE51" s="35">
        <f t="shared" si="20"/>
        <v>0</v>
      </c>
      <c r="BF51" s="35">
        <f t="shared" si="21"/>
        <v>0</v>
      </c>
      <c r="BG51" s="35">
        <f t="shared" si="22"/>
        <v>0</v>
      </c>
      <c r="BH51" s="35">
        <f t="shared" si="23"/>
        <v>0</v>
      </c>
      <c r="BI51" s="35">
        <f t="shared" si="24"/>
        <v>0</v>
      </c>
      <c r="BJ51" s="35">
        <f t="shared" si="25"/>
        <v>0</v>
      </c>
      <c r="BK51" s="35">
        <f t="shared" si="26"/>
        <v>0</v>
      </c>
      <c r="BL51" s="35">
        <f t="shared" si="27"/>
        <v>0</v>
      </c>
      <c r="BM51" s="35">
        <f t="shared" si="28"/>
        <v>0</v>
      </c>
      <c r="BN51" s="35">
        <f t="shared" si="29"/>
        <v>0</v>
      </c>
      <c r="BO51" s="35">
        <f t="shared" si="30"/>
        <v>0</v>
      </c>
      <c r="BP51" s="35">
        <f t="shared" si="31"/>
        <v>0</v>
      </c>
      <c r="BQ51" s="35">
        <f t="shared" si="32"/>
        <v>0</v>
      </c>
      <c r="BR51" s="35">
        <f t="shared" si="33"/>
        <v>0</v>
      </c>
      <c r="BS51" s="35">
        <f t="shared" si="34"/>
        <v>0</v>
      </c>
      <c r="BT51" s="43">
        <f t="shared" si="35"/>
        <v>0</v>
      </c>
    </row>
    <row r="52" spans="1:72">
      <c r="A52" s="9"/>
      <c r="B52" s="34"/>
      <c r="C52" s="34"/>
      <c r="D52" s="1805"/>
      <c r="E52" s="35">
        <f t="shared" si="7"/>
        <v>0</v>
      </c>
      <c r="F52" s="36"/>
      <c r="G52" s="37">
        <f t="shared" si="8"/>
        <v>0</v>
      </c>
      <c r="H52" s="38">
        <f t="shared" si="9"/>
        <v>0</v>
      </c>
      <c r="I52" s="39"/>
      <c r="J52" s="39"/>
      <c r="K52" s="39"/>
      <c r="L52" s="39"/>
      <c r="M52" s="39"/>
      <c r="N52" s="39"/>
      <c r="O52" s="39"/>
      <c r="P52" s="39"/>
      <c r="Q52" s="39"/>
      <c r="R52" s="39"/>
      <c r="S52" s="39"/>
      <c r="T52" s="39"/>
      <c r="U52" s="39"/>
      <c r="V52" s="39"/>
      <c r="W52" s="39"/>
      <c r="X52" s="39"/>
      <c r="Y52" s="39"/>
      <c r="Z52" s="39"/>
      <c r="AA52" s="39"/>
      <c r="AB52" s="39"/>
      <c r="AC52" s="35">
        <f t="shared" si="10"/>
        <v>0</v>
      </c>
      <c r="AD52" s="40"/>
      <c r="AE52" s="40"/>
      <c r="AF52" s="40"/>
      <c r="AG52" s="40"/>
      <c r="AH52" s="40"/>
      <c r="AI52" s="40"/>
      <c r="AJ52" s="40"/>
      <c r="AK52" s="40"/>
      <c r="AL52" s="40"/>
      <c r="AM52" s="40"/>
      <c r="AN52" s="40"/>
      <c r="AO52" s="40"/>
      <c r="AP52" s="40"/>
      <c r="AQ52" s="40"/>
      <c r="AR52" s="40"/>
      <c r="AS52" s="40"/>
      <c r="AT52" s="41"/>
      <c r="AU52" s="1806"/>
      <c r="AV52" s="1517">
        <f t="shared" si="11"/>
        <v>0</v>
      </c>
      <c r="AW52" s="1517">
        <f t="shared" si="12"/>
        <v>0</v>
      </c>
      <c r="AX52" s="1517">
        <f t="shared" si="13"/>
        <v>0</v>
      </c>
      <c r="AY52" s="42">
        <f t="shared" si="14"/>
        <v>0</v>
      </c>
      <c r="AZ52" s="35">
        <f t="shared" si="15"/>
        <v>0</v>
      </c>
      <c r="BA52" s="35">
        <f t="shared" si="16"/>
        <v>0</v>
      </c>
      <c r="BB52" s="35">
        <f t="shared" si="17"/>
        <v>0</v>
      </c>
      <c r="BC52" s="35">
        <f t="shared" si="18"/>
        <v>0</v>
      </c>
      <c r="BD52" s="35">
        <f t="shared" si="19"/>
        <v>0</v>
      </c>
      <c r="BE52" s="35">
        <f t="shared" si="20"/>
        <v>0</v>
      </c>
      <c r="BF52" s="35">
        <f t="shared" si="21"/>
        <v>0</v>
      </c>
      <c r="BG52" s="35">
        <f t="shared" si="22"/>
        <v>0</v>
      </c>
      <c r="BH52" s="35">
        <f t="shared" si="23"/>
        <v>0</v>
      </c>
      <c r="BI52" s="35">
        <f t="shared" si="24"/>
        <v>0</v>
      </c>
      <c r="BJ52" s="35">
        <f t="shared" si="25"/>
        <v>0</v>
      </c>
      <c r="BK52" s="35">
        <f t="shared" si="26"/>
        <v>0</v>
      </c>
      <c r="BL52" s="35">
        <f t="shared" si="27"/>
        <v>0</v>
      </c>
      <c r="BM52" s="35">
        <f t="shared" si="28"/>
        <v>0</v>
      </c>
      <c r="BN52" s="35">
        <f t="shared" si="29"/>
        <v>0</v>
      </c>
      <c r="BO52" s="35">
        <f t="shared" si="30"/>
        <v>0</v>
      </c>
      <c r="BP52" s="35">
        <f t="shared" si="31"/>
        <v>0</v>
      </c>
      <c r="BQ52" s="35">
        <f t="shared" si="32"/>
        <v>0</v>
      </c>
      <c r="BR52" s="35">
        <f t="shared" si="33"/>
        <v>0</v>
      </c>
      <c r="BS52" s="35">
        <f t="shared" si="34"/>
        <v>0</v>
      </c>
      <c r="BT52" s="43">
        <f t="shared" si="35"/>
        <v>0</v>
      </c>
    </row>
    <row r="53" spans="1:72">
      <c r="A53" s="9"/>
      <c r="B53" s="34"/>
      <c r="C53" s="34"/>
      <c r="D53" s="1805"/>
      <c r="E53" s="35">
        <f t="shared" si="7"/>
        <v>0</v>
      </c>
      <c r="F53" s="36"/>
      <c r="G53" s="37">
        <f t="shared" si="8"/>
        <v>0</v>
      </c>
      <c r="H53" s="38">
        <f t="shared" si="9"/>
        <v>0</v>
      </c>
      <c r="I53" s="39"/>
      <c r="J53" s="39"/>
      <c r="K53" s="39"/>
      <c r="L53" s="39"/>
      <c r="M53" s="39"/>
      <c r="N53" s="39"/>
      <c r="O53" s="39"/>
      <c r="P53" s="39"/>
      <c r="Q53" s="39"/>
      <c r="R53" s="39"/>
      <c r="S53" s="39"/>
      <c r="T53" s="39"/>
      <c r="U53" s="39"/>
      <c r="V53" s="39"/>
      <c r="W53" s="39"/>
      <c r="X53" s="39"/>
      <c r="Y53" s="39"/>
      <c r="Z53" s="39"/>
      <c r="AA53" s="39"/>
      <c r="AB53" s="39"/>
      <c r="AC53" s="35">
        <f t="shared" si="10"/>
        <v>0</v>
      </c>
      <c r="AD53" s="40"/>
      <c r="AE53" s="40"/>
      <c r="AF53" s="40"/>
      <c r="AG53" s="40"/>
      <c r="AH53" s="40"/>
      <c r="AI53" s="40"/>
      <c r="AJ53" s="40"/>
      <c r="AK53" s="40"/>
      <c r="AL53" s="40"/>
      <c r="AM53" s="40"/>
      <c r="AN53" s="40"/>
      <c r="AO53" s="40"/>
      <c r="AP53" s="40"/>
      <c r="AQ53" s="40"/>
      <c r="AR53" s="40"/>
      <c r="AS53" s="40"/>
      <c r="AT53" s="41"/>
      <c r="AU53" s="1806"/>
      <c r="AV53" s="1517">
        <f t="shared" si="11"/>
        <v>0</v>
      </c>
      <c r="AW53" s="1517">
        <f t="shared" si="12"/>
        <v>0</v>
      </c>
      <c r="AX53" s="1517">
        <f t="shared" si="13"/>
        <v>0</v>
      </c>
      <c r="AY53" s="42">
        <f t="shared" si="14"/>
        <v>0</v>
      </c>
      <c r="AZ53" s="35">
        <f t="shared" si="15"/>
        <v>0</v>
      </c>
      <c r="BA53" s="35">
        <f t="shared" si="16"/>
        <v>0</v>
      </c>
      <c r="BB53" s="35">
        <f t="shared" si="17"/>
        <v>0</v>
      </c>
      <c r="BC53" s="35">
        <f t="shared" si="18"/>
        <v>0</v>
      </c>
      <c r="BD53" s="35">
        <f t="shared" si="19"/>
        <v>0</v>
      </c>
      <c r="BE53" s="35">
        <f t="shared" si="20"/>
        <v>0</v>
      </c>
      <c r="BF53" s="35">
        <f t="shared" si="21"/>
        <v>0</v>
      </c>
      <c r="BG53" s="35">
        <f t="shared" si="22"/>
        <v>0</v>
      </c>
      <c r="BH53" s="35">
        <f t="shared" si="23"/>
        <v>0</v>
      </c>
      <c r="BI53" s="35">
        <f t="shared" si="24"/>
        <v>0</v>
      </c>
      <c r="BJ53" s="35">
        <f t="shared" si="25"/>
        <v>0</v>
      </c>
      <c r="BK53" s="35">
        <f t="shared" si="26"/>
        <v>0</v>
      </c>
      <c r="BL53" s="35">
        <f t="shared" si="27"/>
        <v>0</v>
      </c>
      <c r="BM53" s="35">
        <f t="shared" si="28"/>
        <v>0</v>
      </c>
      <c r="BN53" s="35">
        <f t="shared" si="29"/>
        <v>0</v>
      </c>
      <c r="BO53" s="35">
        <f t="shared" si="30"/>
        <v>0</v>
      </c>
      <c r="BP53" s="35">
        <f t="shared" si="31"/>
        <v>0</v>
      </c>
      <c r="BQ53" s="35">
        <f t="shared" si="32"/>
        <v>0</v>
      </c>
      <c r="BR53" s="35">
        <f t="shared" si="33"/>
        <v>0</v>
      </c>
      <c r="BS53" s="35">
        <f t="shared" si="34"/>
        <v>0</v>
      </c>
      <c r="BT53" s="43">
        <f t="shared" si="35"/>
        <v>0</v>
      </c>
    </row>
    <row r="54" spans="1:72">
      <c r="A54" s="9"/>
      <c r="B54" s="34"/>
      <c r="C54" s="34"/>
      <c r="D54" s="1805"/>
      <c r="E54" s="35">
        <f t="shared" si="7"/>
        <v>0</v>
      </c>
      <c r="F54" s="36"/>
      <c r="G54" s="37">
        <f t="shared" si="8"/>
        <v>0</v>
      </c>
      <c r="H54" s="38">
        <f t="shared" si="9"/>
        <v>0</v>
      </c>
      <c r="I54" s="39"/>
      <c r="J54" s="39"/>
      <c r="K54" s="39"/>
      <c r="L54" s="39"/>
      <c r="M54" s="39"/>
      <c r="N54" s="39"/>
      <c r="O54" s="39"/>
      <c r="P54" s="39"/>
      <c r="Q54" s="39"/>
      <c r="R54" s="39"/>
      <c r="S54" s="39"/>
      <c r="T54" s="39"/>
      <c r="U54" s="39"/>
      <c r="V54" s="39"/>
      <c r="W54" s="39"/>
      <c r="X54" s="39"/>
      <c r="Y54" s="39"/>
      <c r="Z54" s="39"/>
      <c r="AA54" s="39"/>
      <c r="AB54" s="39"/>
      <c r="AC54" s="35">
        <f t="shared" si="10"/>
        <v>0</v>
      </c>
      <c r="AD54" s="40"/>
      <c r="AE54" s="40"/>
      <c r="AF54" s="40"/>
      <c r="AG54" s="40"/>
      <c r="AH54" s="40"/>
      <c r="AI54" s="40"/>
      <c r="AJ54" s="40"/>
      <c r="AK54" s="40"/>
      <c r="AL54" s="40"/>
      <c r="AM54" s="40"/>
      <c r="AN54" s="40"/>
      <c r="AO54" s="40"/>
      <c r="AP54" s="40"/>
      <c r="AQ54" s="40"/>
      <c r="AR54" s="40"/>
      <c r="AS54" s="40"/>
      <c r="AT54" s="41"/>
      <c r="AU54" s="1806"/>
      <c r="AV54" s="1517">
        <f t="shared" si="11"/>
        <v>0</v>
      </c>
      <c r="AW54" s="1517">
        <f t="shared" si="12"/>
        <v>0</v>
      </c>
      <c r="AX54" s="1517">
        <f t="shared" si="13"/>
        <v>0</v>
      </c>
      <c r="AY54" s="42">
        <f t="shared" si="14"/>
        <v>0</v>
      </c>
      <c r="AZ54" s="35">
        <f t="shared" si="15"/>
        <v>0</v>
      </c>
      <c r="BA54" s="35">
        <f t="shared" si="16"/>
        <v>0</v>
      </c>
      <c r="BB54" s="35">
        <f t="shared" si="17"/>
        <v>0</v>
      </c>
      <c r="BC54" s="35">
        <f t="shared" si="18"/>
        <v>0</v>
      </c>
      <c r="BD54" s="35">
        <f t="shared" si="19"/>
        <v>0</v>
      </c>
      <c r="BE54" s="35">
        <f t="shared" si="20"/>
        <v>0</v>
      </c>
      <c r="BF54" s="35">
        <f t="shared" si="21"/>
        <v>0</v>
      </c>
      <c r="BG54" s="35">
        <f t="shared" si="22"/>
        <v>0</v>
      </c>
      <c r="BH54" s="35">
        <f t="shared" si="23"/>
        <v>0</v>
      </c>
      <c r="BI54" s="35">
        <f t="shared" si="24"/>
        <v>0</v>
      </c>
      <c r="BJ54" s="35">
        <f t="shared" si="25"/>
        <v>0</v>
      </c>
      <c r="BK54" s="35">
        <f t="shared" si="26"/>
        <v>0</v>
      </c>
      <c r="BL54" s="35">
        <f t="shared" si="27"/>
        <v>0</v>
      </c>
      <c r="BM54" s="35">
        <f t="shared" si="28"/>
        <v>0</v>
      </c>
      <c r="BN54" s="35">
        <f t="shared" si="29"/>
        <v>0</v>
      </c>
      <c r="BO54" s="35">
        <f t="shared" si="30"/>
        <v>0</v>
      </c>
      <c r="BP54" s="35">
        <f t="shared" si="31"/>
        <v>0</v>
      </c>
      <c r="BQ54" s="35">
        <f t="shared" si="32"/>
        <v>0</v>
      </c>
      <c r="BR54" s="35">
        <f t="shared" si="33"/>
        <v>0</v>
      </c>
      <c r="BS54" s="35">
        <f t="shared" si="34"/>
        <v>0</v>
      </c>
      <c r="BT54" s="43">
        <f t="shared" si="35"/>
        <v>0</v>
      </c>
    </row>
    <row r="55" spans="1:72">
      <c r="A55" s="9"/>
      <c r="B55" s="34"/>
      <c r="C55" s="34"/>
      <c r="D55" s="1805"/>
      <c r="E55" s="35">
        <f t="shared" si="7"/>
        <v>0</v>
      </c>
      <c r="F55" s="36"/>
      <c r="G55" s="37">
        <f t="shared" si="8"/>
        <v>0</v>
      </c>
      <c r="H55" s="38">
        <f t="shared" si="9"/>
        <v>0</v>
      </c>
      <c r="I55" s="39"/>
      <c r="J55" s="39"/>
      <c r="K55" s="39"/>
      <c r="L55" s="39"/>
      <c r="M55" s="39"/>
      <c r="N55" s="39"/>
      <c r="O55" s="39"/>
      <c r="P55" s="39"/>
      <c r="Q55" s="39"/>
      <c r="R55" s="39"/>
      <c r="S55" s="39"/>
      <c r="T55" s="39"/>
      <c r="U55" s="39"/>
      <c r="V55" s="39"/>
      <c r="W55" s="39"/>
      <c r="X55" s="39"/>
      <c r="Y55" s="39"/>
      <c r="Z55" s="39"/>
      <c r="AA55" s="39"/>
      <c r="AB55" s="39"/>
      <c r="AC55" s="35">
        <f t="shared" si="10"/>
        <v>0</v>
      </c>
      <c r="AD55" s="40"/>
      <c r="AE55" s="40"/>
      <c r="AF55" s="40"/>
      <c r="AG55" s="40"/>
      <c r="AH55" s="40"/>
      <c r="AI55" s="40"/>
      <c r="AJ55" s="40"/>
      <c r="AK55" s="40"/>
      <c r="AL55" s="40"/>
      <c r="AM55" s="40"/>
      <c r="AN55" s="40"/>
      <c r="AO55" s="40"/>
      <c r="AP55" s="40"/>
      <c r="AQ55" s="40"/>
      <c r="AR55" s="40"/>
      <c r="AS55" s="40"/>
      <c r="AT55" s="41"/>
      <c r="AU55" s="1806"/>
      <c r="AV55" s="1517">
        <f t="shared" si="11"/>
        <v>0</v>
      </c>
      <c r="AW55" s="1517">
        <f t="shared" si="12"/>
        <v>0</v>
      </c>
      <c r="AX55" s="1517">
        <f t="shared" si="13"/>
        <v>0</v>
      </c>
      <c r="AY55" s="42">
        <f t="shared" si="14"/>
        <v>0</v>
      </c>
      <c r="AZ55" s="35">
        <f t="shared" si="15"/>
        <v>0</v>
      </c>
      <c r="BA55" s="35">
        <f t="shared" si="16"/>
        <v>0</v>
      </c>
      <c r="BB55" s="35">
        <f t="shared" si="17"/>
        <v>0</v>
      </c>
      <c r="BC55" s="35">
        <f t="shared" si="18"/>
        <v>0</v>
      </c>
      <c r="BD55" s="35">
        <f t="shared" si="19"/>
        <v>0</v>
      </c>
      <c r="BE55" s="35">
        <f t="shared" si="20"/>
        <v>0</v>
      </c>
      <c r="BF55" s="35">
        <f t="shared" si="21"/>
        <v>0</v>
      </c>
      <c r="BG55" s="35">
        <f t="shared" si="22"/>
        <v>0</v>
      </c>
      <c r="BH55" s="35">
        <f t="shared" si="23"/>
        <v>0</v>
      </c>
      <c r="BI55" s="35">
        <f t="shared" si="24"/>
        <v>0</v>
      </c>
      <c r="BJ55" s="35">
        <f t="shared" si="25"/>
        <v>0</v>
      </c>
      <c r="BK55" s="35">
        <f t="shared" si="26"/>
        <v>0</v>
      </c>
      <c r="BL55" s="35">
        <f t="shared" si="27"/>
        <v>0</v>
      </c>
      <c r="BM55" s="35">
        <f t="shared" si="28"/>
        <v>0</v>
      </c>
      <c r="BN55" s="35">
        <f t="shared" si="29"/>
        <v>0</v>
      </c>
      <c r="BO55" s="35">
        <f t="shared" si="30"/>
        <v>0</v>
      </c>
      <c r="BP55" s="35">
        <f t="shared" si="31"/>
        <v>0</v>
      </c>
      <c r="BQ55" s="35">
        <f t="shared" si="32"/>
        <v>0</v>
      </c>
      <c r="BR55" s="35">
        <f t="shared" si="33"/>
        <v>0</v>
      </c>
      <c r="BS55" s="35">
        <f t="shared" si="34"/>
        <v>0</v>
      </c>
      <c r="BT55" s="43">
        <f t="shared" si="35"/>
        <v>0</v>
      </c>
    </row>
    <row r="56" spans="1:72">
      <c r="A56" s="9"/>
      <c r="B56" s="34"/>
      <c r="C56" s="34"/>
      <c r="D56" s="1805"/>
      <c r="E56" s="35">
        <f t="shared" si="7"/>
        <v>0</v>
      </c>
      <c r="F56" s="36"/>
      <c r="G56" s="37">
        <f t="shared" si="8"/>
        <v>0</v>
      </c>
      <c r="H56" s="38">
        <f t="shared" si="9"/>
        <v>0</v>
      </c>
      <c r="I56" s="39"/>
      <c r="J56" s="39"/>
      <c r="K56" s="39"/>
      <c r="L56" s="39"/>
      <c r="M56" s="39"/>
      <c r="N56" s="39"/>
      <c r="O56" s="39"/>
      <c r="P56" s="39"/>
      <c r="Q56" s="39"/>
      <c r="R56" s="39"/>
      <c r="S56" s="39"/>
      <c r="T56" s="39"/>
      <c r="U56" s="39"/>
      <c r="V56" s="39"/>
      <c r="W56" s="39"/>
      <c r="X56" s="39"/>
      <c r="Y56" s="39"/>
      <c r="Z56" s="39"/>
      <c r="AA56" s="39"/>
      <c r="AB56" s="39"/>
      <c r="AC56" s="35">
        <f t="shared" si="10"/>
        <v>0</v>
      </c>
      <c r="AD56" s="40"/>
      <c r="AE56" s="40"/>
      <c r="AF56" s="40"/>
      <c r="AG56" s="40"/>
      <c r="AH56" s="40"/>
      <c r="AI56" s="40"/>
      <c r="AJ56" s="40"/>
      <c r="AK56" s="40"/>
      <c r="AL56" s="40"/>
      <c r="AM56" s="40"/>
      <c r="AN56" s="40"/>
      <c r="AO56" s="40"/>
      <c r="AP56" s="40"/>
      <c r="AQ56" s="40"/>
      <c r="AR56" s="40"/>
      <c r="AS56" s="40"/>
      <c r="AT56" s="41"/>
      <c r="AU56" s="1806"/>
      <c r="AV56" s="1517">
        <f t="shared" si="11"/>
        <v>0</v>
      </c>
      <c r="AW56" s="1517">
        <f t="shared" si="12"/>
        <v>0</v>
      </c>
      <c r="AX56" s="1517">
        <f t="shared" si="13"/>
        <v>0</v>
      </c>
      <c r="AY56" s="42">
        <f t="shared" si="14"/>
        <v>0</v>
      </c>
      <c r="AZ56" s="35">
        <f t="shared" si="15"/>
        <v>0</v>
      </c>
      <c r="BA56" s="35">
        <f t="shared" si="16"/>
        <v>0</v>
      </c>
      <c r="BB56" s="35">
        <f t="shared" si="17"/>
        <v>0</v>
      </c>
      <c r="BC56" s="35">
        <f t="shared" si="18"/>
        <v>0</v>
      </c>
      <c r="BD56" s="35">
        <f t="shared" si="19"/>
        <v>0</v>
      </c>
      <c r="BE56" s="35">
        <f t="shared" si="20"/>
        <v>0</v>
      </c>
      <c r="BF56" s="35">
        <f t="shared" si="21"/>
        <v>0</v>
      </c>
      <c r="BG56" s="35">
        <f t="shared" si="22"/>
        <v>0</v>
      </c>
      <c r="BH56" s="35">
        <f t="shared" si="23"/>
        <v>0</v>
      </c>
      <c r="BI56" s="35">
        <f t="shared" si="24"/>
        <v>0</v>
      </c>
      <c r="BJ56" s="35">
        <f t="shared" si="25"/>
        <v>0</v>
      </c>
      <c r="BK56" s="35">
        <f t="shared" si="26"/>
        <v>0</v>
      </c>
      <c r="BL56" s="35">
        <f t="shared" si="27"/>
        <v>0</v>
      </c>
      <c r="BM56" s="35">
        <f t="shared" si="28"/>
        <v>0</v>
      </c>
      <c r="BN56" s="35">
        <f t="shared" si="29"/>
        <v>0</v>
      </c>
      <c r="BO56" s="35">
        <f t="shared" si="30"/>
        <v>0</v>
      </c>
      <c r="BP56" s="35">
        <f t="shared" si="31"/>
        <v>0</v>
      </c>
      <c r="BQ56" s="35">
        <f t="shared" si="32"/>
        <v>0</v>
      </c>
      <c r="BR56" s="35">
        <f t="shared" si="33"/>
        <v>0</v>
      </c>
      <c r="BS56" s="35">
        <f t="shared" si="34"/>
        <v>0</v>
      </c>
      <c r="BT56" s="43">
        <f t="shared" si="35"/>
        <v>0</v>
      </c>
    </row>
    <row r="57" spans="1:72">
      <c r="A57" s="9"/>
      <c r="B57" s="34"/>
      <c r="C57" s="34"/>
      <c r="D57" s="1805"/>
      <c r="E57" s="35">
        <f t="shared" si="7"/>
        <v>0</v>
      </c>
      <c r="F57" s="36"/>
      <c r="G57" s="37">
        <f t="shared" si="8"/>
        <v>0</v>
      </c>
      <c r="H57" s="38">
        <f t="shared" si="9"/>
        <v>0</v>
      </c>
      <c r="I57" s="39"/>
      <c r="J57" s="39"/>
      <c r="K57" s="39"/>
      <c r="L57" s="39"/>
      <c r="M57" s="39"/>
      <c r="N57" s="39"/>
      <c r="O57" s="39"/>
      <c r="P57" s="39"/>
      <c r="Q57" s="39"/>
      <c r="R57" s="39"/>
      <c r="S57" s="39"/>
      <c r="T57" s="39"/>
      <c r="U57" s="39"/>
      <c r="V57" s="39"/>
      <c r="W57" s="39"/>
      <c r="X57" s="39"/>
      <c r="Y57" s="39"/>
      <c r="Z57" s="39"/>
      <c r="AA57" s="39"/>
      <c r="AB57" s="39"/>
      <c r="AC57" s="35">
        <f t="shared" si="10"/>
        <v>0</v>
      </c>
      <c r="AD57" s="40"/>
      <c r="AE57" s="40"/>
      <c r="AF57" s="40"/>
      <c r="AG57" s="40"/>
      <c r="AH57" s="40"/>
      <c r="AI57" s="40"/>
      <c r="AJ57" s="40"/>
      <c r="AK57" s="40"/>
      <c r="AL57" s="40"/>
      <c r="AM57" s="40"/>
      <c r="AN57" s="40"/>
      <c r="AO57" s="40"/>
      <c r="AP57" s="40"/>
      <c r="AQ57" s="40"/>
      <c r="AR57" s="40"/>
      <c r="AS57" s="40"/>
      <c r="AT57" s="41"/>
      <c r="AU57" s="1806"/>
      <c r="AV57" s="1517">
        <f t="shared" si="11"/>
        <v>0</v>
      </c>
      <c r="AW57" s="1517">
        <f t="shared" si="12"/>
        <v>0</v>
      </c>
      <c r="AX57" s="1517">
        <f t="shared" si="13"/>
        <v>0</v>
      </c>
      <c r="AY57" s="42">
        <f t="shared" si="14"/>
        <v>0</v>
      </c>
      <c r="AZ57" s="35">
        <f t="shared" si="15"/>
        <v>0</v>
      </c>
      <c r="BA57" s="35">
        <f t="shared" si="16"/>
        <v>0</v>
      </c>
      <c r="BB57" s="35">
        <f t="shared" si="17"/>
        <v>0</v>
      </c>
      <c r="BC57" s="35">
        <f t="shared" si="18"/>
        <v>0</v>
      </c>
      <c r="BD57" s="35">
        <f t="shared" si="19"/>
        <v>0</v>
      </c>
      <c r="BE57" s="35">
        <f t="shared" si="20"/>
        <v>0</v>
      </c>
      <c r="BF57" s="35">
        <f t="shared" si="21"/>
        <v>0</v>
      </c>
      <c r="BG57" s="35">
        <f t="shared" si="22"/>
        <v>0</v>
      </c>
      <c r="BH57" s="35">
        <f t="shared" si="23"/>
        <v>0</v>
      </c>
      <c r="BI57" s="35">
        <f t="shared" si="24"/>
        <v>0</v>
      </c>
      <c r="BJ57" s="35">
        <f t="shared" si="25"/>
        <v>0</v>
      </c>
      <c r="BK57" s="35">
        <f t="shared" si="26"/>
        <v>0</v>
      </c>
      <c r="BL57" s="35">
        <f t="shared" si="27"/>
        <v>0</v>
      </c>
      <c r="BM57" s="35">
        <f t="shared" si="28"/>
        <v>0</v>
      </c>
      <c r="BN57" s="35">
        <f t="shared" si="29"/>
        <v>0</v>
      </c>
      <c r="BO57" s="35">
        <f t="shared" si="30"/>
        <v>0</v>
      </c>
      <c r="BP57" s="35">
        <f t="shared" si="31"/>
        <v>0</v>
      </c>
      <c r="BQ57" s="35">
        <f t="shared" si="32"/>
        <v>0</v>
      </c>
      <c r="BR57" s="35">
        <f t="shared" si="33"/>
        <v>0</v>
      </c>
      <c r="BS57" s="35">
        <f t="shared" si="34"/>
        <v>0</v>
      </c>
      <c r="BT57" s="43">
        <f t="shared" si="35"/>
        <v>0</v>
      </c>
    </row>
    <row r="58" spans="1:72">
      <c r="A58" s="9"/>
      <c r="B58" s="34"/>
      <c r="C58" s="34"/>
      <c r="D58" s="1805"/>
      <c r="E58" s="35">
        <f t="shared" si="7"/>
        <v>0</v>
      </c>
      <c r="F58" s="36"/>
      <c r="G58" s="37">
        <f t="shared" si="8"/>
        <v>0</v>
      </c>
      <c r="H58" s="38">
        <f t="shared" si="9"/>
        <v>0</v>
      </c>
      <c r="I58" s="39"/>
      <c r="J58" s="39"/>
      <c r="K58" s="39"/>
      <c r="L58" s="39"/>
      <c r="M58" s="39"/>
      <c r="N58" s="39"/>
      <c r="O58" s="39"/>
      <c r="P58" s="39"/>
      <c r="Q58" s="39"/>
      <c r="R58" s="39"/>
      <c r="S58" s="39"/>
      <c r="T58" s="39"/>
      <c r="U58" s="39"/>
      <c r="V58" s="39"/>
      <c r="W58" s="39"/>
      <c r="X58" s="39"/>
      <c r="Y58" s="39"/>
      <c r="Z58" s="39"/>
      <c r="AA58" s="39"/>
      <c r="AB58" s="39"/>
      <c r="AC58" s="35">
        <f t="shared" si="10"/>
        <v>0</v>
      </c>
      <c r="AD58" s="40"/>
      <c r="AE58" s="40"/>
      <c r="AF58" s="40"/>
      <c r="AG58" s="40"/>
      <c r="AH58" s="40"/>
      <c r="AI58" s="40"/>
      <c r="AJ58" s="40"/>
      <c r="AK58" s="40"/>
      <c r="AL58" s="40"/>
      <c r="AM58" s="40"/>
      <c r="AN58" s="40"/>
      <c r="AO58" s="40"/>
      <c r="AP58" s="40"/>
      <c r="AQ58" s="40"/>
      <c r="AR58" s="40"/>
      <c r="AS58" s="40"/>
      <c r="AT58" s="41"/>
      <c r="AU58" s="1806"/>
      <c r="AV58" s="1517">
        <f t="shared" si="11"/>
        <v>0</v>
      </c>
      <c r="AW58" s="1517">
        <f t="shared" si="12"/>
        <v>0</v>
      </c>
      <c r="AX58" s="1517">
        <f t="shared" si="13"/>
        <v>0</v>
      </c>
      <c r="AY58" s="42">
        <f t="shared" si="14"/>
        <v>0</v>
      </c>
      <c r="AZ58" s="35">
        <f t="shared" si="15"/>
        <v>0</v>
      </c>
      <c r="BA58" s="35">
        <f t="shared" si="16"/>
        <v>0</v>
      </c>
      <c r="BB58" s="35">
        <f t="shared" si="17"/>
        <v>0</v>
      </c>
      <c r="BC58" s="35">
        <f t="shared" si="18"/>
        <v>0</v>
      </c>
      <c r="BD58" s="35">
        <f t="shared" si="19"/>
        <v>0</v>
      </c>
      <c r="BE58" s="35">
        <f t="shared" si="20"/>
        <v>0</v>
      </c>
      <c r="BF58" s="35">
        <f t="shared" si="21"/>
        <v>0</v>
      </c>
      <c r="BG58" s="35">
        <f t="shared" si="22"/>
        <v>0</v>
      </c>
      <c r="BH58" s="35">
        <f t="shared" si="23"/>
        <v>0</v>
      </c>
      <c r="BI58" s="35">
        <f t="shared" si="24"/>
        <v>0</v>
      </c>
      <c r="BJ58" s="35">
        <f t="shared" si="25"/>
        <v>0</v>
      </c>
      <c r="BK58" s="35">
        <f t="shared" si="26"/>
        <v>0</v>
      </c>
      <c r="BL58" s="35">
        <f t="shared" si="27"/>
        <v>0</v>
      </c>
      <c r="BM58" s="35">
        <f t="shared" si="28"/>
        <v>0</v>
      </c>
      <c r="BN58" s="35">
        <f t="shared" si="29"/>
        <v>0</v>
      </c>
      <c r="BO58" s="35">
        <f t="shared" si="30"/>
        <v>0</v>
      </c>
      <c r="BP58" s="35">
        <f t="shared" si="31"/>
        <v>0</v>
      </c>
      <c r="BQ58" s="35">
        <f t="shared" si="32"/>
        <v>0</v>
      </c>
      <c r="BR58" s="35">
        <f t="shared" si="33"/>
        <v>0</v>
      </c>
      <c r="BS58" s="35">
        <f t="shared" si="34"/>
        <v>0</v>
      </c>
      <c r="BT58" s="43">
        <f t="shared" si="35"/>
        <v>0</v>
      </c>
    </row>
    <row r="59" spans="1:72">
      <c r="A59" s="9"/>
      <c r="B59" s="34"/>
      <c r="C59" s="34"/>
      <c r="D59" s="1805"/>
      <c r="E59" s="35">
        <f t="shared" si="7"/>
        <v>0</v>
      </c>
      <c r="F59" s="36"/>
      <c r="G59" s="37">
        <f t="shared" si="8"/>
        <v>0</v>
      </c>
      <c r="H59" s="38">
        <f t="shared" si="9"/>
        <v>0</v>
      </c>
      <c r="I59" s="39"/>
      <c r="J59" s="39"/>
      <c r="K59" s="39"/>
      <c r="L59" s="39"/>
      <c r="M59" s="39"/>
      <c r="N59" s="39"/>
      <c r="O59" s="39"/>
      <c r="P59" s="39"/>
      <c r="Q59" s="39"/>
      <c r="R59" s="39"/>
      <c r="S59" s="39"/>
      <c r="T59" s="39"/>
      <c r="U59" s="39"/>
      <c r="V59" s="39"/>
      <c r="W59" s="39"/>
      <c r="X59" s="39"/>
      <c r="Y59" s="39"/>
      <c r="Z59" s="39"/>
      <c r="AA59" s="39"/>
      <c r="AB59" s="39"/>
      <c r="AC59" s="35">
        <f t="shared" si="10"/>
        <v>0</v>
      </c>
      <c r="AD59" s="40"/>
      <c r="AE59" s="40"/>
      <c r="AF59" s="40"/>
      <c r="AG59" s="40"/>
      <c r="AH59" s="40"/>
      <c r="AI59" s="40"/>
      <c r="AJ59" s="40"/>
      <c r="AK59" s="40"/>
      <c r="AL59" s="40"/>
      <c r="AM59" s="40"/>
      <c r="AN59" s="40"/>
      <c r="AO59" s="40"/>
      <c r="AP59" s="40"/>
      <c r="AQ59" s="40"/>
      <c r="AR59" s="40"/>
      <c r="AS59" s="40"/>
      <c r="AT59" s="41"/>
      <c r="AU59" s="1806"/>
      <c r="AV59" s="1517">
        <f t="shared" si="11"/>
        <v>0</v>
      </c>
      <c r="AW59" s="1517">
        <f t="shared" si="12"/>
        <v>0</v>
      </c>
      <c r="AX59" s="1517">
        <f t="shared" si="13"/>
        <v>0</v>
      </c>
      <c r="AY59" s="42">
        <f t="shared" si="14"/>
        <v>0</v>
      </c>
      <c r="AZ59" s="35">
        <f t="shared" si="15"/>
        <v>0</v>
      </c>
      <c r="BA59" s="35">
        <f t="shared" si="16"/>
        <v>0</v>
      </c>
      <c r="BB59" s="35">
        <f t="shared" si="17"/>
        <v>0</v>
      </c>
      <c r="BC59" s="35">
        <f t="shared" si="18"/>
        <v>0</v>
      </c>
      <c r="BD59" s="35">
        <f t="shared" si="19"/>
        <v>0</v>
      </c>
      <c r="BE59" s="35">
        <f t="shared" si="20"/>
        <v>0</v>
      </c>
      <c r="BF59" s="35">
        <f t="shared" si="21"/>
        <v>0</v>
      </c>
      <c r="BG59" s="35">
        <f t="shared" si="22"/>
        <v>0</v>
      </c>
      <c r="BH59" s="35">
        <f t="shared" si="23"/>
        <v>0</v>
      </c>
      <c r="BI59" s="35">
        <f t="shared" si="24"/>
        <v>0</v>
      </c>
      <c r="BJ59" s="35">
        <f t="shared" si="25"/>
        <v>0</v>
      </c>
      <c r="BK59" s="35">
        <f t="shared" si="26"/>
        <v>0</v>
      </c>
      <c r="BL59" s="35">
        <f t="shared" si="27"/>
        <v>0</v>
      </c>
      <c r="BM59" s="35">
        <f t="shared" si="28"/>
        <v>0</v>
      </c>
      <c r="BN59" s="35">
        <f t="shared" si="29"/>
        <v>0</v>
      </c>
      <c r="BO59" s="35">
        <f t="shared" si="30"/>
        <v>0</v>
      </c>
      <c r="BP59" s="35">
        <f t="shared" si="31"/>
        <v>0</v>
      </c>
      <c r="BQ59" s="35">
        <f t="shared" si="32"/>
        <v>0</v>
      </c>
      <c r="BR59" s="35">
        <f t="shared" si="33"/>
        <v>0</v>
      </c>
      <c r="BS59" s="35">
        <f t="shared" si="34"/>
        <v>0</v>
      </c>
      <c r="BT59" s="43">
        <f t="shared" si="35"/>
        <v>0</v>
      </c>
    </row>
    <row r="60" spans="1:72">
      <c r="A60" s="9"/>
      <c r="B60" s="34"/>
      <c r="C60" s="34"/>
      <c r="D60" s="1805"/>
      <c r="E60" s="35">
        <f t="shared" si="7"/>
        <v>0</v>
      </c>
      <c r="F60" s="36"/>
      <c r="G60" s="37">
        <f t="shared" si="8"/>
        <v>0</v>
      </c>
      <c r="H60" s="38">
        <f t="shared" si="9"/>
        <v>0</v>
      </c>
      <c r="I60" s="39"/>
      <c r="J60" s="39"/>
      <c r="K60" s="39"/>
      <c r="L60" s="39"/>
      <c r="M60" s="39"/>
      <c r="N60" s="39"/>
      <c r="O60" s="39"/>
      <c r="P60" s="39"/>
      <c r="Q60" s="39"/>
      <c r="R60" s="39"/>
      <c r="S60" s="39"/>
      <c r="T60" s="39"/>
      <c r="U60" s="39"/>
      <c r="V60" s="39"/>
      <c r="W60" s="39"/>
      <c r="X60" s="39"/>
      <c r="Y60" s="39"/>
      <c r="Z60" s="39"/>
      <c r="AA60" s="39"/>
      <c r="AB60" s="39"/>
      <c r="AC60" s="35">
        <f t="shared" si="10"/>
        <v>0</v>
      </c>
      <c r="AD60" s="40"/>
      <c r="AE60" s="40"/>
      <c r="AF60" s="40"/>
      <c r="AG60" s="40"/>
      <c r="AH60" s="40"/>
      <c r="AI60" s="40"/>
      <c r="AJ60" s="40"/>
      <c r="AK60" s="40"/>
      <c r="AL60" s="40"/>
      <c r="AM60" s="40"/>
      <c r="AN60" s="40"/>
      <c r="AO60" s="40"/>
      <c r="AP60" s="40"/>
      <c r="AQ60" s="40"/>
      <c r="AR60" s="40"/>
      <c r="AS60" s="40"/>
      <c r="AT60" s="41"/>
      <c r="AU60" s="1806"/>
      <c r="AV60" s="1517">
        <f t="shared" si="11"/>
        <v>0</v>
      </c>
      <c r="AW60" s="1517">
        <f t="shared" si="12"/>
        <v>0</v>
      </c>
      <c r="AX60" s="1517">
        <f t="shared" si="13"/>
        <v>0</v>
      </c>
      <c r="AY60" s="42">
        <f t="shared" si="14"/>
        <v>0</v>
      </c>
      <c r="AZ60" s="35">
        <f t="shared" si="15"/>
        <v>0</v>
      </c>
      <c r="BA60" s="35">
        <f t="shared" si="16"/>
        <v>0</v>
      </c>
      <c r="BB60" s="35">
        <f t="shared" si="17"/>
        <v>0</v>
      </c>
      <c r="BC60" s="35">
        <f t="shared" si="18"/>
        <v>0</v>
      </c>
      <c r="BD60" s="35">
        <f t="shared" si="19"/>
        <v>0</v>
      </c>
      <c r="BE60" s="35">
        <f t="shared" si="20"/>
        <v>0</v>
      </c>
      <c r="BF60" s="35">
        <f t="shared" si="21"/>
        <v>0</v>
      </c>
      <c r="BG60" s="35">
        <f t="shared" si="22"/>
        <v>0</v>
      </c>
      <c r="BH60" s="35">
        <f t="shared" si="23"/>
        <v>0</v>
      </c>
      <c r="BI60" s="35">
        <f t="shared" si="24"/>
        <v>0</v>
      </c>
      <c r="BJ60" s="35">
        <f t="shared" si="25"/>
        <v>0</v>
      </c>
      <c r="BK60" s="35">
        <f t="shared" si="26"/>
        <v>0</v>
      </c>
      <c r="BL60" s="35">
        <f t="shared" si="27"/>
        <v>0</v>
      </c>
      <c r="BM60" s="35">
        <f t="shared" si="28"/>
        <v>0</v>
      </c>
      <c r="BN60" s="35">
        <f t="shared" si="29"/>
        <v>0</v>
      </c>
      <c r="BO60" s="35">
        <f t="shared" si="30"/>
        <v>0</v>
      </c>
      <c r="BP60" s="35">
        <f t="shared" si="31"/>
        <v>0</v>
      </c>
      <c r="BQ60" s="35">
        <f t="shared" si="32"/>
        <v>0</v>
      </c>
      <c r="BR60" s="35">
        <f t="shared" si="33"/>
        <v>0</v>
      </c>
      <c r="BS60" s="35">
        <f t="shared" si="34"/>
        <v>0</v>
      </c>
      <c r="BT60" s="43">
        <f t="shared" si="35"/>
        <v>0</v>
      </c>
    </row>
    <row r="61" spans="1:72">
      <c r="A61" s="9"/>
      <c r="B61" s="34"/>
      <c r="C61" s="34"/>
      <c r="D61" s="1805"/>
      <c r="E61" s="35">
        <f t="shared" si="7"/>
        <v>0</v>
      </c>
      <c r="F61" s="36"/>
      <c r="G61" s="37">
        <f t="shared" si="8"/>
        <v>0</v>
      </c>
      <c r="H61" s="38">
        <f t="shared" si="9"/>
        <v>0</v>
      </c>
      <c r="I61" s="39"/>
      <c r="J61" s="39"/>
      <c r="K61" s="39"/>
      <c r="L61" s="39"/>
      <c r="M61" s="39"/>
      <c r="N61" s="39"/>
      <c r="O61" s="39"/>
      <c r="P61" s="39"/>
      <c r="Q61" s="39"/>
      <c r="R61" s="39"/>
      <c r="S61" s="39"/>
      <c r="T61" s="39"/>
      <c r="U61" s="39"/>
      <c r="V61" s="39"/>
      <c r="W61" s="39"/>
      <c r="X61" s="39"/>
      <c r="Y61" s="39"/>
      <c r="Z61" s="39"/>
      <c r="AA61" s="39"/>
      <c r="AB61" s="39"/>
      <c r="AC61" s="35">
        <f t="shared" si="10"/>
        <v>0</v>
      </c>
      <c r="AD61" s="40"/>
      <c r="AE61" s="40"/>
      <c r="AF61" s="40"/>
      <c r="AG61" s="40"/>
      <c r="AH61" s="40"/>
      <c r="AI61" s="40"/>
      <c r="AJ61" s="40"/>
      <c r="AK61" s="40"/>
      <c r="AL61" s="40"/>
      <c r="AM61" s="40"/>
      <c r="AN61" s="40"/>
      <c r="AO61" s="40"/>
      <c r="AP61" s="40"/>
      <c r="AQ61" s="40"/>
      <c r="AR61" s="40"/>
      <c r="AS61" s="40"/>
      <c r="AT61" s="41"/>
      <c r="AU61" s="1806"/>
      <c r="AV61" s="1517">
        <f t="shared" si="11"/>
        <v>0</v>
      </c>
      <c r="AW61" s="1517">
        <f t="shared" si="12"/>
        <v>0</v>
      </c>
      <c r="AX61" s="1517">
        <f t="shared" si="13"/>
        <v>0</v>
      </c>
      <c r="AY61" s="42">
        <f t="shared" si="14"/>
        <v>0</v>
      </c>
      <c r="AZ61" s="35">
        <f t="shared" si="15"/>
        <v>0</v>
      </c>
      <c r="BA61" s="35">
        <f t="shared" si="16"/>
        <v>0</v>
      </c>
      <c r="BB61" s="35">
        <f t="shared" si="17"/>
        <v>0</v>
      </c>
      <c r="BC61" s="35">
        <f t="shared" si="18"/>
        <v>0</v>
      </c>
      <c r="BD61" s="35">
        <f t="shared" si="19"/>
        <v>0</v>
      </c>
      <c r="BE61" s="35">
        <f t="shared" si="20"/>
        <v>0</v>
      </c>
      <c r="BF61" s="35">
        <f t="shared" si="21"/>
        <v>0</v>
      </c>
      <c r="BG61" s="35">
        <f t="shared" si="22"/>
        <v>0</v>
      </c>
      <c r="BH61" s="35">
        <f t="shared" si="23"/>
        <v>0</v>
      </c>
      <c r="BI61" s="35">
        <f t="shared" si="24"/>
        <v>0</v>
      </c>
      <c r="BJ61" s="35">
        <f t="shared" si="25"/>
        <v>0</v>
      </c>
      <c r="BK61" s="35">
        <f t="shared" si="26"/>
        <v>0</v>
      </c>
      <c r="BL61" s="35">
        <f t="shared" si="27"/>
        <v>0</v>
      </c>
      <c r="BM61" s="35">
        <f t="shared" si="28"/>
        <v>0</v>
      </c>
      <c r="BN61" s="35">
        <f t="shared" si="29"/>
        <v>0</v>
      </c>
      <c r="BO61" s="35">
        <f t="shared" si="30"/>
        <v>0</v>
      </c>
      <c r="BP61" s="35">
        <f t="shared" si="31"/>
        <v>0</v>
      </c>
      <c r="BQ61" s="35">
        <f t="shared" si="32"/>
        <v>0</v>
      </c>
      <c r="BR61" s="35">
        <f t="shared" si="33"/>
        <v>0</v>
      </c>
      <c r="BS61" s="35">
        <f t="shared" si="34"/>
        <v>0</v>
      </c>
      <c r="BT61" s="43">
        <f t="shared" si="35"/>
        <v>0</v>
      </c>
    </row>
    <row r="62" spans="1:72">
      <c r="A62" s="9"/>
      <c r="B62" s="34"/>
      <c r="C62" s="34"/>
      <c r="D62" s="1805"/>
      <c r="E62" s="35">
        <f t="shared" si="7"/>
        <v>0</v>
      </c>
      <c r="F62" s="36"/>
      <c r="G62" s="37">
        <f t="shared" si="8"/>
        <v>0</v>
      </c>
      <c r="H62" s="38">
        <f t="shared" si="9"/>
        <v>0</v>
      </c>
      <c r="I62" s="39"/>
      <c r="J62" s="39"/>
      <c r="K62" s="39"/>
      <c r="L62" s="39"/>
      <c r="M62" s="39"/>
      <c r="N62" s="39"/>
      <c r="O62" s="39"/>
      <c r="P62" s="39"/>
      <c r="Q62" s="39"/>
      <c r="R62" s="39"/>
      <c r="S62" s="39"/>
      <c r="T62" s="39"/>
      <c r="U62" s="39"/>
      <c r="V62" s="39"/>
      <c r="W62" s="39"/>
      <c r="X62" s="39"/>
      <c r="Y62" s="39"/>
      <c r="Z62" s="39"/>
      <c r="AA62" s="39"/>
      <c r="AB62" s="39"/>
      <c r="AC62" s="35">
        <f t="shared" si="10"/>
        <v>0</v>
      </c>
      <c r="AD62" s="40"/>
      <c r="AE62" s="40"/>
      <c r="AF62" s="40"/>
      <c r="AG62" s="40"/>
      <c r="AH62" s="40"/>
      <c r="AI62" s="40"/>
      <c r="AJ62" s="40"/>
      <c r="AK62" s="40"/>
      <c r="AL62" s="40"/>
      <c r="AM62" s="40"/>
      <c r="AN62" s="40"/>
      <c r="AO62" s="40"/>
      <c r="AP62" s="40"/>
      <c r="AQ62" s="40"/>
      <c r="AR62" s="40"/>
      <c r="AS62" s="40"/>
      <c r="AT62" s="41"/>
      <c r="AU62" s="1806"/>
      <c r="AV62" s="1517">
        <f t="shared" si="11"/>
        <v>0</v>
      </c>
      <c r="AW62" s="1517">
        <f t="shared" si="12"/>
        <v>0</v>
      </c>
      <c r="AX62" s="1517">
        <f t="shared" si="13"/>
        <v>0</v>
      </c>
      <c r="AY62" s="42">
        <f t="shared" si="14"/>
        <v>0</v>
      </c>
      <c r="AZ62" s="35">
        <f t="shared" si="15"/>
        <v>0</v>
      </c>
      <c r="BA62" s="35">
        <f t="shared" si="16"/>
        <v>0</v>
      </c>
      <c r="BB62" s="35">
        <f t="shared" si="17"/>
        <v>0</v>
      </c>
      <c r="BC62" s="35">
        <f t="shared" si="18"/>
        <v>0</v>
      </c>
      <c r="BD62" s="35">
        <f t="shared" si="19"/>
        <v>0</v>
      </c>
      <c r="BE62" s="35">
        <f t="shared" si="20"/>
        <v>0</v>
      </c>
      <c r="BF62" s="35">
        <f t="shared" si="21"/>
        <v>0</v>
      </c>
      <c r="BG62" s="35">
        <f t="shared" si="22"/>
        <v>0</v>
      </c>
      <c r="BH62" s="35">
        <f t="shared" si="23"/>
        <v>0</v>
      </c>
      <c r="BI62" s="35">
        <f t="shared" si="24"/>
        <v>0</v>
      </c>
      <c r="BJ62" s="35">
        <f t="shared" si="25"/>
        <v>0</v>
      </c>
      <c r="BK62" s="35">
        <f t="shared" si="26"/>
        <v>0</v>
      </c>
      <c r="BL62" s="35">
        <f t="shared" si="27"/>
        <v>0</v>
      </c>
      <c r="BM62" s="35">
        <f t="shared" si="28"/>
        <v>0</v>
      </c>
      <c r="BN62" s="35">
        <f t="shared" si="29"/>
        <v>0</v>
      </c>
      <c r="BO62" s="35">
        <f t="shared" si="30"/>
        <v>0</v>
      </c>
      <c r="BP62" s="35">
        <f t="shared" si="31"/>
        <v>0</v>
      </c>
      <c r="BQ62" s="35">
        <f t="shared" si="32"/>
        <v>0</v>
      </c>
      <c r="BR62" s="35">
        <f t="shared" si="33"/>
        <v>0</v>
      </c>
      <c r="BS62" s="35">
        <f t="shared" si="34"/>
        <v>0</v>
      </c>
      <c r="BT62" s="43">
        <f t="shared" si="35"/>
        <v>0</v>
      </c>
    </row>
    <row r="63" spans="1:72">
      <c r="A63" s="9"/>
      <c r="B63" s="34"/>
      <c r="C63" s="34"/>
      <c r="D63" s="1805"/>
      <c r="E63" s="35">
        <f t="shared" si="7"/>
        <v>0</v>
      </c>
      <c r="F63" s="36"/>
      <c r="G63" s="37">
        <f t="shared" si="8"/>
        <v>0</v>
      </c>
      <c r="H63" s="38">
        <f t="shared" si="9"/>
        <v>0</v>
      </c>
      <c r="I63" s="39"/>
      <c r="J63" s="39"/>
      <c r="K63" s="39"/>
      <c r="L63" s="39"/>
      <c r="M63" s="39"/>
      <c r="N63" s="39"/>
      <c r="O63" s="39"/>
      <c r="P63" s="39"/>
      <c r="Q63" s="39"/>
      <c r="R63" s="39"/>
      <c r="S63" s="39"/>
      <c r="T63" s="39"/>
      <c r="U63" s="39"/>
      <c r="V63" s="39"/>
      <c r="W63" s="39"/>
      <c r="X63" s="39"/>
      <c r="Y63" s="39"/>
      <c r="Z63" s="39"/>
      <c r="AA63" s="39"/>
      <c r="AB63" s="39"/>
      <c r="AC63" s="35">
        <f t="shared" si="10"/>
        <v>0</v>
      </c>
      <c r="AD63" s="40"/>
      <c r="AE63" s="40"/>
      <c r="AF63" s="40"/>
      <c r="AG63" s="40"/>
      <c r="AH63" s="40"/>
      <c r="AI63" s="40"/>
      <c r="AJ63" s="40"/>
      <c r="AK63" s="40"/>
      <c r="AL63" s="40"/>
      <c r="AM63" s="40"/>
      <c r="AN63" s="40"/>
      <c r="AO63" s="40"/>
      <c r="AP63" s="40"/>
      <c r="AQ63" s="40"/>
      <c r="AR63" s="40"/>
      <c r="AS63" s="40"/>
      <c r="AT63" s="41"/>
      <c r="AU63" s="1806"/>
      <c r="AV63" s="1517">
        <f t="shared" si="11"/>
        <v>0</v>
      </c>
      <c r="AW63" s="1517">
        <f t="shared" si="12"/>
        <v>0</v>
      </c>
      <c r="AX63" s="1517">
        <f t="shared" si="13"/>
        <v>0</v>
      </c>
      <c r="AY63" s="42">
        <f t="shared" si="14"/>
        <v>0</v>
      </c>
      <c r="AZ63" s="35">
        <f t="shared" si="15"/>
        <v>0</v>
      </c>
      <c r="BA63" s="35">
        <f t="shared" si="16"/>
        <v>0</v>
      </c>
      <c r="BB63" s="35">
        <f t="shared" si="17"/>
        <v>0</v>
      </c>
      <c r="BC63" s="35">
        <f t="shared" si="18"/>
        <v>0</v>
      </c>
      <c r="BD63" s="35">
        <f t="shared" si="19"/>
        <v>0</v>
      </c>
      <c r="BE63" s="35">
        <f t="shared" si="20"/>
        <v>0</v>
      </c>
      <c r="BF63" s="35">
        <f t="shared" si="21"/>
        <v>0</v>
      </c>
      <c r="BG63" s="35">
        <f t="shared" si="22"/>
        <v>0</v>
      </c>
      <c r="BH63" s="35">
        <f t="shared" si="23"/>
        <v>0</v>
      </c>
      <c r="BI63" s="35">
        <f t="shared" si="24"/>
        <v>0</v>
      </c>
      <c r="BJ63" s="35">
        <f t="shared" si="25"/>
        <v>0</v>
      </c>
      <c r="BK63" s="35">
        <f t="shared" si="26"/>
        <v>0</v>
      </c>
      <c r="BL63" s="35">
        <f t="shared" si="27"/>
        <v>0</v>
      </c>
      <c r="BM63" s="35">
        <f t="shared" si="28"/>
        <v>0</v>
      </c>
      <c r="BN63" s="35">
        <f t="shared" si="29"/>
        <v>0</v>
      </c>
      <c r="BO63" s="35">
        <f t="shared" si="30"/>
        <v>0</v>
      </c>
      <c r="BP63" s="35">
        <f t="shared" si="31"/>
        <v>0</v>
      </c>
      <c r="BQ63" s="35">
        <f t="shared" si="32"/>
        <v>0</v>
      </c>
      <c r="BR63" s="35">
        <f t="shared" si="33"/>
        <v>0</v>
      </c>
      <c r="BS63" s="35">
        <f t="shared" si="34"/>
        <v>0</v>
      </c>
      <c r="BT63" s="43">
        <f t="shared" si="35"/>
        <v>0</v>
      </c>
    </row>
    <row r="64" spans="1:72">
      <c r="A64" s="9"/>
      <c r="B64" s="34"/>
      <c r="C64" s="34"/>
      <c r="D64" s="1805"/>
      <c r="E64" s="35">
        <f t="shared" si="7"/>
        <v>0</v>
      </c>
      <c r="F64" s="36"/>
      <c r="G64" s="37">
        <f t="shared" si="8"/>
        <v>0</v>
      </c>
      <c r="H64" s="38">
        <f t="shared" si="9"/>
        <v>0</v>
      </c>
      <c r="I64" s="39"/>
      <c r="J64" s="39"/>
      <c r="K64" s="39"/>
      <c r="L64" s="39"/>
      <c r="M64" s="39"/>
      <c r="N64" s="39"/>
      <c r="O64" s="39"/>
      <c r="P64" s="39"/>
      <c r="Q64" s="39"/>
      <c r="R64" s="39"/>
      <c r="S64" s="39"/>
      <c r="T64" s="39"/>
      <c r="U64" s="39"/>
      <c r="V64" s="39"/>
      <c r="W64" s="39"/>
      <c r="X64" s="39"/>
      <c r="Y64" s="39"/>
      <c r="Z64" s="39"/>
      <c r="AA64" s="39"/>
      <c r="AB64" s="39"/>
      <c r="AC64" s="35">
        <f t="shared" si="10"/>
        <v>0</v>
      </c>
      <c r="AD64" s="40"/>
      <c r="AE64" s="40"/>
      <c r="AF64" s="40"/>
      <c r="AG64" s="40"/>
      <c r="AH64" s="40"/>
      <c r="AI64" s="40"/>
      <c r="AJ64" s="40"/>
      <c r="AK64" s="40"/>
      <c r="AL64" s="40"/>
      <c r="AM64" s="40"/>
      <c r="AN64" s="40"/>
      <c r="AO64" s="40"/>
      <c r="AP64" s="40"/>
      <c r="AQ64" s="40"/>
      <c r="AR64" s="40"/>
      <c r="AS64" s="40"/>
      <c r="AT64" s="41"/>
      <c r="AU64" s="1806"/>
      <c r="AV64" s="1517">
        <f t="shared" si="11"/>
        <v>0</v>
      </c>
      <c r="AW64" s="1517">
        <f t="shared" si="12"/>
        <v>0</v>
      </c>
      <c r="AX64" s="1517">
        <f t="shared" si="13"/>
        <v>0</v>
      </c>
      <c r="AY64" s="42">
        <f t="shared" si="14"/>
        <v>0</v>
      </c>
      <c r="AZ64" s="35">
        <f t="shared" si="15"/>
        <v>0</v>
      </c>
      <c r="BA64" s="35">
        <f t="shared" si="16"/>
        <v>0</v>
      </c>
      <c r="BB64" s="35">
        <f t="shared" si="17"/>
        <v>0</v>
      </c>
      <c r="BC64" s="35">
        <f t="shared" si="18"/>
        <v>0</v>
      </c>
      <c r="BD64" s="35">
        <f t="shared" si="19"/>
        <v>0</v>
      </c>
      <c r="BE64" s="35">
        <f t="shared" si="20"/>
        <v>0</v>
      </c>
      <c r="BF64" s="35">
        <f t="shared" si="21"/>
        <v>0</v>
      </c>
      <c r="BG64" s="35">
        <f t="shared" si="22"/>
        <v>0</v>
      </c>
      <c r="BH64" s="35">
        <f t="shared" si="23"/>
        <v>0</v>
      </c>
      <c r="BI64" s="35">
        <f t="shared" si="24"/>
        <v>0</v>
      </c>
      <c r="BJ64" s="35">
        <f t="shared" si="25"/>
        <v>0</v>
      </c>
      <c r="BK64" s="35">
        <f t="shared" si="26"/>
        <v>0</v>
      </c>
      <c r="BL64" s="35">
        <f t="shared" si="27"/>
        <v>0</v>
      </c>
      <c r="BM64" s="35">
        <f t="shared" si="28"/>
        <v>0</v>
      </c>
      <c r="BN64" s="35">
        <f t="shared" si="29"/>
        <v>0</v>
      </c>
      <c r="BO64" s="35">
        <f t="shared" si="30"/>
        <v>0</v>
      </c>
      <c r="BP64" s="35">
        <f t="shared" si="31"/>
        <v>0</v>
      </c>
      <c r="BQ64" s="35">
        <f t="shared" si="32"/>
        <v>0</v>
      </c>
      <c r="BR64" s="35">
        <f t="shared" si="33"/>
        <v>0</v>
      </c>
      <c r="BS64" s="35">
        <f t="shared" si="34"/>
        <v>0</v>
      </c>
      <c r="BT64" s="43">
        <f t="shared" si="35"/>
        <v>0</v>
      </c>
    </row>
    <row r="65" spans="1:72">
      <c r="A65" s="9"/>
      <c r="B65" s="34"/>
      <c r="C65" s="34"/>
      <c r="D65" s="1805"/>
      <c r="E65" s="35">
        <f t="shared" si="7"/>
        <v>0</v>
      </c>
      <c r="F65" s="36"/>
      <c r="G65" s="37">
        <f t="shared" si="8"/>
        <v>0</v>
      </c>
      <c r="H65" s="38">
        <f t="shared" si="9"/>
        <v>0</v>
      </c>
      <c r="I65" s="39"/>
      <c r="J65" s="39"/>
      <c r="K65" s="39"/>
      <c r="L65" s="39"/>
      <c r="M65" s="39"/>
      <c r="N65" s="39"/>
      <c r="O65" s="39"/>
      <c r="P65" s="39"/>
      <c r="Q65" s="39"/>
      <c r="R65" s="39"/>
      <c r="S65" s="39"/>
      <c r="T65" s="39"/>
      <c r="U65" s="39"/>
      <c r="V65" s="39"/>
      <c r="W65" s="39"/>
      <c r="X65" s="39"/>
      <c r="Y65" s="39"/>
      <c r="Z65" s="39"/>
      <c r="AA65" s="39"/>
      <c r="AB65" s="39"/>
      <c r="AC65" s="35">
        <f t="shared" si="10"/>
        <v>0</v>
      </c>
      <c r="AD65" s="40"/>
      <c r="AE65" s="40"/>
      <c r="AF65" s="40"/>
      <c r="AG65" s="40"/>
      <c r="AH65" s="40"/>
      <c r="AI65" s="40"/>
      <c r="AJ65" s="40"/>
      <c r="AK65" s="40"/>
      <c r="AL65" s="40"/>
      <c r="AM65" s="40"/>
      <c r="AN65" s="40"/>
      <c r="AO65" s="40"/>
      <c r="AP65" s="40"/>
      <c r="AQ65" s="40"/>
      <c r="AR65" s="40"/>
      <c r="AS65" s="40"/>
      <c r="AT65" s="41"/>
      <c r="AU65" s="1806"/>
      <c r="AV65" s="1517">
        <f t="shared" si="11"/>
        <v>0</v>
      </c>
      <c r="AW65" s="1517">
        <f t="shared" si="12"/>
        <v>0</v>
      </c>
      <c r="AX65" s="1517">
        <f t="shared" si="13"/>
        <v>0</v>
      </c>
      <c r="AY65" s="42">
        <f t="shared" si="14"/>
        <v>0</v>
      </c>
      <c r="AZ65" s="35">
        <f t="shared" si="15"/>
        <v>0</v>
      </c>
      <c r="BA65" s="35">
        <f t="shared" si="16"/>
        <v>0</v>
      </c>
      <c r="BB65" s="35">
        <f t="shared" si="17"/>
        <v>0</v>
      </c>
      <c r="BC65" s="35">
        <f t="shared" si="18"/>
        <v>0</v>
      </c>
      <c r="BD65" s="35">
        <f t="shared" si="19"/>
        <v>0</v>
      </c>
      <c r="BE65" s="35">
        <f t="shared" si="20"/>
        <v>0</v>
      </c>
      <c r="BF65" s="35">
        <f t="shared" si="21"/>
        <v>0</v>
      </c>
      <c r="BG65" s="35">
        <f t="shared" si="22"/>
        <v>0</v>
      </c>
      <c r="BH65" s="35">
        <f t="shared" si="23"/>
        <v>0</v>
      </c>
      <c r="BI65" s="35">
        <f t="shared" si="24"/>
        <v>0</v>
      </c>
      <c r="BJ65" s="35">
        <f t="shared" si="25"/>
        <v>0</v>
      </c>
      <c r="BK65" s="35">
        <f t="shared" si="26"/>
        <v>0</v>
      </c>
      <c r="BL65" s="35">
        <f t="shared" si="27"/>
        <v>0</v>
      </c>
      <c r="BM65" s="35">
        <f t="shared" si="28"/>
        <v>0</v>
      </c>
      <c r="BN65" s="35">
        <f t="shared" si="29"/>
        <v>0</v>
      </c>
      <c r="BO65" s="35">
        <f t="shared" si="30"/>
        <v>0</v>
      </c>
      <c r="BP65" s="35">
        <f t="shared" si="31"/>
        <v>0</v>
      </c>
      <c r="BQ65" s="35">
        <f t="shared" si="32"/>
        <v>0</v>
      </c>
      <c r="BR65" s="35">
        <f t="shared" si="33"/>
        <v>0</v>
      </c>
      <c r="BS65" s="35">
        <f t="shared" si="34"/>
        <v>0</v>
      </c>
      <c r="BT65" s="43">
        <f t="shared" si="35"/>
        <v>0</v>
      </c>
    </row>
    <row r="66" spans="1:72">
      <c r="A66" s="9"/>
      <c r="B66" s="34"/>
      <c r="C66" s="34"/>
      <c r="D66" s="1805"/>
      <c r="E66" s="35">
        <f t="shared" si="7"/>
        <v>0</v>
      </c>
      <c r="F66" s="36"/>
      <c r="G66" s="37">
        <f t="shared" si="8"/>
        <v>0</v>
      </c>
      <c r="H66" s="38">
        <f t="shared" si="9"/>
        <v>0</v>
      </c>
      <c r="I66" s="39"/>
      <c r="J66" s="39"/>
      <c r="K66" s="39"/>
      <c r="L66" s="39"/>
      <c r="M66" s="39"/>
      <c r="N66" s="39"/>
      <c r="O66" s="39"/>
      <c r="P66" s="39"/>
      <c r="Q66" s="39"/>
      <c r="R66" s="39"/>
      <c r="S66" s="39"/>
      <c r="T66" s="39"/>
      <c r="U66" s="39"/>
      <c r="V66" s="39"/>
      <c r="W66" s="39"/>
      <c r="X66" s="39"/>
      <c r="Y66" s="39"/>
      <c r="Z66" s="39"/>
      <c r="AA66" s="39"/>
      <c r="AB66" s="39"/>
      <c r="AC66" s="35">
        <f t="shared" si="10"/>
        <v>0</v>
      </c>
      <c r="AD66" s="40"/>
      <c r="AE66" s="40"/>
      <c r="AF66" s="40"/>
      <c r="AG66" s="40"/>
      <c r="AH66" s="40"/>
      <c r="AI66" s="40"/>
      <c r="AJ66" s="40"/>
      <c r="AK66" s="40"/>
      <c r="AL66" s="40"/>
      <c r="AM66" s="40"/>
      <c r="AN66" s="40"/>
      <c r="AO66" s="40"/>
      <c r="AP66" s="40"/>
      <c r="AQ66" s="40"/>
      <c r="AR66" s="40"/>
      <c r="AS66" s="40"/>
      <c r="AT66" s="41"/>
      <c r="AU66" s="1806"/>
      <c r="AV66" s="1517">
        <f t="shared" si="11"/>
        <v>0</v>
      </c>
      <c r="AW66" s="1517">
        <f t="shared" si="12"/>
        <v>0</v>
      </c>
      <c r="AX66" s="1517">
        <f t="shared" si="13"/>
        <v>0</v>
      </c>
      <c r="AY66" s="42">
        <f t="shared" si="14"/>
        <v>0</v>
      </c>
      <c r="AZ66" s="35">
        <f t="shared" si="15"/>
        <v>0</v>
      </c>
      <c r="BA66" s="35">
        <f t="shared" si="16"/>
        <v>0</v>
      </c>
      <c r="BB66" s="35">
        <f t="shared" si="17"/>
        <v>0</v>
      </c>
      <c r="BC66" s="35">
        <f t="shared" si="18"/>
        <v>0</v>
      </c>
      <c r="BD66" s="35">
        <f t="shared" si="19"/>
        <v>0</v>
      </c>
      <c r="BE66" s="35">
        <f t="shared" si="20"/>
        <v>0</v>
      </c>
      <c r="BF66" s="35">
        <f t="shared" si="21"/>
        <v>0</v>
      </c>
      <c r="BG66" s="35">
        <f t="shared" si="22"/>
        <v>0</v>
      </c>
      <c r="BH66" s="35">
        <f t="shared" si="23"/>
        <v>0</v>
      </c>
      <c r="BI66" s="35">
        <f t="shared" si="24"/>
        <v>0</v>
      </c>
      <c r="BJ66" s="35">
        <f t="shared" si="25"/>
        <v>0</v>
      </c>
      <c r="BK66" s="35">
        <f t="shared" si="26"/>
        <v>0</v>
      </c>
      <c r="BL66" s="35">
        <f t="shared" si="27"/>
        <v>0</v>
      </c>
      <c r="BM66" s="35">
        <f t="shared" si="28"/>
        <v>0</v>
      </c>
      <c r="BN66" s="35">
        <f t="shared" si="29"/>
        <v>0</v>
      </c>
      <c r="BO66" s="35">
        <f t="shared" si="30"/>
        <v>0</v>
      </c>
      <c r="BP66" s="35">
        <f t="shared" si="31"/>
        <v>0</v>
      </c>
      <c r="BQ66" s="35">
        <f t="shared" si="32"/>
        <v>0</v>
      </c>
      <c r="BR66" s="35">
        <f t="shared" si="33"/>
        <v>0</v>
      </c>
      <c r="BS66" s="35">
        <f t="shared" si="34"/>
        <v>0</v>
      </c>
      <c r="BT66" s="43">
        <f t="shared" si="35"/>
        <v>0</v>
      </c>
    </row>
    <row r="67" spans="1:72">
      <c r="A67" s="9"/>
      <c r="B67" s="34"/>
      <c r="C67" s="34"/>
      <c r="D67" s="1805"/>
      <c r="E67" s="35">
        <f t="shared" si="7"/>
        <v>0</v>
      </c>
      <c r="F67" s="36"/>
      <c r="G67" s="37">
        <f t="shared" si="8"/>
        <v>0</v>
      </c>
      <c r="H67" s="38">
        <f t="shared" si="9"/>
        <v>0</v>
      </c>
      <c r="I67" s="39"/>
      <c r="J67" s="39"/>
      <c r="K67" s="39"/>
      <c r="L67" s="39"/>
      <c r="M67" s="39"/>
      <c r="N67" s="39"/>
      <c r="O67" s="39"/>
      <c r="P67" s="39"/>
      <c r="Q67" s="39"/>
      <c r="R67" s="39"/>
      <c r="S67" s="39"/>
      <c r="T67" s="39"/>
      <c r="U67" s="39"/>
      <c r="V67" s="39"/>
      <c r="W67" s="39"/>
      <c r="X67" s="39"/>
      <c r="Y67" s="39"/>
      <c r="Z67" s="39"/>
      <c r="AA67" s="39"/>
      <c r="AB67" s="39"/>
      <c r="AC67" s="35">
        <f t="shared" si="10"/>
        <v>0</v>
      </c>
      <c r="AD67" s="40"/>
      <c r="AE67" s="40"/>
      <c r="AF67" s="40"/>
      <c r="AG67" s="40"/>
      <c r="AH67" s="40"/>
      <c r="AI67" s="40"/>
      <c r="AJ67" s="40"/>
      <c r="AK67" s="40"/>
      <c r="AL67" s="40"/>
      <c r="AM67" s="40"/>
      <c r="AN67" s="40"/>
      <c r="AO67" s="40"/>
      <c r="AP67" s="40"/>
      <c r="AQ67" s="40"/>
      <c r="AR67" s="40"/>
      <c r="AS67" s="40"/>
      <c r="AT67" s="41"/>
      <c r="AU67" s="1806"/>
      <c r="AV67" s="1517">
        <f t="shared" si="11"/>
        <v>0</v>
      </c>
      <c r="AW67" s="1517">
        <f t="shared" si="12"/>
        <v>0</v>
      </c>
      <c r="AX67" s="1517">
        <f t="shared" si="13"/>
        <v>0</v>
      </c>
      <c r="AY67" s="42">
        <f t="shared" si="14"/>
        <v>0</v>
      </c>
      <c r="AZ67" s="35">
        <f t="shared" si="15"/>
        <v>0</v>
      </c>
      <c r="BA67" s="35">
        <f t="shared" si="16"/>
        <v>0</v>
      </c>
      <c r="BB67" s="35">
        <f t="shared" si="17"/>
        <v>0</v>
      </c>
      <c r="BC67" s="35">
        <f t="shared" si="18"/>
        <v>0</v>
      </c>
      <c r="BD67" s="35">
        <f t="shared" si="19"/>
        <v>0</v>
      </c>
      <c r="BE67" s="35">
        <f t="shared" si="20"/>
        <v>0</v>
      </c>
      <c r="BF67" s="35">
        <f t="shared" si="21"/>
        <v>0</v>
      </c>
      <c r="BG67" s="35">
        <f t="shared" si="22"/>
        <v>0</v>
      </c>
      <c r="BH67" s="35">
        <f t="shared" si="23"/>
        <v>0</v>
      </c>
      <c r="BI67" s="35">
        <f t="shared" si="24"/>
        <v>0</v>
      </c>
      <c r="BJ67" s="35">
        <f t="shared" si="25"/>
        <v>0</v>
      </c>
      <c r="BK67" s="35">
        <f t="shared" si="26"/>
        <v>0</v>
      </c>
      <c r="BL67" s="35">
        <f t="shared" si="27"/>
        <v>0</v>
      </c>
      <c r="BM67" s="35">
        <f t="shared" si="28"/>
        <v>0</v>
      </c>
      <c r="BN67" s="35">
        <f t="shared" si="29"/>
        <v>0</v>
      </c>
      <c r="BO67" s="35">
        <f t="shared" si="30"/>
        <v>0</v>
      </c>
      <c r="BP67" s="35">
        <f t="shared" si="31"/>
        <v>0</v>
      </c>
      <c r="BQ67" s="35">
        <f t="shared" si="32"/>
        <v>0</v>
      </c>
      <c r="BR67" s="35">
        <f t="shared" si="33"/>
        <v>0</v>
      </c>
      <c r="BS67" s="35">
        <f t="shared" si="34"/>
        <v>0</v>
      </c>
      <c r="BT67" s="43">
        <f t="shared" si="35"/>
        <v>0</v>
      </c>
    </row>
    <row r="68" spans="1:72">
      <c r="A68" s="9"/>
      <c r="B68" s="34"/>
      <c r="C68" s="34"/>
      <c r="D68" s="1805"/>
      <c r="E68" s="35">
        <f t="shared" si="7"/>
        <v>0</v>
      </c>
      <c r="F68" s="36"/>
      <c r="G68" s="37">
        <f t="shared" si="8"/>
        <v>0</v>
      </c>
      <c r="H68" s="38">
        <f t="shared" si="9"/>
        <v>0</v>
      </c>
      <c r="I68" s="39"/>
      <c r="J68" s="39"/>
      <c r="K68" s="39"/>
      <c r="L68" s="39"/>
      <c r="M68" s="39"/>
      <c r="N68" s="39"/>
      <c r="O68" s="39"/>
      <c r="P68" s="39"/>
      <c r="Q68" s="39"/>
      <c r="R68" s="39"/>
      <c r="S68" s="39"/>
      <c r="T68" s="39"/>
      <c r="U68" s="39"/>
      <c r="V68" s="39"/>
      <c r="W68" s="39"/>
      <c r="X68" s="39"/>
      <c r="Y68" s="39"/>
      <c r="Z68" s="39"/>
      <c r="AA68" s="39"/>
      <c r="AB68" s="39"/>
      <c r="AC68" s="35">
        <f t="shared" si="10"/>
        <v>0</v>
      </c>
      <c r="AD68" s="40"/>
      <c r="AE68" s="40"/>
      <c r="AF68" s="40"/>
      <c r="AG68" s="40"/>
      <c r="AH68" s="40"/>
      <c r="AI68" s="40"/>
      <c r="AJ68" s="40"/>
      <c r="AK68" s="40"/>
      <c r="AL68" s="40"/>
      <c r="AM68" s="40"/>
      <c r="AN68" s="40"/>
      <c r="AO68" s="40"/>
      <c r="AP68" s="40"/>
      <c r="AQ68" s="40"/>
      <c r="AR68" s="40"/>
      <c r="AS68" s="40"/>
      <c r="AT68" s="41"/>
      <c r="AU68" s="1806"/>
      <c r="AV68" s="1517">
        <f t="shared" si="11"/>
        <v>0</v>
      </c>
      <c r="AW68" s="1517">
        <f t="shared" si="12"/>
        <v>0</v>
      </c>
      <c r="AX68" s="1517">
        <f t="shared" si="13"/>
        <v>0</v>
      </c>
      <c r="AY68" s="42">
        <f t="shared" si="14"/>
        <v>0</v>
      </c>
      <c r="AZ68" s="35">
        <f t="shared" si="15"/>
        <v>0</v>
      </c>
      <c r="BA68" s="35">
        <f t="shared" si="16"/>
        <v>0</v>
      </c>
      <c r="BB68" s="35">
        <f t="shared" si="17"/>
        <v>0</v>
      </c>
      <c r="BC68" s="35">
        <f t="shared" si="18"/>
        <v>0</v>
      </c>
      <c r="BD68" s="35">
        <f t="shared" si="19"/>
        <v>0</v>
      </c>
      <c r="BE68" s="35">
        <f t="shared" si="20"/>
        <v>0</v>
      </c>
      <c r="BF68" s="35">
        <f t="shared" si="21"/>
        <v>0</v>
      </c>
      <c r="BG68" s="35">
        <f t="shared" si="22"/>
        <v>0</v>
      </c>
      <c r="BH68" s="35">
        <f t="shared" si="23"/>
        <v>0</v>
      </c>
      <c r="BI68" s="35">
        <f t="shared" si="24"/>
        <v>0</v>
      </c>
      <c r="BJ68" s="35">
        <f t="shared" si="25"/>
        <v>0</v>
      </c>
      <c r="BK68" s="35">
        <f t="shared" si="26"/>
        <v>0</v>
      </c>
      <c r="BL68" s="35">
        <f t="shared" si="27"/>
        <v>0</v>
      </c>
      <c r="BM68" s="35">
        <f t="shared" si="28"/>
        <v>0</v>
      </c>
      <c r="BN68" s="35">
        <f t="shared" si="29"/>
        <v>0</v>
      </c>
      <c r="BO68" s="35">
        <f t="shared" si="30"/>
        <v>0</v>
      </c>
      <c r="BP68" s="35">
        <f t="shared" si="31"/>
        <v>0</v>
      </c>
      <c r="BQ68" s="35">
        <f t="shared" si="32"/>
        <v>0</v>
      </c>
      <c r="BR68" s="35">
        <f t="shared" si="33"/>
        <v>0</v>
      </c>
      <c r="BS68" s="35">
        <f t="shared" si="34"/>
        <v>0</v>
      </c>
      <c r="BT68" s="43">
        <f t="shared" si="35"/>
        <v>0</v>
      </c>
    </row>
    <row r="69" spans="1:72">
      <c r="A69" s="9"/>
      <c r="B69" s="34"/>
      <c r="C69" s="34"/>
      <c r="D69" s="1805"/>
      <c r="E69" s="35">
        <f t="shared" si="7"/>
        <v>0</v>
      </c>
      <c r="F69" s="36"/>
      <c r="G69" s="37">
        <f t="shared" si="8"/>
        <v>0</v>
      </c>
      <c r="H69" s="38">
        <f t="shared" si="9"/>
        <v>0</v>
      </c>
      <c r="I69" s="39"/>
      <c r="J69" s="39"/>
      <c r="K69" s="39"/>
      <c r="L69" s="39"/>
      <c r="M69" s="39"/>
      <c r="N69" s="39"/>
      <c r="O69" s="39"/>
      <c r="P69" s="39"/>
      <c r="Q69" s="39"/>
      <c r="R69" s="39"/>
      <c r="S69" s="39"/>
      <c r="T69" s="39"/>
      <c r="U69" s="39"/>
      <c r="V69" s="39"/>
      <c r="W69" s="39"/>
      <c r="X69" s="39"/>
      <c r="Y69" s="39"/>
      <c r="Z69" s="39"/>
      <c r="AA69" s="39"/>
      <c r="AB69" s="39"/>
      <c r="AC69" s="35">
        <f t="shared" si="10"/>
        <v>0</v>
      </c>
      <c r="AD69" s="40"/>
      <c r="AE69" s="40"/>
      <c r="AF69" s="40"/>
      <c r="AG69" s="40"/>
      <c r="AH69" s="40"/>
      <c r="AI69" s="40"/>
      <c r="AJ69" s="40"/>
      <c r="AK69" s="40"/>
      <c r="AL69" s="40"/>
      <c r="AM69" s="40"/>
      <c r="AN69" s="40"/>
      <c r="AO69" s="40"/>
      <c r="AP69" s="40"/>
      <c r="AQ69" s="40"/>
      <c r="AR69" s="40"/>
      <c r="AS69" s="40"/>
      <c r="AT69" s="41"/>
      <c r="AU69" s="1806"/>
      <c r="AV69" s="1517">
        <f t="shared" si="11"/>
        <v>0</v>
      </c>
      <c r="AW69" s="1517">
        <f t="shared" si="12"/>
        <v>0</v>
      </c>
      <c r="AX69" s="1517">
        <f t="shared" si="13"/>
        <v>0</v>
      </c>
      <c r="AY69" s="42">
        <f t="shared" si="14"/>
        <v>0</v>
      </c>
      <c r="AZ69" s="35">
        <f t="shared" si="15"/>
        <v>0</v>
      </c>
      <c r="BA69" s="35">
        <f t="shared" si="16"/>
        <v>0</v>
      </c>
      <c r="BB69" s="35">
        <f t="shared" si="17"/>
        <v>0</v>
      </c>
      <c r="BC69" s="35">
        <f t="shared" si="18"/>
        <v>0</v>
      </c>
      <c r="BD69" s="35">
        <f t="shared" si="19"/>
        <v>0</v>
      </c>
      <c r="BE69" s="35">
        <f t="shared" si="20"/>
        <v>0</v>
      </c>
      <c r="BF69" s="35">
        <f t="shared" si="21"/>
        <v>0</v>
      </c>
      <c r="BG69" s="35">
        <f t="shared" si="22"/>
        <v>0</v>
      </c>
      <c r="BH69" s="35">
        <f t="shared" si="23"/>
        <v>0</v>
      </c>
      <c r="BI69" s="35">
        <f t="shared" si="24"/>
        <v>0</v>
      </c>
      <c r="BJ69" s="35">
        <f t="shared" si="25"/>
        <v>0</v>
      </c>
      <c r="BK69" s="35">
        <f t="shared" si="26"/>
        <v>0</v>
      </c>
      <c r="BL69" s="35">
        <f t="shared" si="27"/>
        <v>0</v>
      </c>
      <c r="BM69" s="35">
        <f t="shared" si="28"/>
        <v>0</v>
      </c>
      <c r="BN69" s="35">
        <f t="shared" si="29"/>
        <v>0</v>
      </c>
      <c r="BO69" s="35">
        <f t="shared" si="30"/>
        <v>0</v>
      </c>
      <c r="BP69" s="35">
        <f t="shared" si="31"/>
        <v>0</v>
      </c>
      <c r="BQ69" s="35">
        <f t="shared" si="32"/>
        <v>0</v>
      </c>
      <c r="BR69" s="35">
        <f t="shared" si="33"/>
        <v>0</v>
      </c>
      <c r="BS69" s="35">
        <f t="shared" si="34"/>
        <v>0</v>
      </c>
      <c r="BT69" s="43">
        <f t="shared" si="35"/>
        <v>0</v>
      </c>
    </row>
    <row r="70" spans="1:72">
      <c r="A70" s="9"/>
      <c r="B70" s="34"/>
      <c r="C70" s="34"/>
      <c r="D70" s="1805"/>
      <c r="E70" s="35">
        <f t="shared" si="7"/>
        <v>0</v>
      </c>
      <c r="F70" s="36"/>
      <c r="G70" s="37">
        <f t="shared" si="8"/>
        <v>0</v>
      </c>
      <c r="H70" s="38">
        <f t="shared" si="9"/>
        <v>0</v>
      </c>
      <c r="I70" s="39"/>
      <c r="J70" s="39"/>
      <c r="K70" s="39"/>
      <c r="L70" s="39"/>
      <c r="M70" s="39"/>
      <c r="N70" s="39"/>
      <c r="O70" s="39"/>
      <c r="P70" s="39"/>
      <c r="Q70" s="39"/>
      <c r="R70" s="39"/>
      <c r="S70" s="39"/>
      <c r="T70" s="39"/>
      <c r="U70" s="39"/>
      <c r="V70" s="39"/>
      <c r="W70" s="39"/>
      <c r="X70" s="39"/>
      <c r="Y70" s="39"/>
      <c r="Z70" s="39"/>
      <c r="AA70" s="39"/>
      <c r="AB70" s="39"/>
      <c r="AC70" s="35">
        <f t="shared" si="10"/>
        <v>0</v>
      </c>
      <c r="AD70" s="40"/>
      <c r="AE70" s="40"/>
      <c r="AF70" s="40"/>
      <c r="AG70" s="40"/>
      <c r="AH70" s="40"/>
      <c r="AI70" s="40"/>
      <c r="AJ70" s="40"/>
      <c r="AK70" s="40"/>
      <c r="AL70" s="40"/>
      <c r="AM70" s="40"/>
      <c r="AN70" s="40"/>
      <c r="AO70" s="40"/>
      <c r="AP70" s="40"/>
      <c r="AQ70" s="40"/>
      <c r="AR70" s="40"/>
      <c r="AS70" s="40"/>
      <c r="AT70" s="41"/>
      <c r="AU70" s="1806"/>
      <c r="AV70" s="1517">
        <f t="shared" si="11"/>
        <v>0</v>
      </c>
      <c r="AW70" s="1517">
        <f t="shared" si="12"/>
        <v>0</v>
      </c>
      <c r="AX70" s="1517">
        <f t="shared" si="13"/>
        <v>0</v>
      </c>
      <c r="AY70" s="42">
        <f t="shared" si="14"/>
        <v>0</v>
      </c>
      <c r="AZ70" s="35">
        <f t="shared" si="15"/>
        <v>0</v>
      </c>
      <c r="BA70" s="35">
        <f t="shared" si="16"/>
        <v>0</v>
      </c>
      <c r="BB70" s="35">
        <f t="shared" si="17"/>
        <v>0</v>
      </c>
      <c r="BC70" s="35">
        <f t="shared" si="18"/>
        <v>0</v>
      </c>
      <c r="BD70" s="35">
        <f t="shared" si="19"/>
        <v>0</v>
      </c>
      <c r="BE70" s="35">
        <f t="shared" si="20"/>
        <v>0</v>
      </c>
      <c r="BF70" s="35">
        <f t="shared" si="21"/>
        <v>0</v>
      </c>
      <c r="BG70" s="35">
        <f t="shared" si="22"/>
        <v>0</v>
      </c>
      <c r="BH70" s="35">
        <f t="shared" si="23"/>
        <v>0</v>
      </c>
      <c r="BI70" s="35">
        <f t="shared" si="24"/>
        <v>0</v>
      </c>
      <c r="BJ70" s="35">
        <f t="shared" si="25"/>
        <v>0</v>
      </c>
      <c r="BK70" s="35">
        <f t="shared" si="26"/>
        <v>0</v>
      </c>
      <c r="BL70" s="35">
        <f t="shared" si="27"/>
        <v>0</v>
      </c>
      <c r="BM70" s="35">
        <f t="shared" si="28"/>
        <v>0</v>
      </c>
      <c r="BN70" s="35">
        <f t="shared" si="29"/>
        <v>0</v>
      </c>
      <c r="BO70" s="35">
        <f t="shared" si="30"/>
        <v>0</v>
      </c>
      <c r="BP70" s="35">
        <f t="shared" si="31"/>
        <v>0</v>
      </c>
      <c r="BQ70" s="35">
        <f t="shared" si="32"/>
        <v>0</v>
      </c>
      <c r="BR70" s="35">
        <f t="shared" si="33"/>
        <v>0</v>
      </c>
      <c r="BS70" s="35">
        <f t="shared" si="34"/>
        <v>0</v>
      </c>
      <c r="BT70" s="43">
        <f t="shared" si="35"/>
        <v>0</v>
      </c>
    </row>
    <row r="71" spans="1:72">
      <c r="A71" s="9"/>
      <c r="B71" s="34"/>
      <c r="C71" s="34"/>
      <c r="D71" s="1805"/>
      <c r="E71" s="35">
        <f t="shared" si="7"/>
        <v>0</v>
      </c>
      <c r="F71" s="36"/>
      <c r="G71" s="37">
        <f t="shared" si="8"/>
        <v>0</v>
      </c>
      <c r="H71" s="38">
        <f t="shared" si="9"/>
        <v>0</v>
      </c>
      <c r="I71" s="39"/>
      <c r="J71" s="39"/>
      <c r="K71" s="39"/>
      <c r="L71" s="39"/>
      <c r="M71" s="39"/>
      <c r="N71" s="39"/>
      <c r="O71" s="39"/>
      <c r="P71" s="39"/>
      <c r="Q71" s="39"/>
      <c r="R71" s="39"/>
      <c r="S71" s="39"/>
      <c r="T71" s="39"/>
      <c r="U71" s="39"/>
      <c r="V71" s="39"/>
      <c r="W71" s="39"/>
      <c r="X71" s="39"/>
      <c r="Y71" s="39"/>
      <c r="Z71" s="39"/>
      <c r="AA71" s="39"/>
      <c r="AB71" s="39"/>
      <c r="AC71" s="35">
        <f t="shared" si="10"/>
        <v>0</v>
      </c>
      <c r="AD71" s="40"/>
      <c r="AE71" s="40"/>
      <c r="AF71" s="40"/>
      <c r="AG71" s="40"/>
      <c r="AH71" s="40"/>
      <c r="AI71" s="40"/>
      <c r="AJ71" s="40"/>
      <c r="AK71" s="40"/>
      <c r="AL71" s="40"/>
      <c r="AM71" s="40"/>
      <c r="AN71" s="40"/>
      <c r="AO71" s="40"/>
      <c r="AP71" s="40"/>
      <c r="AQ71" s="40"/>
      <c r="AR71" s="40"/>
      <c r="AS71" s="40"/>
      <c r="AT71" s="41"/>
      <c r="AU71" s="1806"/>
      <c r="AV71" s="1517">
        <f t="shared" si="11"/>
        <v>0</v>
      </c>
      <c r="AW71" s="1517">
        <f t="shared" si="12"/>
        <v>0</v>
      </c>
      <c r="AX71" s="1517">
        <f t="shared" si="13"/>
        <v>0</v>
      </c>
      <c r="AY71" s="42">
        <f t="shared" si="14"/>
        <v>0</v>
      </c>
      <c r="AZ71" s="35">
        <f t="shared" si="15"/>
        <v>0</v>
      </c>
      <c r="BA71" s="35">
        <f t="shared" si="16"/>
        <v>0</v>
      </c>
      <c r="BB71" s="35">
        <f t="shared" si="17"/>
        <v>0</v>
      </c>
      <c r="BC71" s="35">
        <f t="shared" si="18"/>
        <v>0</v>
      </c>
      <c r="BD71" s="35">
        <f t="shared" si="19"/>
        <v>0</v>
      </c>
      <c r="BE71" s="35">
        <f t="shared" si="20"/>
        <v>0</v>
      </c>
      <c r="BF71" s="35">
        <f t="shared" si="21"/>
        <v>0</v>
      </c>
      <c r="BG71" s="35">
        <f t="shared" si="22"/>
        <v>0</v>
      </c>
      <c r="BH71" s="35">
        <f t="shared" si="23"/>
        <v>0</v>
      </c>
      <c r="BI71" s="35">
        <f t="shared" si="24"/>
        <v>0</v>
      </c>
      <c r="BJ71" s="35">
        <f t="shared" si="25"/>
        <v>0</v>
      </c>
      <c r="BK71" s="35">
        <f t="shared" si="26"/>
        <v>0</v>
      </c>
      <c r="BL71" s="35">
        <f t="shared" si="27"/>
        <v>0</v>
      </c>
      <c r="BM71" s="35">
        <f t="shared" si="28"/>
        <v>0</v>
      </c>
      <c r="BN71" s="35">
        <f t="shared" si="29"/>
        <v>0</v>
      </c>
      <c r="BO71" s="35">
        <f t="shared" si="30"/>
        <v>0</v>
      </c>
      <c r="BP71" s="35">
        <f t="shared" si="31"/>
        <v>0</v>
      </c>
      <c r="BQ71" s="35">
        <f t="shared" si="32"/>
        <v>0</v>
      </c>
      <c r="BR71" s="35">
        <f t="shared" si="33"/>
        <v>0</v>
      </c>
      <c r="BS71" s="35">
        <f t="shared" si="34"/>
        <v>0</v>
      </c>
      <c r="BT71" s="43">
        <f t="shared" si="35"/>
        <v>0</v>
      </c>
    </row>
    <row r="72" spans="1:72">
      <c r="A72" s="9"/>
      <c r="B72" s="34"/>
      <c r="C72" s="34"/>
      <c r="D72" s="1805"/>
      <c r="E72" s="35">
        <f t="shared" si="7"/>
        <v>0</v>
      </c>
      <c r="F72" s="36"/>
      <c r="G72" s="37">
        <f t="shared" si="8"/>
        <v>0</v>
      </c>
      <c r="H72" s="38">
        <f t="shared" si="9"/>
        <v>0</v>
      </c>
      <c r="I72" s="39"/>
      <c r="J72" s="39"/>
      <c r="K72" s="39"/>
      <c r="L72" s="39"/>
      <c r="M72" s="39"/>
      <c r="N72" s="39"/>
      <c r="O72" s="39"/>
      <c r="P72" s="39"/>
      <c r="Q72" s="39"/>
      <c r="R72" s="39"/>
      <c r="S72" s="39"/>
      <c r="T72" s="39"/>
      <c r="U72" s="39"/>
      <c r="V72" s="39"/>
      <c r="W72" s="39"/>
      <c r="X72" s="39"/>
      <c r="Y72" s="39"/>
      <c r="Z72" s="39"/>
      <c r="AA72" s="39"/>
      <c r="AB72" s="39"/>
      <c r="AC72" s="35">
        <f t="shared" si="10"/>
        <v>0</v>
      </c>
      <c r="AD72" s="40"/>
      <c r="AE72" s="40"/>
      <c r="AF72" s="40"/>
      <c r="AG72" s="40"/>
      <c r="AH72" s="40"/>
      <c r="AI72" s="40"/>
      <c r="AJ72" s="40"/>
      <c r="AK72" s="40"/>
      <c r="AL72" s="40"/>
      <c r="AM72" s="40"/>
      <c r="AN72" s="40"/>
      <c r="AO72" s="40"/>
      <c r="AP72" s="40"/>
      <c r="AQ72" s="40"/>
      <c r="AR72" s="40"/>
      <c r="AS72" s="40"/>
      <c r="AT72" s="41"/>
      <c r="AU72" s="1806"/>
      <c r="AV72" s="1517">
        <f t="shared" si="11"/>
        <v>0</v>
      </c>
      <c r="AW72" s="1517">
        <f t="shared" si="12"/>
        <v>0</v>
      </c>
      <c r="AX72" s="1517">
        <f t="shared" si="13"/>
        <v>0</v>
      </c>
      <c r="AY72" s="42">
        <f t="shared" si="14"/>
        <v>0</v>
      </c>
      <c r="AZ72" s="35">
        <f t="shared" si="15"/>
        <v>0</v>
      </c>
      <c r="BA72" s="35">
        <f t="shared" si="16"/>
        <v>0</v>
      </c>
      <c r="BB72" s="35">
        <f t="shared" si="17"/>
        <v>0</v>
      </c>
      <c r="BC72" s="35">
        <f t="shared" si="18"/>
        <v>0</v>
      </c>
      <c r="BD72" s="35">
        <f t="shared" si="19"/>
        <v>0</v>
      </c>
      <c r="BE72" s="35">
        <f t="shared" si="20"/>
        <v>0</v>
      </c>
      <c r="BF72" s="35">
        <f t="shared" si="21"/>
        <v>0</v>
      </c>
      <c r="BG72" s="35">
        <f t="shared" si="22"/>
        <v>0</v>
      </c>
      <c r="BH72" s="35">
        <f t="shared" si="23"/>
        <v>0</v>
      </c>
      <c r="BI72" s="35">
        <f t="shared" si="24"/>
        <v>0</v>
      </c>
      <c r="BJ72" s="35">
        <f t="shared" si="25"/>
        <v>0</v>
      </c>
      <c r="BK72" s="35">
        <f t="shared" si="26"/>
        <v>0</v>
      </c>
      <c r="BL72" s="35">
        <f t="shared" si="27"/>
        <v>0</v>
      </c>
      <c r="BM72" s="35">
        <f t="shared" si="28"/>
        <v>0</v>
      </c>
      <c r="BN72" s="35">
        <f t="shared" si="29"/>
        <v>0</v>
      </c>
      <c r="BO72" s="35">
        <f t="shared" si="30"/>
        <v>0</v>
      </c>
      <c r="BP72" s="35">
        <f t="shared" si="31"/>
        <v>0</v>
      </c>
      <c r="BQ72" s="35">
        <f t="shared" si="32"/>
        <v>0</v>
      </c>
      <c r="BR72" s="35">
        <f t="shared" si="33"/>
        <v>0</v>
      </c>
      <c r="BS72" s="35">
        <f t="shared" si="34"/>
        <v>0</v>
      </c>
      <c r="BT72" s="43">
        <f t="shared" si="35"/>
        <v>0</v>
      </c>
    </row>
    <row r="73" spans="1:72">
      <c r="A73" s="9"/>
      <c r="B73" s="34"/>
      <c r="C73" s="34"/>
      <c r="D73" s="1805"/>
      <c r="E73" s="35">
        <f t="shared" si="7"/>
        <v>0</v>
      </c>
      <c r="F73" s="36"/>
      <c r="G73" s="37">
        <f t="shared" si="8"/>
        <v>0</v>
      </c>
      <c r="H73" s="38">
        <f t="shared" si="9"/>
        <v>0</v>
      </c>
      <c r="I73" s="39"/>
      <c r="J73" s="39"/>
      <c r="K73" s="39"/>
      <c r="L73" s="39"/>
      <c r="M73" s="39"/>
      <c r="N73" s="39"/>
      <c r="O73" s="39"/>
      <c r="P73" s="39"/>
      <c r="Q73" s="39"/>
      <c r="R73" s="39"/>
      <c r="S73" s="39"/>
      <c r="T73" s="39"/>
      <c r="U73" s="39"/>
      <c r="V73" s="39"/>
      <c r="W73" s="39"/>
      <c r="X73" s="39"/>
      <c r="Y73" s="39"/>
      <c r="Z73" s="39"/>
      <c r="AA73" s="39"/>
      <c r="AB73" s="39"/>
      <c r="AC73" s="35">
        <f t="shared" si="10"/>
        <v>0</v>
      </c>
      <c r="AD73" s="40"/>
      <c r="AE73" s="40"/>
      <c r="AF73" s="40"/>
      <c r="AG73" s="40"/>
      <c r="AH73" s="40"/>
      <c r="AI73" s="40"/>
      <c r="AJ73" s="40"/>
      <c r="AK73" s="40"/>
      <c r="AL73" s="40"/>
      <c r="AM73" s="40"/>
      <c r="AN73" s="40"/>
      <c r="AO73" s="40"/>
      <c r="AP73" s="40"/>
      <c r="AQ73" s="40"/>
      <c r="AR73" s="40"/>
      <c r="AS73" s="40"/>
      <c r="AT73" s="41"/>
      <c r="AU73" s="1806"/>
      <c r="AV73" s="1517">
        <f t="shared" si="11"/>
        <v>0</v>
      </c>
      <c r="AW73" s="1517">
        <f t="shared" si="12"/>
        <v>0</v>
      </c>
      <c r="AX73" s="1517">
        <f t="shared" si="13"/>
        <v>0</v>
      </c>
      <c r="AY73" s="42">
        <f t="shared" si="14"/>
        <v>0</v>
      </c>
      <c r="AZ73" s="35">
        <f t="shared" si="15"/>
        <v>0</v>
      </c>
      <c r="BA73" s="35">
        <f t="shared" si="16"/>
        <v>0</v>
      </c>
      <c r="BB73" s="35">
        <f t="shared" si="17"/>
        <v>0</v>
      </c>
      <c r="BC73" s="35">
        <f t="shared" si="18"/>
        <v>0</v>
      </c>
      <c r="BD73" s="35">
        <f t="shared" si="19"/>
        <v>0</v>
      </c>
      <c r="BE73" s="35">
        <f t="shared" si="20"/>
        <v>0</v>
      </c>
      <c r="BF73" s="35">
        <f t="shared" si="21"/>
        <v>0</v>
      </c>
      <c r="BG73" s="35">
        <f t="shared" si="22"/>
        <v>0</v>
      </c>
      <c r="BH73" s="35">
        <f t="shared" si="23"/>
        <v>0</v>
      </c>
      <c r="BI73" s="35">
        <f t="shared" si="24"/>
        <v>0</v>
      </c>
      <c r="BJ73" s="35">
        <f t="shared" si="25"/>
        <v>0</v>
      </c>
      <c r="BK73" s="35">
        <f t="shared" si="26"/>
        <v>0</v>
      </c>
      <c r="BL73" s="35">
        <f t="shared" si="27"/>
        <v>0</v>
      </c>
      <c r="BM73" s="35">
        <f t="shared" si="28"/>
        <v>0</v>
      </c>
      <c r="BN73" s="35">
        <f t="shared" si="29"/>
        <v>0</v>
      </c>
      <c r="BO73" s="35">
        <f t="shared" si="30"/>
        <v>0</v>
      </c>
      <c r="BP73" s="35">
        <f t="shared" si="31"/>
        <v>0</v>
      </c>
      <c r="BQ73" s="35">
        <f t="shared" si="32"/>
        <v>0</v>
      </c>
      <c r="BR73" s="35">
        <f t="shared" si="33"/>
        <v>0</v>
      </c>
      <c r="BS73" s="35">
        <f t="shared" si="34"/>
        <v>0</v>
      </c>
      <c r="BT73" s="43">
        <f t="shared" si="35"/>
        <v>0</v>
      </c>
    </row>
    <row r="74" spans="1:72">
      <c r="A74" s="9"/>
      <c r="B74" s="34"/>
      <c r="C74" s="34"/>
      <c r="D74" s="1805"/>
      <c r="E74" s="35">
        <f t="shared" si="7"/>
        <v>0</v>
      </c>
      <c r="F74" s="36"/>
      <c r="G74" s="37">
        <f t="shared" si="8"/>
        <v>0</v>
      </c>
      <c r="H74" s="38">
        <f t="shared" si="9"/>
        <v>0</v>
      </c>
      <c r="I74" s="39"/>
      <c r="J74" s="39"/>
      <c r="K74" s="39"/>
      <c r="L74" s="39"/>
      <c r="M74" s="39"/>
      <c r="N74" s="39"/>
      <c r="O74" s="39"/>
      <c r="P74" s="39"/>
      <c r="Q74" s="39"/>
      <c r="R74" s="39"/>
      <c r="S74" s="39"/>
      <c r="T74" s="39"/>
      <c r="U74" s="39"/>
      <c r="V74" s="39"/>
      <c r="W74" s="39"/>
      <c r="X74" s="39"/>
      <c r="Y74" s="39"/>
      <c r="Z74" s="39"/>
      <c r="AA74" s="39"/>
      <c r="AB74" s="39"/>
      <c r="AC74" s="35">
        <f t="shared" si="10"/>
        <v>0</v>
      </c>
      <c r="AD74" s="40"/>
      <c r="AE74" s="40"/>
      <c r="AF74" s="40"/>
      <c r="AG74" s="40"/>
      <c r="AH74" s="40"/>
      <c r="AI74" s="40"/>
      <c r="AJ74" s="40"/>
      <c r="AK74" s="40"/>
      <c r="AL74" s="40"/>
      <c r="AM74" s="40"/>
      <c r="AN74" s="40"/>
      <c r="AO74" s="40"/>
      <c r="AP74" s="40"/>
      <c r="AQ74" s="40"/>
      <c r="AR74" s="40"/>
      <c r="AS74" s="40"/>
      <c r="AT74" s="41"/>
      <c r="AU74" s="1806"/>
      <c r="AV74" s="1517">
        <f t="shared" si="11"/>
        <v>0</v>
      </c>
      <c r="AW74" s="1517">
        <f t="shared" si="12"/>
        <v>0</v>
      </c>
      <c r="AX74" s="1517">
        <f t="shared" si="13"/>
        <v>0</v>
      </c>
      <c r="AY74" s="42">
        <f t="shared" si="14"/>
        <v>0</v>
      </c>
      <c r="AZ74" s="35">
        <f t="shared" si="15"/>
        <v>0</v>
      </c>
      <c r="BA74" s="35">
        <f t="shared" si="16"/>
        <v>0</v>
      </c>
      <c r="BB74" s="35">
        <f t="shared" si="17"/>
        <v>0</v>
      </c>
      <c r="BC74" s="35">
        <f t="shared" si="18"/>
        <v>0</v>
      </c>
      <c r="BD74" s="35">
        <f t="shared" si="19"/>
        <v>0</v>
      </c>
      <c r="BE74" s="35">
        <f t="shared" si="20"/>
        <v>0</v>
      </c>
      <c r="BF74" s="35">
        <f t="shared" si="21"/>
        <v>0</v>
      </c>
      <c r="BG74" s="35">
        <f t="shared" si="22"/>
        <v>0</v>
      </c>
      <c r="BH74" s="35">
        <f t="shared" si="23"/>
        <v>0</v>
      </c>
      <c r="BI74" s="35">
        <f t="shared" si="24"/>
        <v>0</v>
      </c>
      <c r="BJ74" s="35">
        <f t="shared" si="25"/>
        <v>0</v>
      </c>
      <c r="BK74" s="35">
        <f t="shared" si="26"/>
        <v>0</v>
      </c>
      <c r="BL74" s="35">
        <f t="shared" si="27"/>
        <v>0</v>
      </c>
      <c r="BM74" s="35">
        <f t="shared" si="28"/>
        <v>0</v>
      </c>
      <c r="BN74" s="35">
        <f t="shared" si="29"/>
        <v>0</v>
      </c>
      <c r="BO74" s="35">
        <f t="shared" si="30"/>
        <v>0</v>
      </c>
      <c r="BP74" s="35">
        <f t="shared" si="31"/>
        <v>0</v>
      </c>
      <c r="BQ74" s="35">
        <f t="shared" si="32"/>
        <v>0</v>
      </c>
      <c r="BR74" s="35">
        <f t="shared" si="33"/>
        <v>0</v>
      </c>
      <c r="BS74" s="35">
        <f t="shared" si="34"/>
        <v>0</v>
      </c>
      <c r="BT74" s="43">
        <f t="shared" si="35"/>
        <v>0</v>
      </c>
    </row>
    <row r="75" spans="1:72">
      <c r="A75" s="9"/>
      <c r="B75" s="34"/>
      <c r="C75" s="34"/>
      <c r="D75" s="1805"/>
      <c r="E75" s="35">
        <f t="shared" si="7"/>
        <v>0</v>
      </c>
      <c r="F75" s="36"/>
      <c r="G75" s="37">
        <f t="shared" si="8"/>
        <v>0</v>
      </c>
      <c r="H75" s="38">
        <f t="shared" si="9"/>
        <v>0</v>
      </c>
      <c r="I75" s="39"/>
      <c r="J75" s="39"/>
      <c r="K75" s="39"/>
      <c r="L75" s="39"/>
      <c r="M75" s="39"/>
      <c r="N75" s="39"/>
      <c r="O75" s="39"/>
      <c r="P75" s="39"/>
      <c r="Q75" s="39"/>
      <c r="R75" s="39"/>
      <c r="S75" s="39"/>
      <c r="T75" s="39"/>
      <c r="U75" s="39"/>
      <c r="V75" s="39"/>
      <c r="W75" s="39"/>
      <c r="X75" s="39"/>
      <c r="Y75" s="39"/>
      <c r="Z75" s="39"/>
      <c r="AA75" s="39"/>
      <c r="AB75" s="39"/>
      <c r="AC75" s="35">
        <f t="shared" si="10"/>
        <v>0</v>
      </c>
      <c r="AD75" s="40"/>
      <c r="AE75" s="40"/>
      <c r="AF75" s="40"/>
      <c r="AG75" s="40"/>
      <c r="AH75" s="40"/>
      <c r="AI75" s="40"/>
      <c r="AJ75" s="40"/>
      <c r="AK75" s="40"/>
      <c r="AL75" s="40"/>
      <c r="AM75" s="40"/>
      <c r="AN75" s="40"/>
      <c r="AO75" s="40"/>
      <c r="AP75" s="40"/>
      <c r="AQ75" s="40"/>
      <c r="AR75" s="40"/>
      <c r="AS75" s="40"/>
      <c r="AT75" s="41"/>
      <c r="AU75" s="1806"/>
      <c r="AV75" s="1517">
        <f t="shared" si="11"/>
        <v>0</v>
      </c>
      <c r="AW75" s="1517">
        <f t="shared" si="12"/>
        <v>0</v>
      </c>
      <c r="AX75" s="1517">
        <f t="shared" si="13"/>
        <v>0</v>
      </c>
      <c r="AY75" s="42">
        <f t="shared" si="14"/>
        <v>0</v>
      </c>
      <c r="AZ75" s="35">
        <f t="shared" si="15"/>
        <v>0</v>
      </c>
      <c r="BA75" s="35">
        <f t="shared" si="16"/>
        <v>0</v>
      </c>
      <c r="BB75" s="35">
        <f t="shared" si="17"/>
        <v>0</v>
      </c>
      <c r="BC75" s="35">
        <f t="shared" si="18"/>
        <v>0</v>
      </c>
      <c r="BD75" s="35">
        <f t="shared" si="19"/>
        <v>0</v>
      </c>
      <c r="BE75" s="35">
        <f t="shared" si="20"/>
        <v>0</v>
      </c>
      <c r="BF75" s="35">
        <f t="shared" si="21"/>
        <v>0</v>
      </c>
      <c r="BG75" s="35">
        <f t="shared" si="22"/>
        <v>0</v>
      </c>
      <c r="BH75" s="35">
        <f t="shared" si="23"/>
        <v>0</v>
      </c>
      <c r="BI75" s="35">
        <f t="shared" si="24"/>
        <v>0</v>
      </c>
      <c r="BJ75" s="35">
        <f t="shared" si="25"/>
        <v>0</v>
      </c>
      <c r="BK75" s="35">
        <f t="shared" si="26"/>
        <v>0</v>
      </c>
      <c r="BL75" s="35">
        <f t="shared" si="27"/>
        <v>0</v>
      </c>
      <c r="BM75" s="35">
        <f t="shared" si="28"/>
        <v>0</v>
      </c>
      <c r="BN75" s="35">
        <f t="shared" si="29"/>
        <v>0</v>
      </c>
      <c r="BO75" s="35">
        <f t="shared" si="30"/>
        <v>0</v>
      </c>
      <c r="BP75" s="35">
        <f t="shared" si="31"/>
        <v>0</v>
      </c>
      <c r="BQ75" s="35">
        <f t="shared" si="32"/>
        <v>0</v>
      </c>
      <c r="BR75" s="35">
        <f t="shared" si="33"/>
        <v>0</v>
      </c>
      <c r="BS75" s="35">
        <f t="shared" si="34"/>
        <v>0</v>
      </c>
      <c r="BT75" s="43">
        <f t="shared" si="35"/>
        <v>0</v>
      </c>
    </row>
    <row r="76" spans="1:72">
      <c r="A76" s="9"/>
      <c r="B76" s="34"/>
      <c r="C76" s="34"/>
      <c r="D76" s="1805"/>
      <c r="E76" s="35">
        <f t="shared" si="7"/>
        <v>0</v>
      </c>
      <c r="F76" s="36"/>
      <c r="G76" s="37">
        <f t="shared" si="8"/>
        <v>0</v>
      </c>
      <c r="H76" s="38">
        <f t="shared" si="9"/>
        <v>0</v>
      </c>
      <c r="I76" s="39"/>
      <c r="J76" s="39"/>
      <c r="K76" s="39"/>
      <c r="L76" s="39"/>
      <c r="M76" s="39"/>
      <c r="N76" s="39"/>
      <c r="O76" s="39"/>
      <c r="P76" s="39"/>
      <c r="Q76" s="39"/>
      <c r="R76" s="39"/>
      <c r="S76" s="39"/>
      <c r="T76" s="39"/>
      <c r="U76" s="39"/>
      <c r="V76" s="39"/>
      <c r="W76" s="39"/>
      <c r="X76" s="39"/>
      <c r="Y76" s="39"/>
      <c r="Z76" s="39"/>
      <c r="AA76" s="39"/>
      <c r="AB76" s="39"/>
      <c r="AC76" s="35">
        <f t="shared" si="10"/>
        <v>0</v>
      </c>
      <c r="AD76" s="40"/>
      <c r="AE76" s="40"/>
      <c r="AF76" s="40"/>
      <c r="AG76" s="40"/>
      <c r="AH76" s="40"/>
      <c r="AI76" s="40"/>
      <c r="AJ76" s="40"/>
      <c r="AK76" s="40"/>
      <c r="AL76" s="40"/>
      <c r="AM76" s="40"/>
      <c r="AN76" s="40"/>
      <c r="AO76" s="40"/>
      <c r="AP76" s="40"/>
      <c r="AQ76" s="40"/>
      <c r="AR76" s="40"/>
      <c r="AS76" s="40"/>
      <c r="AT76" s="41"/>
      <c r="AU76" s="1806"/>
      <c r="AV76" s="1517">
        <f t="shared" si="11"/>
        <v>0</v>
      </c>
      <c r="AW76" s="1517">
        <f t="shared" si="12"/>
        <v>0</v>
      </c>
      <c r="AX76" s="1517">
        <f t="shared" si="13"/>
        <v>0</v>
      </c>
      <c r="AY76" s="42">
        <f t="shared" si="14"/>
        <v>0</v>
      </c>
      <c r="AZ76" s="35">
        <f t="shared" si="15"/>
        <v>0</v>
      </c>
      <c r="BA76" s="35">
        <f t="shared" si="16"/>
        <v>0</v>
      </c>
      <c r="BB76" s="35">
        <f t="shared" si="17"/>
        <v>0</v>
      </c>
      <c r="BC76" s="35">
        <f t="shared" si="18"/>
        <v>0</v>
      </c>
      <c r="BD76" s="35">
        <f t="shared" si="19"/>
        <v>0</v>
      </c>
      <c r="BE76" s="35">
        <f t="shared" si="20"/>
        <v>0</v>
      </c>
      <c r="BF76" s="35">
        <f t="shared" si="21"/>
        <v>0</v>
      </c>
      <c r="BG76" s="35">
        <f t="shared" si="22"/>
        <v>0</v>
      </c>
      <c r="BH76" s="35">
        <f t="shared" si="23"/>
        <v>0</v>
      </c>
      <c r="BI76" s="35">
        <f t="shared" si="24"/>
        <v>0</v>
      </c>
      <c r="BJ76" s="35">
        <f t="shared" si="25"/>
        <v>0</v>
      </c>
      <c r="BK76" s="35">
        <f t="shared" si="26"/>
        <v>0</v>
      </c>
      <c r="BL76" s="35">
        <f t="shared" si="27"/>
        <v>0</v>
      </c>
      <c r="BM76" s="35">
        <f t="shared" si="28"/>
        <v>0</v>
      </c>
      <c r="BN76" s="35">
        <f t="shared" si="29"/>
        <v>0</v>
      </c>
      <c r="BO76" s="35">
        <f t="shared" si="30"/>
        <v>0</v>
      </c>
      <c r="BP76" s="35">
        <f t="shared" si="31"/>
        <v>0</v>
      </c>
      <c r="BQ76" s="35">
        <f t="shared" si="32"/>
        <v>0</v>
      </c>
      <c r="BR76" s="35">
        <f t="shared" si="33"/>
        <v>0</v>
      </c>
      <c r="BS76" s="35">
        <f t="shared" si="34"/>
        <v>0</v>
      </c>
      <c r="BT76" s="43">
        <f t="shared" si="35"/>
        <v>0</v>
      </c>
    </row>
    <row r="77" spans="1:72">
      <c r="A77" s="9"/>
      <c r="B77" s="34"/>
      <c r="C77" s="34"/>
      <c r="D77" s="1805"/>
      <c r="E77" s="35">
        <f t="shared" si="7"/>
        <v>0</v>
      </c>
      <c r="F77" s="36"/>
      <c r="G77" s="37">
        <f t="shared" si="8"/>
        <v>0</v>
      </c>
      <c r="H77" s="38">
        <f t="shared" si="9"/>
        <v>0</v>
      </c>
      <c r="I77" s="39"/>
      <c r="J77" s="39"/>
      <c r="K77" s="39"/>
      <c r="L77" s="39"/>
      <c r="M77" s="39"/>
      <c r="N77" s="39"/>
      <c r="O77" s="39"/>
      <c r="P77" s="39"/>
      <c r="Q77" s="39"/>
      <c r="R77" s="39"/>
      <c r="S77" s="39"/>
      <c r="T77" s="39"/>
      <c r="U77" s="39"/>
      <c r="V77" s="39"/>
      <c r="W77" s="39"/>
      <c r="X77" s="39"/>
      <c r="Y77" s="39"/>
      <c r="Z77" s="39"/>
      <c r="AA77" s="39"/>
      <c r="AB77" s="39"/>
      <c r="AC77" s="35">
        <f t="shared" si="10"/>
        <v>0</v>
      </c>
      <c r="AD77" s="40"/>
      <c r="AE77" s="40"/>
      <c r="AF77" s="40"/>
      <c r="AG77" s="40"/>
      <c r="AH77" s="40"/>
      <c r="AI77" s="40"/>
      <c r="AJ77" s="40"/>
      <c r="AK77" s="40"/>
      <c r="AL77" s="40"/>
      <c r="AM77" s="40"/>
      <c r="AN77" s="40"/>
      <c r="AO77" s="40"/>
      <c r="AP77" s="40"/>
      <c r="AQ77" s="40"/>
      <c r="AR77" s="40"/>
      <c r="AS77" s="40"/>
      <c r="AT77" s="41"/>
      <c r="AU77" s="1806"/>
      <c r="AV77" s="1517">
        <f t="shared" si="11"/>
        <v>0</v>
      </c>
      <c r="AW77" s="1517">
        <f t="shared" si="12"/>
        <v>0</v>
      </c>
      <c r="AX77" s="1517">
        <f t="shared" si="13"/>
        <v>0</v>
      </c>
      <c r="AY77" s="42">
        <f t="shared" si="14"/>
        <v>0</v>
      </c>
      <c r="AZ77" s="35">
        <f t="shared" si="15"/>
        <v>0</v>
      </c>
      <c r="BA77" s="35">
        <f t="shared" si="16"/>
        <v>0</v>
      </c>
      <c r="BB77" s="35">
        <f t="shared" si="17"/>
        <v>0</v>
      </c>
      <c r="BC77" s="35">
        <f t="shared" si="18"/>
        <v>0</v>
      </c>
      <c r="BD77" s="35">
        <f t="shared" si="19"/>
        <v>0</v>
      </c>
      <c r="BE77" s="35">
        <f t="shared" si="20"/>
        <v>0</v>
      </c>
      <c r="BF77" s="35">
        <f t="shared" si="21"/>
        <v>0</v>
      </c>
      <c r="BG77" s="35">
        <f t="shared" si="22"/>
        <v>0</v>
      </c>
      <c r="BH77" s="35">
        <f t="shared" si="23"/>
        <v>0</v>
      </c>
      <c r="BI77" s="35">
        <f t="shared" si="24"/>
        <v>0</v>
      </c>
      <c r="BJ77" s="35">
        <f t="shared" si="25"/>
        <v>0</v>
      </c>
      <c r="BK77" s="35">
        <f t="shared" si="26"/>
        <v>0</v>
      </c>
      <c r="BL77" s="35">
        <f t="shared" si="27"/>
        <v>0</v>
      </c>
      <c r="BM77" s="35">
        <f t="shared" si="28"/>
        <v>0</v>
      </c>
      <c r="BN77" s="35">
        <f t="shared" si="29"/>
        <v>0</v>
      </c>
      <c r="BO77" s="35">
        <f t="shared" si="30"/>
        <v>0</v>
      </c>
      <c r="BP77" s="35">
        <f t="shared" si="31"/>
        <v>0</v>
      </c>
      <c r="BQ77" s="35">
        <f t="shared" si="32"/>
        <v>0</v>
      </c>
      <c r="BR77" s="35">
        <f t="shared" si="33"/>
        <v>0</v>
      </c>
      <c r="BS77" s="35">
        <f t="shared" si="34"/>
        <v>0</v>
      </c>
      <c r="BT77" s="43">
        <f t="shared" si="35"/>
        <v>0</v>
      </c>
    </row>
    <row r="78" spans="1:72">
      <c r="A78" s="9"/>
      <c r="B78" s="34"/>
      <c r="C78" s="34"/>
      <c r="D78" s="1805"/>
      <c r="E78" s="35">
        <f t="shared" si="7"/>
        <v>0</v>
      </c>
      <c r="F78" s="36"/>
      <c r="G78" s="37">
        <f t="shared" si="8"/>
        <v>0</v>
      </c>
      <c r="H78" s="38">
        <f t="shared" si="9"/>
        <v>0</v>
      </c>
      <c r="I78" s="39"/>
      <c r="J78" s="39"/>
      <c r="K78" s="39"/>
      <c r="L78" s="39"/>
      <c r="M78" s="39"/>
      <c r="N78" s="39"/>
      <c r="O78" s="39"/>
      <c r="P78" s="39"/>
      <c r="Q78" s="39"/>
      <c r="R78" s="39"/>
      <c r="S78" s="39"/>
      <c r="T78" s="39"/>
      <c r="U78" s="39"/>
      <c r="V78" s="39"/>
      <c r="W78" s="39"/>
      <c r="X78" s="39"/>
      <c r="Y78" s="39"/>
      <c r="Z78" s="39"/>
      <c r="AA78" s="39"/>
      <c r="AB78" s="39"/>
      <c r="AC78" s="35">
        <f t="shared" si="10"/>
        <v>0</v>
      </c>
      <c r="AD78" s="40"/>
      <c r="AE78" s="40"/>
      <c r="AF78" s="40"/>
      <c r="AG78" s="40"/>
      <c r="AH78" s="40"/>
      <c r="AI78" s="40"/>
      <c r="AJ78" s="40"/>
      <c r="AK78" s="40"/>
      <c r="AL78" s="40"/>
      <c r="AM78" s="40"/>
      <c r="AN78" s="40"/>
      <c r="AO78" s="40"/>
      <c r="AP78" s="40"/>
      <c r="AQ78" s="40"/>
      <c r="AR78" s="40"/>
      <c r="AS78" s="40"/>
      <c r="AT78" s="41"/>
      <c r="AU78" s="1806"/>
      <c r="AV78" s="1517">
        <f t="shared" si="11"/>
        <v>0</v>
      </c>
      <c r="AW78" s="1517">
        <f t="shared" si="12"/>
        <v>0</v>
      </c>
      <c r="AX78" s="1517">
        <f t="shared" si="13"/>
        <v>0</v>
      </c>
      <c r="AY78" s="42">
        <f t="shared" si="14"/>
        <v>0</v>
      </c>
      <c r="AZ78" s="35">
        <f t="shared" si="15"/>
        <v>0</v>
      </c>
      <c r="BA78" s="35">
        <f t="shared" si="16"/>
        <v>0</v>
      </c>
      <c r="BB78" s="35">
        <f t="shared" si="17"/>
        <v>0</v>
      </c>
      <c r="BC78" s="35">
        <f t="shared" si="18"/>
        <v>0</v>
      </c>
      <c r="BD78" s="35">
        <f t="shared" si="19"/>
        <v>0</v>
      </c>
      <c r="BE78" s="35">
        <f t="shared" si="20"/>
        <v>0</v>
      </c>
      <c r="BF78" s="35">
        <f t="shared" si="21"/>
        <v>0</v>
      </c>
      <c r="BG78" s="35">
        <f t="shared" si="22"/>
        <v>0</v>
      </c>
      <c r="BH78" s="35">
        <f t="shared" si="23"/>
        <v>0</v>
      </c>
      <c r="BI78" s="35">
        <f t="shared" si="24"/>
        <v>0</v>
      </c>
      <c r="BJ78" s="35">
        <f t="shared" si="25"/>
        <v>0</v>
      </c>
      <c r="BK78" s="35">
        <f t="shared" si="26"/>
        <v>0</v>
      </c>
      <c r="BL78" s="35">
        <f t="shared" si="27"/>
        <v>0</v>
      </c>
      <c r="BM78" s="35">
        <f t="shared" si="28"/>
        <v>0</v>
      </c>
      <c r="BN78" s="35">
        <f t="shared" si="29"/>
        <v>0</v>
      </c>
      <c r="BO78" s="35">
        <f t="shared" si="30"/>
        <v>0</v>
      </c>
      <c r="BP78" s="35">
        <f t="shared" si="31"/>
        <v>0</v>
      </c>
      <c r="BQ78" s="35">
        <f t="shared" si="32"/>
        <v>0</v>
      </c>
      <c r="BR78" s="35">
        <f t="shared" si="33"/>
        <v>0</v>
      </c>
      <c r="BS78" s="35">
        <f t="shared" si="34"/>
        <v>0</v>
      </c>
      <c r="BT78" s="43">
        <f t="shared" si="35"/>
        <v>0</v>
      </c>
    </row>
    <row r="79" spans="1:72">
      <c r="A79" s="9"/>
      <c r="B79" s="34"/>
      <c r="C79" s="34"/>
      <c r="D79" s="1805"/>
      <c r="E79" s="35">
        <f t="shared" si="7"/>
        <v>0</v>
      </c>
      <c r="F79" s="36"/>
      <c r="G79" s="37">
        <f t="shared" si="8"/>
        <v>0</v>
      </c>
      <c r="H79" s="38">
        <f t="shared" si="9"/>
        <v>0</v>
      </c>
      <c r="I79" s="39"/>
      <c r="J79" s="39"/>
      <c r="K79" s="39"/>
      <c r="L79" s="39"/>
      <c r="M79" s="39"/>
      <c r="N79" s="39"/>
      <c r="O79" s="39"/>
      <c r="P79" s="39"/>
      <c r="Q79" s="39"/>
      <c r="R79" s="39"/>
      <c r="S79" s="39"/>
      <c r="T79" s="39"/>
      <c r="U79" s="39"/>
      <c r="V79" s="39"/>
      <c r="W79" s="39"/>
      <c r="X79" s="39"/>
      <c r="Y79" s="39"/>
      <c r="Z79" s="39"/>
      <c r="AA79" s="39"/>
      <c r="AB79" s="39"/>
      <c r="AC79" s="35">
        <f t="shared" si="10"/>
        <v>0</v>
      </c>
      <c r="AD79" s="40"/>
      <c r="AE79" s="40"/>
      <c r="AF79" s="40"/>
      <c r="AG79" s="40"/>
      <c r="AH79" s="40"/>
      <c r="AI79" s="40"/>
      <c r="AJ79" s="40"/>
      <c r="AK79" s="40"/>
      <c r="AL79" s="40"/>
      <c r="AM79" s="40"/>
      <c r="AN79" s="40"/>
      <c r="AO79" s="40"/>
      <c r="AP79" s="40"/>
      <c r="AQ79" s="40"/>
      <c r="AR79" s="40"/>
      <c r="AS79" s="40"/>
      <c r="AT79" s="41"/>
      <c r="AU79" s="1806"/>
      <c r="AV79" s="1517">
        <f t="shared" si="11"/>
        <v>0</v>
      </c>
      <c r="AW79" s="1517">
        <f t="shared" si="12"/>
        <v>0</v>
      </c>
      <c r="AX79" s="1517">
        <f t="shared" si="13"/>
        <v>0</v>
      </c>
      <c r="AY79" s="42">
        <f t="shared" si="14"/>
        <v>0</v>
      </c>
      <c r="AZ79" s="35">
        <f t="shared" si="15"/>
        <v>0</v>
      </c>
      <c r="BA79" s="35">
        <f t="shared" si="16"/>
        <v>0</v>
      </c>
      <c r="BB79" s="35">
        <f t="shared" si="17"/>
        <v>0</v>
      </c>
      <c r="BC79" s="35">
        <f t="shared" si="18"/>
        <v>0</v>
      </c>
      <c r="BD79" s="35">
        <f t="shared" si="19"/>
        <v>0</v>
      </c>
      <c r="BE79" s="35">
        <f t="shared" si="20"/>
        <v>0</v>
      </c>
      <c r="BF79" s="35">
        <f t="shared" si="21"/>
        <v>0</v>
      </c>
      <c r="BG79" s="35">
        <f t="shared" si="22"/>
        <v>0</v>
      </c>
      <c r="BH79" s="35">
        <f t="shared" si="23"/>
        <v>0</v>
      </c>
      <c r="BI79" s="35">
        <f t="shared" si="24"/>
        <v>0</v>
      </c>
      <c r="BJ79" s="35">
        <f t="shared" si="25"/>
        <v>0</v>
      </c>
      <c r="BK79" s="35">
        <f t="shared" si="26"/>
        <v>0</v>
      </c>
      <c r="BL79" s="35">
        <f t="shared" si="27"/>
        <v>0</v>
      </c>
      <c r="BM79" s="35">
        <f t="shared" si="28"/>
        <v>0</v>
      </c>
      <c r="BN79" s="35">
        <f t="shared" si="29"/>
        <v>0</v>
      </c>
      <c r="BO79" s="35">
        <f t="shared" si="30"/>
        <v>0</v>
      </c>
      <c r="BP79" s="35">
        <f t="shared" si="31"/>
        <v>0</v>
      </c>
      <c r="BQ79" s="35">
        <f t="shared" si="32"/>
        <v>0</v>
      </c>
      <c r="BR79" s="35">
        <f t="shared" si="33"/>
        <v>0</v>
      </c>
      <c r="BS79" s="35">
        <f t="shared" si="34"/>
        <v>0</v>
      </c>
      <c r="BT79" s="43">
        <f t="shared" si="35"/>
        <v>0</v>
      </c>
    </row>
    <row r="80" spans="1:72">
      <c r="A80" s="9"/>
      <c r="B80" s="34"/>
      <c r="C80" s="34"/>
      <c r="D80" s="1805"/>
      <c r="E80" s="35">
        <f t="shared" si="7"/>
        <v>0</v>
      </c>
      <c r="F80" s="36"/>
      <c r="G80" s="37">
        <f t="shared" si="8"/>
        <v>0</v>
      </c>
      <c r="H80" s="38">
        <f t="shared" si="9"/>
        <v>0</v>
      </c>
      <c r="I80" s="39"/>
      <c r="J80" s="39"/>
      <c r="K80" s="39"/>
      <c r="L80" s="39"/>
      <c r="M80" s="39"/>
      <c r="N80" s="39"/>
      <c r="O80" s="39"/>
      <c r="P80" s="39"/>
      <c r="Q80" s="39"/>
      <c r="R80" s="39"/>
      <c r="S80" s="39"/>
      <c r="T80" s="39"/>
      <c r="U80" s="39"/>
      <c r="V80" s="39"/>
      <c r="W80" s="39"/>
      <c r="X80" s="39"/>
      <c r="Y80" s="39"/>
      <c r="Z80" s="39"/>
      <c r="AA80" s="39"/>
      <c r="AB80" s="39"/>
      <c r="AC80" s="35">
        <f t="shared" si="10"/>
        <v>0</v>
      </c>
      <c r="AD80" s="40"/>
      <c r="AE80" s="40"/>
      <c r="AF80" s="40"/>
      <c r="AG80" s="40"/>
      <c r="AH80" s="40"/>
      <c r="AI80" s="40"/>
      <c r="AJ80" s="40"/>
      <c r="AK80" s="40"/>
      <c r="AL80" s="40"/>
      <c r="AM80" s="40"/>
      <c r="AN80" s="40"/>
      <c r="AO80" s="40"/>
      <c r="AP80" s="40"/>
      <c r="AQ80" s="40"/>
      <c r="AR80" s="40"/>
      <c r="AS80" s="40"/>
      <c r="AT80" s="41"/>
      <c r="AU80" s="1806"/>
      <c r="AV80" s="1517">
        <f t="shared" si="11"/>
        <v>0</v>
      </c>
      <c r="AW80" s="1517">
        <f t="shared" si="12"/>
        <v>0</v>
      </c>
      <c r="AX80" s="1517">
        <f t="shared" si="13"/>
        <v>0</v>
      </c>
      <c r="AY80" s="42">
        <f t="shared" si="14"/>
        <v>0</v>
      </c>
      <c r="AZ80" s="35">
        <f t="shared" si="15"/>
        <v>0</v>
      </c>
      <c r="BA80" s="35">
        <f t="shared" si="16"/>
        <v>0</v>
      </c>
      <c r="BB80" s="35">
        <f t="shared" si="17"/>
        <v>0</v>
      </c>
      <c r="BC80" s="35">
        <f t="shared" si="18"/>
        <v>0</v>
      </c>
      <c r="BD80" s="35">
        <f t="shared" si="19"/>
        <v>0</v>
      </c>
      <c r="BE80" s="35">
        <f t="shared" si="20"/>
        <v>0</v>
      </c>
      <c r="BF80" s="35">
        <f t="shared" si="21"/>
        <v>0</v>
      </c>
      <c r="BG80" s="35">
        <f t="shared" si="22"/>
        <v>0</v>
      </c>
      <c r="BH80" s="35">
        <f t="shared" si="23"/>
        <v>0</v>
      </c>
      <c r="BI80" s="35">
        <f t="shared" si="24"/>
        <v>0</v>
      </c>
      <c r="BJ80" s="35">
        <f t="shared" si="25"/>
        <v>0</v>
      </c>
      <c r="BK80" s="35">
        <f t="shared" si="26"/>
        <v>0</v>
      </c>
      <c r="BL80" s="35">
        <f t="shared" si="27"/>
        <v>0</v>
      </c>
      <c r="BM80" s="35">
        <f t="shared" si="28"/>
        <v>0</v>
      </c>
      <c r="BN80" s="35">
        <f t="shared" si="29"/>
        <v>0</v>
      </c>
      <c r="BO80" s="35">
        <f t="shared" si="30"/>
        <v>0</v>
      </c>
      <c r="BP80" s="35">
        <f t="shared" si="31"/>
        <v>0</v>
      </c>
      <c r="BQ80" s="35">
        <f t="shared" si="32"/>
        <v>0</v>
      </c>
      <c r="BR80" s="35">
        <f t="shared" si="33"/>
        <v>0</v>
      </c>
      <c r="BS80" s="35">
        <f t="shared" si="34"/>
        <v>0</v>
      </c>
      <c r="BT80" s="43">
        <f t="shared" si="35"/>
        <v>0</v>
      </c>
    </row>
    <row r="81" spans="1:72">
      <c r="A81" s="9"/>
      <c r="B81" s="34"/>
      <c r="C81" s="34"/>
      <c r="D81" s="1805"/>
      <c r="E81" s="35">
        <f t="shared" si="7"/>
        <v>0</v>
      </c>
      <c r="F81" s="36"/>
      <c r="G81" s="37">
        <f t="shared" si="8"/>
        <v>0</v>
      </c>
      <c r="H81" s="38">
        <f t="shared" si="9"/>
        <v>0</v>
      </c>
      <c r="I81" s="39"/>
      <c r="J81" s="39"/>
      <c r="K81" s="39"/>
      <c r="L81" s="39"/>
      <c r="M81" s="39"/>
      <c r="N81" s="39"/>
      <c r="O81" s="39"/>
      <c r="P81" s="39"/>
      <c r="Q81" s="39"/>
      <c r="R81" s="39"/>
      <c r="S81" s="39"/>
      <c r="T81" s="39"/>
      <c r="U81" s="39"/>
      <c r="V81" s="39"/>
      <c r="W81" s="39"/>
      <c r="X81" s="39"/>
      <c r="Y81" s="39"/>
      <c r="Z81" s="39"/>
      <c r="AA81" s="39"/>
      <c r="AB81" s="39"/>
      <c r="AC81" s="35">
        <f t="shared" si="10"/>
        <v>0</v>
      </c>
      <c r="AD81" s="40"/>
      <c r="AE81" s="40"/>
      <c r="AF81" s="40"/>
      <c r="AG81" s="40"/>
      <c r="AH81" s="40"/>
      <c r="AI81" s="40"/>
      <c r="AJ81" s="40"/>
      <c r="AK81" s="40"/>
      <c r="AL81" s="40"/>
      <c r="AM81" s="40"/>
      <c r="AN81" s="40"/>
      <c r="AO81" s="40"/>
      <c r="AP81" s="40"/>
      <c r="AQ81" s="40"/>
      <c r="AR81" s="40"/>
      <c r="AS81" s="40"/>
      <c r="AT81" s="41"/>
      <c r="AU81" s="1806"/>
      <c r="AV81" s="1517">
        <f t="shared" si="11"/>
        <v>0</v>
      </c>
      <c r="AW81" s="1517">
        <f t="shared" si="12"/>
        <v>0</v>
      </c>
      <c r="AX81" s="1517">
        <f t="shared" si="13"/>
        <v>0</v>
      </c>
      <c r="AY81" s="42">
        <f t="shared" si="14"/>
        <v>0</v>
      </c>
      <c r="AZ81" s="35">
        <f t="shared" si="15"/>
        <v>0</v>
      </c>
      <c r="BA81" s="35">
        <f t="shared" si="16"/>
        <v>0</v>
      </c>
      <c r="BB81" s="35">
        <f t="shared" si="17"/>
        <v>0</v>
      </c>
      <c r="BC81" s="35">
        <f t="shared" si="18"/>
        <v>0</v>
      </c>
      <c r="BD81" s="35">
        <f t="shared" si="19"/>
        <v>0</v>
      </c>
      <c r="BE81" s="35">
        <f t="shared" si="20"/>
        <v>0</v>
      </c>
      <c r="BF81" s="35">
        <f t="shared" si="21"/>
        <v>0</v>
      </c>
      <c r="BG81" s="35">
        <f t="shared" si="22"/>
        <v>0</v>
      </c>
      <c r="BH81" s="35">
        <f t="shared" si="23"/>
        <v>0</v>
      </c>
      <c r="BI81" s="35">
        <f t="shared" si="24"/>
        <v>0</v>
      </c>
      <c r="BJ81" s="35">
        <f t="shared" si="25"/>
        <v>0</v>
      </c>
      <c r="BK81" s="35">
        <f t="shared" si="26"/>
        <v>0</v>
      </c>
      <c r="BL81" s="35">
        <f t="shared" si="27"/>
        <v>0</v>
      </c>
      <c r="BM81" s="35">
        <f t="shared" si="28"/>
        <v>0</v>
      </c>
      <c r="BN81" s="35">
        <f t="shared" si="29"/>
        <v>0</v>
      </c>
      <c r="BO81" s="35">
        <f t="shared" si="30"/>
        <v>0</v>
      </c>
      <c r="BP81" s="35">
        <f t="shared" si="31"/>
        <v>0</v>
      </c>
      <c r="BQ81" s="35">
        <f t="shared" si="32"/>
        <v>0</v>
      </c>
      <c r="BR81" s="35">
        <f t="shared" si="33"/>
        <v>0</v>
      </c>
      <c r="BS81" s="35">
        <f t="shared" si="34"/>
        <v>0</v>
      </c>
      <c r="BT81" s="43">
        <f t="shared" si="35"/>
        <v>0</v>
      </c>
    </row>
    <row r="82" spans="1:72">
      <c r="A82" s="9"/>
      <c r="B82" s="34"/>
      <c r="C82" s="34"/>
      <c r="D82" s="1805"/>
      <c r="E82" s="35">
        <f t="shared" si="7"/>
        <v>0</v>
      </c>
      <c r="F82" s="36"/>
      <c r="G82" s="37">
        <f t="shared" si="8"/>
        <v>0</v>
      </c>
      <c r="H82" s="38">
        <f t="shared" si="9"/>
        <v>0</v>
      </c>
      <c r="I82" s="39"/>
      <c r="J82" s="39"/>
      <c r="K82" s="39"/>
      <c r="L82" s="39"/>
      <c r="M82" s="39"/>
      <c r="N82" s="39"/>
      <c r="O82" s="39"/>
      <c r="P82" s="39"/>
      <c r="Q82" s="39"/>
      <c r="R82" s="39"/>
      <c r="S82" s="39"/>
      <c r="T82" s="39"/>
      <c r="U82" s="39"/>
      <c r="V82" s="39"/>
      <c r="W82" s="39"/>
      <c r="X82" s="39"/>
      <c r="Y82" s="39"/>
      <c r="Z82" s="39"/>
      <c r="AA82" s="39"/>
      <c r="AB82" s="39"/>
      <c r="AC82" s="35">
        <f t="shared" si="10"/>
        <v>0</v>
      </c>
      <c r="AD82" s="40"/>
      <c r="AE82" s="40"/>
      <c r="AF82" s="40"/>
      <c r="AG82" s="40"/>
      <c r="AH82" s="40"/>
      <c r="AI82" s="40"/>
      <c r="AJ82" s="40"/>
      <c r="AK82" s="40"/>
      <c r="AL82" s="40"/>
      <c r="AM82" s="40"/>
      <c r="AN82" s="40"/>
      <c r="AO82" s="40"/>
      <c r="AP82" s="40"/>
      <c r="AQ82" s="40"/>
      <c r="AR82" s="40"/>
      <c r="AS82" s="40"/>
      <c r="AT82" s="41"/>
      <c r="AU82" s="1806"/>
      <c r="AV82" s="1517">
        <f t="shared" si="11"/>
        <v>0</v>
      </c>
      <c r="AW82" s="1517">
        <f t="shared" si="12"/>
        <v>0</v>
      </c>
      <c r="AX82" s="1517">
        <f t="shared" si="13"/>
        <v>0</v>
      </c>
      <c r="AY82" s="42">
        <f t="shared" si="14"/>
        <v>0</v>
      </c>
      <c r="AZ82" s="35">
        <f t="shared" si="15"/>
        <v>0</v>
      </c>
      <c r="BA82" s="35">
        <f t="shared" si="16"/>
        <v>0</v>
      </c>
      <c r="BB82" s="35">
        <f t="shared" si="17"/>
        <v>0</v>
      </c>
      <c r="BC82" s="35">
        <f t="shared" si="18"/>
        <v>0</v>
      </c>
      <c r="BD82" s="35">
        <f t="shared" si="19"/>
        <v>0</v>
      </c>
      <c r="BE82" s="35">
        <f t="shared" si="20"/>
        <v>0</v>
      </c>
      <c r="BF82" s="35">
        <f t="shared" si="21"/>
        <v>0</v>
      </c>
      <c r="BG82" s="35">
        <f t="shared" si="22"/>
        <v>0</v>
      </c>
      <c r="BH82" s="35">
        <f t="shared" si="23"/>
        <v>0</v>
      </c>
      <c r="BI82" s="35">
        <f t="shared" si="24"/>
        <v>0</v>
      </c>
      <c r="BJ82" s="35">
        <f t="shared" si="25"/>
        <v>0</v>
      </c>
      <c r="BK82" s="35">
        <f t="shared" si="26"/>
        <v>0</v>
      </c>
      <c r="BL82" s="35">
        <f t="shared" si="27"/>
        <v>0</v>
      </c>
      <c r="BM82" s="35">
        <f t="shared" si="28"/>
        <v>0</v>
      </c>
      <c r="BN82" s="35">
        <f t="shared" si="29"/>
        <v>0</v>
      </c>
      <c r="BO82" s="35">
        <f t="shared" si="30"/>
        <v>0</v>
      </c>
      <c r="BP82" s="35">
        <f t="shared" si="31"/>
        <v>0</v>
      </c>
      <c r="BQ82" s="35">
        <f t="shared" si="32"/>
        <v>0</v>
      </c>
      <c r="BR82" s="35">
        <f t="shared" si="33"/>
        <v>0</v>
      </c>
      <c r="BS82" s="35">
        <f t="shared" si="34"/>
        <v>0</v>
      </c>
      <c r="BT82" s="43">
        <f t="shared" si="35"/>
        <v>0</v>
      </c>
    </row>
    <row r="83" spans="1:72">
      <c r="A83" s="9"/>
      <c r="B83" s="34"/>
      <c r="C83" s="34"/>
      <c r="D83" s="1805"/>
      <c r="E83" s="35">
        <f t="shared" si="7"/>
        <v>0</v>
      </c>
      <c r="F83" s="36"/>
      <c r="G83" s="37">
        <f t="shared" si="8"/>
        <v>0</v>
      </c>
      <c r="H83" s="38">
        <f t="shared" si="9"/>
        <v>0</v>
      </c>
      <c r="I83" s="39"/>
      <c r="J83" s="39"/>
      <c r="K83" s="39"/>
      <c r="L83" s="39"/>
      <c r="M83" s="39"/>
      <c r="N83" s="39"/>
      <c r="O83" s="39"/>
      <c r="P83" s="39"/>
      <c r="Q83" s="39"/>
      <c r="R83" s="39"/>
      <c r="S83" s="39"/>
      <c r="T83" s="39"/>
      <c r="U83" s="39"/>
      <c r="V83" s="39"/>
      <c r="W83" s="39"/>
      <c r="X83" s="39"/>
      <c r="Y83" s="39"/>
      <c r="Z83" s="39"/>
      <c r="AA83" s="39"/>
      <c r="AB83" s="39"/>
      <c r="AC83" s="35">
        <f t="shared" si="10"/>
        <v>0</v>
      </c>
      <c r="AD83" s="40"/>
      <c r="AE83" s="40"/>
      <c r="AF83" s="40"/>
      <c r="AG83" s="40"/>
      <c r="AH83" s="40"/>
      <c r="AI83" s="40"/>
      <c r="AJ83" s="40"/>
      <c r="AK83" s="40"/>
      <c r="AL83" s="40"/>
      <c r="AM83" s="40"/>
      <c r="AN83" s="40"/>
      <c r="AO83" s="40"/>
      <c r="AP83" s="40"/>
      <c r="AQ83" s="40"/>
      <c r="AR83" s="40"/>
      <c r="AS83" s="40"/>
      <c r="AT83" s="41"/>
      <c r="AU83" s="1806"/>
      <c r="AV83" s="1517">
        <f t="shared" si="11"/>
        <v>0</v>
      </c>
      <c r="AW83" s="1517">
        <f t="shared" si="12"/>
        <v>0</v>
      </c>
      <c r="AX83" s="1517">
        <f t="shared" si="13"/>
        <v>0</v>
      </c>
      <c r="AY83" s="42">
        <f t="shared" si="14"/>
        <v>0</v>
      </c>
      <c r="AZ83" s="35">
        <f t="shared" si="15"/>
        <v>0</v>
      </c>
      <c r="BA83" s="35">
        <f t="shared" si="16"/>
        <v>0</v>
      </c>
      <c r="BB83" s="35">
        <f t="shared" si="17"/>
        <v>0</v>
      </c>
      <c r="BC83" s="35">
        <f t="shared" si="18"/>
        <v>0</v>
      </c>
      <c r="BD83" s="35">
        <f t="shared" si="19"/>
        <v>0</v>
      </c>
      <c r="BE83" s="35">
        <f t="shared" si="20"/>
        <v>0</v>
      </c>
      <c r="BF83" s="35">
        <f t="shared" si="21"/>
        <v>0</v>
      </c>
      <c r="BG83" s="35">
        <f t="shared" si="22"/>
        <v>0</v>
      </c>
      <c r="BH83" s="35">
        <f t="shared" si="23"/>
        <v>0</v>
      </c>
      <c r="BI83" s="35">
        <f t="shared" si="24"/>
        <v>0</v>
      </c>
      <c r="BJ83" s="35">
        <f t="shared" si="25"/>
        <v>0</v>
      </c>
      <c r="BK83" s="35">
        <f t="shared" si="26"/>
        <v>0</v>
      </c>
      <c r="BL83" s="35">
        <f t="shared" si="27"/>
        <v>0</v>
      </c>
      <c r="BM83" s="35">
        <f t="shared" si="28"/>
        <v>0</v>
      </c>
      <c r="BN83" s="35">
        <f t="shared" si="29"/>
        <v>0</v>
      </c>
      <c r="BO83" s="35">
        <f t="shared" si="30"/>
        <v>0</v>
      </c>
      <c r="BP83" s="35">
        <f t="shared" si="31"/>
        <v>0</v>
      </c>
      <c r="BQ83" s="35">
        <f t="shared" si="32"/>
        <v>0</v>
      </c>
      <c r="BR83" s="35">
        <f t="shared" si="33"/>
        <v>0</v>
      </c>
      <c r="BS83" s="35">
        <f t="shared" si="34"/>
        <v>0</v>
      </c>
      <c r="BT83" s="43">
        <f t="shared" si="35"/>
        <v>0</v>
      </c>
    </row>
    <row r="84" spans="1:72">
      <c r="A84" s="9"/>
      <c r="B84" s="34"/>
      <c r="C84" s="34"/>
      <c r="D84" s="1805"/>
      <c r="E84" s="35">
        <f t="shared" si="7"/>
        <v>0</v>
      </c>
      <c r="F84" s="36"/>
      <c r="G84" s="37">
        <f t="shared" si="8"/>
        <v>0</v>
      </c>
      <c r="H84" s="38">
        <f t="shared" si="9"/>
        <v>0</v>
      </c>
      <c r="I84" s="39"/>
      <c r="J84" s="39"/>
      <c r="K84" s="39"/>
      <c r="L84" s="39"/>
      <c r="M84" s="39"/>
      <c r="N84" s="39"/>
      <c r="O84" s="39"/>
      <c r="P84" s="39"/>
      <c r="Q84" s="39"/>
      <c r="R84" s="39"/>
      <c r="S84" s="39"/>
      <c r="T84" s="39"/>
      <c r="U84" s="39"/>
      <c r="V84" s="39"/>
      <c r="W84" s="39"/>
      <c r="X84" s="39"/>
      <c r="Y84" s="39"/>
      <c r="Z84" s="39"/>
      <c r="AA84" s="39"/>
      <c r="AB84" s="39"/>
      <c r="AC84" s="35">
        <f t="shared" si="10"/>
        <v>0</v>
      </c>
      <c r="AD84" s="40"/>
      <c r="AE84" s="40"/>
      <c r="AF84" s="40"/>
      <c r="AG84" s="40"/>
      <c r="AH84" s="40"/>
      <c r="AI84" s="40"/>
      <c r="AJ84" s="40"/>
      <c r="AK84" s="40"/>
      <c r="AL84" s="40"/>
      <c r="AM84" s="40"/>
      <c r="AN84" s="40"/>
      <c r="AO84" s="40"/>
      <c r="AP84" s="40"/>
      <c r="AQ84" s="40"/>
      <c r="AR84" s="40"/>
      <c r="AS84" s="40"/>
      <c r="AT84" s="41"/>
      <c r="AU84" s="1806"/>
      <c r="AV84" s="1517">
        <f t="shared" si="11"/>
        <v>0</v>
      </c>
      <c r="AW84" s="1517">
        <f t="shared" si="12"/>
        <v>0</v>
      </c>
      <c r="AX84" s="1517">
        <f t="shared" si="13"/>
        <v>0</v>
      </c>
      <c r="AY84" s="42">
        <f t="shared" si="14"/>
        <v>0</v>
      </c>
      <c r="AZ84" s="35">
        <f t="shared" si="15"/>
        <v>0</v>
      </c>
      <c r="BA84" s="35">
        <f t="shared" si="16"/>
        <v>0</v>
      </c>
      <c r="BB84" s="35">
        <f t="shared" si="17"/>
        <v>0</v>
      </c>
      <c r="BC84" s="35">
        <f t="shared" si="18"/>
        <v>0</v>
      </c>
      <c r="BD84" s="35">
        <f t="shared" si="19"/>
        <v>0</v>
      </c>
      <c r="BE84" s="35">
        <f t="shared" si="20"/>
        <v>0</v>
      </c>
      <c r="BF84" s="35">
        <f t="shared" si="21"/>
        <v>0</v>
      </c>
      <c r="BG84" s="35">
        <f t="shared" si="22"/>
        <v>0</v>
      </c>
      <c r="BH84" s="35">
        <f t="shared" si="23"/>
        <v>0</v>
      </c>
      <c r="BI84" s="35">
        <f t="shared" si="24"/>
        <v>0</v>
      </c>
      <c r="BJ84" s="35">
        <f t="shared" si="25"/>
        <v>0</v>
      </c>
      <c r="BK84" s="35">
        <f t="shared" si="26"/>
        <v>0</v>
      </c>
      <c r="BL84" s="35">
        <f t="shared" si="27"/>
        <v>0</v>
      </c>
      <c r="BM84" s="35">
        <f t="shared" si="28"/>
        <v>0</v>
      </c>
      <c r="BN84" s="35">
        <f t="shared" si="29"/>
        <v>0</v>
      </c>
      <c r="BO84" s="35">
        <f t="shared" si="30"/>
        <v>0</v>
      </c>
      <c r="BP84" s="35">
        <f t="shared" si="31"/>
        <v>0</v>
      </c>
      <c r="BQ84" s="35">
        <f t="shared" si="32"/>
        <v>0</v>
      </c>
      <c r="BR84" s="35">
        <f t="shared" si="33"/>
        <v>0</v>
      </c>
      <c r="BS84" s="35">
        <f t="shared" si="34"/>
        <v>0</v>
      </c>
      <c r="BT84" s="43">
        <f t="shared" si="35"/>
        <v>0</v>
      </c>
    </row>
    <row r="85" spans="1:72">
      <c r="A85" s="9"/>
      <c r="B85" s="34"/>
      <c r="C85" s="34"/>
      <c r="D85" s="1805"/>
      <c r="E85" s="35">
        <f t="shared" si="7"/>
        <v>0</v>
      </c>
      <c r="F85" s="36"/>
      <c r="G85" s="37">
        <f t="shared" si="8"/>
        <v>0</v>
      </c>
      <c r="H85" s="38">
        <f t="shared" si="9"/>
        <v>0</v>
      </c>
      <c r="I85" s="39"/>
      <c r="J85" s="39"/>
      <c r="K85" s="39"/>
      <c r="L85" s="39"/>
      <c r="M85" s="39"/>
      <c r="N85" s="39"/>
      <c r="O85" s="39"/>
      <c r="P85" s="39"/>
      <c r="Q85" s="39"/>
      <c r="R85" s="39"/>
      <c r="S85" s="39"/>
      <c r="T85" s="39"/>
      <c r="U85" s="39"/>
      <c r="V85" s="39"/>
      <c r="W85" s="39"/>
      <c r="X85" s="39"/>
      <c r="Y85" s="39"/>
      <c r="Z85" s="39"/>
      <c r="AA85" s="39"/>
      <c r="AB85" s="39"/>
      <c r="AC85" s="35">
        <f t="shared" si="10"/>
        <v>0</v>
      </c>
      <c r="AD85" s="40"/>
      <c r="AE85" s="40"/>
      <c r="AF85" s="40"/>
      <c r="AG85" s="40"/>
      <c r="AH85" s="40"/>
      <c r="AI85" s="40"/>
      <c r="AJ85" s="40"/>
      <c r="AK85" s="40"/>
      <c r="AL85" s="40"/>
      <c r="AM85" s="40"/>
      <c r="AN85" s="40"/>
      <c r="AO85" s="40"/>
      <c r="AP85" s="40"/>
      <c r="AQ85" s="40"/>
      <c r="AR85" s="40"/>
      <c r="AS85" s="40"/>
      <c r="AT85" s="41"/>
      <c r="AU85" s="1806"/>
      <c r="AV85" s="1517">
        <f t="shared" si="11"/>
        <v>0</v>
      </c>
      <c r="AW85" s="1517">
        <f t="shared" si="12"/>
        <v>0</v>
      </c>
      <c r="AX85" s="1517">
        <f t="shared" si="13"/>
        <v>0</v>
      </c>
      <c r="AY85" s="42">
        <f t="shared" si="14"/>
        <v>0</v>
      </c>
      <c r="AZ85" s="35">
        <f t="shared" si="15"/>
        <v>0</v>
      </c>
      <c r="BA85" s="35">
        <f t="shared" si="16"/>
        <v>0</v>
      </c>
      <c r="BB85" s="35">
        <f t="shared" si="17"/>
        <v>0</v>
      </c>
      <c r="BC85" s="35">
        <f t="shared" si="18"/>
        <v>0</v>
      </c>
      <c r="BD85" s="35">
        <f t="shared" si="19"/>
        <v>0</v>
      </c>
      <c r="BE85" s="35">
        <f t="shared" si="20"/>
        <v>0</v>
      </c>
      <c r="BF85" s="35">
        <f t="shared" si="21"/>
        <v>0</v>
      </c>
      <c r="BG85" s="35">
        <f t="shared" si="22"/>
        <v>0</v>
      </c>
      <c r="BH85" s="35">
        <f t="shared" si="23"/>
        <v>0</v>
      </c>
      <c r="BI85" s="35">
        <f t="shared" si="24"/>
        <v>0</v>
      </c>
      <c r="BJ85" s="35">
        <f t="shared" si="25"/>
        <v>0</v>
      </c>
      <c r="BK85" s="35">
        <f t="shared" si="26"/>
        <v>0</v>
      </c>
      <c r="BL85" s="35">
        <f t="shared" si="27"/>
        <v>0</v>
      </c>
      <c r="BM85" s="35">
        <f t="shared" si="28"/>
        <v>0</v>
      </c>
      <c r="BN85" s="35">
        <f t="shared" si="29"/>
        <v>0</v>
      </c>
      <c r="BO85" s="35">
        <f t="shared" si="30"/>
        <v>0</v>
      </c>
      <c r="BP85" s="35">
        <f t="shared" si="31"/>
        <v>0</v>
      </c>
      <c r="BQ85" s="35">
        <f t="shared" si="32"/>
        <v>0</v>
      </c>
      <c r="BR85" s="35">
        <f t="shared" si="33"/>
        <v>0</v>
      </c>
      <c r="BS85" s="35">
        <f t="shared" si="34"/>
        <v>0</v>
      </c>
      <c r="BT85" s="43">
        <f t="shared" si="35"/>
        <v>0</v>
      </c>
    </row>
    <row r="86" spans="1:72">
      <c r="A86" s="9"/>
      <c r="B86" s="34"/>
      <c r="C86" s="34"/>
      <c r="D86" s="1805"/>
      <c r="E86" s="35">
        <f t="shared" si="7"/>
        <v>0</v>
      </c>
      <c r="F86" s="36"/>
      <c r="G86" s="37">
        <f t="shared" si="8"/>
        <v>0</v>
      </c>
      <c r="H86" s="38">
        <f t="shared" si="9"/>
        <v>0</v>
      </c>
      <c r="I86" s="39"/>
      <c r="J86" s="39"/>
      <c r="K86" s="39"/>
      <c r="L86" s="39"/>
      <c r="M86" s="39"/>
      <c r="N86" s="39"/>
      <c r="O86" s="39"/>
      <c r="P86" s="39"/>
      <c r="Q86" s="39"/>
      <c r="R86" s="39"/>
      <c r="S86" s="39"/>
      <c r="T86" s="39"/>
      <c r="U86" s="39"/>
      <c r="V86" s="39"/>
      <c r="W86" s="39"/>
      <c r="X86" s="39"/>
      <c r="Y86" s="39"/>
      <c r="Z86" s="39"/>
      <c r="AA86" s="39"/>
      <c r="AB86" s="39"/>
      <c r="AC86" s="35">
        <f t="shared" si="10"/>
        <v>0</v>
      </c>
      <c r="AD86" s="40"/>
      <c r="AE86" s="40"/>
      <c r="AF86" s="40"/>
      <c r="AG86" s="40"/>
      <c r="AH86" s="40"/>
      <c r="AI86" s="40"/>
      <c r="AJ86" s="40"/>
      <c r="AK86" s="40"/>
      <c r="AL86" s="40"/>
      <c r="AM86" s="40"/>
      <c r="AN86" s="40"/>
      <c r="AO86" s="40"/>
      <c r="AP86" s="40"/>
      <c r="AQ86" s="40"/>
      <c r="AR86" s="40"/>
      <c r="AS86" s="40"/>
      <c r="AT86" s="41"/>
      <c r="AU86" s="1806"/>
      <c r="AV86" s="1517">
        <f t="shared" si="11"/>
        <v>0</v>
      </c>
      <c r="AW86" s="1517">
        <f t="shared" si="12"/>
        <v>0</v>
      </c>
      <c r="AX86" s="1517">
        <f t="shared" si="13"/>
        <v>0</v>
      </c>
      <c r="AY86" s="42">
        <f t="shared" si="14"/>
        <v>0</v>
      </c>
      <c r="AZ86" s="35">
        <f t="shared" si="15"/>
        <v>0</v>
      </c>
      <c r="BA86" s="35">
        <f t="shared" si="16"/>
        <v>0</v>
      </c>
      <c r="BB86" s="35">
        <f t="shared" si="17"/>
        <v>0</v>
      </c>
      <c r="BC86" s="35">
        <f t="shared" si="18"/>
        <v>0</v>
      </c>
      <c r="BD86" s="35">
        <f t="shared" si="19"/>
        <v>0</v>
      </c>
      <c r="BE86" s="35">
        <f t="shared" si="20"/>
        <v>0</v>
      </c>
      <c r="BF86" s="35">
        <f t="shared" si="21"/>
        <v>0</v>
      </c>
      <c r="BG86" s="35">
        <f t="shared" si="22"/>
        <v>0</v>
      </c>
      <c r="BH86" s="35">
        <f t="shared" si="23"/>
        <v>0</v>
      </c>
      <c r="BI86" s="35">
        <f t="shared" si="24"/>
        <v>0</v>
      </c>
      <c r="BJ86" s="35">
        <f t="shared" si="25"/>
        <v>0</v>
      </c>
      <c r="BK86" s="35">
        <f t="shared" si="26"/>
        <v>0</v>
      </c>
      <c r="BL86" s="35">
        <f t="shared" si="27"/>
        <v>0</v>
      </c>
      <c r="BM86" s="35">
        <f t="shared" si="28"/>
        <v>0</v>
      </c>
      <c r="BN86" s="35">
        <f t="shared" si="29"/>
        <v>0</v>
      </c>
      <c r="BO86" s="35">
        <f t="shared" si="30"/>
        <v>0</v>
      </c>
      <c r="BP86" s="35">
        <f t="shared" si="31"/>
        <v>0</v>
      </c>
      <c r="BQ86" s="35">
        <f t="shared" si="32"/>
        <v>0</v>
      </c>
      <c r="BR86" s="35">
        <f t="shared" si="33"/>
        <v>0</v>
      </c>
      <c r="BS86" s="35">
        <f t="shared" si="34"/>
        <v>0</v>
      </c>
      <c r="BT86" s="43">
        <f t="shared" si="35"/>
        <v>0</v>
      </c>
    </row>
    <row r="87" spans="1:72">
      <c r="A87" s="9"/>
      <c r="B87" s="34"/>
      <c r="C87" s="34"/>
      <c r="D87" s="1805"/>
      <c r="E87" s="35">
        <f t="shared" si="7"/>
        <v>0</v>
      </c>
      <c r="F87" s="36"/>
      <c r="G87" s="37">
        <f t="shared" si="8"/>
        <v>0</v>
      </c>
      <c r="H87" s="38">
        <f t="shared" si="9"/>
        <v>0</v>
      </c>
      <c r="I87" s="39"/>
      <c r="J87" s="39"/>
      <c r="K87" s="39"/>
      <c r="L87" s="39"/>
      <c r="M87" s="39"/>
      <c r="N87" s="39"/>
      <c r="O87" s="39"/>
      <c r="P87" s="39"/>
      <c r="Q87" s="39"/>
      <c r="R87" s="39"/>
      <c r="S87" s="39"/>
      <c r="T87" s="39"/>
      <c r="U87" s="39"/>
      <c r="V87" s="39"/>
      <c r="W87" s="39"/>
      <c r="X87" s="39"/>
      <c r="Y87" s="39"/>
      <c r="Z87" s="39"/>
      <c r="AA87" s="39"/>
      <c r="AB87" s="39"/>
      <c r="AC87" s="35">
        <f t="shared" si="10"/>
        <v>0</v>
      </c>
      <c r="AD87" s="40"/>
      <c r="AE87" s="40"/>
      <c r="AF87" s="40"/>
      <c r="AG87" s="40"/>
      <c r="AH87" s="40"/>
      <c r="AI87" s="40"/>
      <c r="AJ87" s="40"/>
      <c r="AK87" s="40"/>
      <c r="AL87" s="40"/>
      <c r="AM87" s="40"/>
      <c r="AN87" s="40"/>
      <c r="AO87" s="40"/>
      <c r="AP87" s="40"/>
      <c r="AQ87" s="40"/>
      <c r="AR87" s="40"/>
      <c r="AS87" s="40"/>
      <c r="AT87" s="41"/>
      <c r="AU87" s="1806"/>
      <c r="AV87" s="1517">
        <f t="shared" si="11"/>
        <v>0</v>
      </c>
      <c r="AW87" s="1517">
        <f t="shared" si="12"/>
        <v>0</v>
      </c>
      <c r="AX87" s="1517">
        <f t="shared" si="13"/>
        <v>0</v>
      </c>
      <c r="AY87" s="42">
        <f t="shared" si="14"/>
        <v>0</v>
      </c>
      <c r="AZ87" s="35">
        <f t="shared" si="15"/>
        <v>0</v>
      </c>
      <c r="BA87" s="35">
        <f t="shared" si="16"/>
        <v>0</v>
      </c>
      <c r="BB87" s="35">
        <f t="shared" si="17"/>
        <v>0</v>
      </c>
      <c r="BC87" s="35">
        <f t="shared" si="18"/>
        <v>0</v>
      </c>
      <c r="BD87" s="35">
        <f t="shared" si="19"/>
        <v>0</v>
      </c>
      <c r="BE87" s="35">
        <f t="shared" si="20"/>
        <v>0</v>
      </c>
      <c r="BF87" s="35">
        <f t="shared" si="21"/>
        <v>0</v>
      </c>
      <c r="BG87" s="35">
        <f t="shared" si="22"/>
        <v>0</v>
      </c>
      <c r="BH87" s="35">
        <f t="shared" si="23"/>
        <v>0</v>
      </c>
      <c r="BI87" s="35">
        <f t="shared" si="24"/>
        <v>0</v>
      </c>
      <c r="BJ87" s="35">
        <f t="shared" si="25"/>
        <v>0</v>
      </c>
      <c r="BK87" s="35">
        <f t="shared" si="26"/>
        <v>0</v>
      </c>
      <c r="BL87" s="35">
        <f t="shared" si="27"/>
        <v>0</v>
      </c>
      <c r="BM87" s="35">
        <f t="shared" si="28"/>
        <v>0</v>
      </c>
      <c r="BN87" s="35">
        <f t="shared" si="29"/>
        <v>0</v>
      </c>
      <c r="BO87" s="35">
        <f t="shared" si="30"/>
        <v>0</v>
      </c>
      <c r="BP87" s="35">
        <f t="shared" si="31"/>
        <v>0</v>
      </c>
      <c r="BQ87" s="35">
        <f t="shared" si="32"/>
        <v>0</v>
      </c>
      <c r="BR87" s="35">
        <f t="shared" si="33"/>
        <v>0</v>
      </c>
      <c r="BS87" s="35">
        <f t="shared" si="34"/>
        <v>0</v>
      </c>
      <c r="BT87" s="43">
        <f t="shared" si="35"/>
        <v>0</v>
      </c>
    </row>
    <row r="88" spans="1:72">
      <c r="A88" s="9"/>
      <c r="B88" s="34"/>
      <c r="C88" s="34"/>
      <c r="D88" s="1805"/>
      <c r="E88" s="35">
        <f t="shared" si="7"/>
        <v>0</v>
      </c>
      <c r="F88" s="36"/>
      <c r="G88" s="37">
        <f t="shared" si="8"/>
        <v>0</v>
      </c>
      <c r="H88" s="38">
        <f t="shared" si="9"/>
        <v>0</v>
      </c>
      <c r="I88" s="39"/>
      <c r="J88" s="39"/>
      <c r="K88" s="39"/>
      <c r="L88" s="39"/>
      <c r="M88" s="39"/>
      <c r="N88" s="39"/>
      <c r="O88" s="39"/>
      <c r="P88" s="39"/>
      <c r="Q88" s="39"/>
      <c r="R88" s="39"/>
      <c r="S88" s="39"/>
      <c r="T88" s="39"/>
      <c r="U88" s="39"/>
      <c r="V88" s="39"/>
      <c r="W88" s="39"/>
      <c r="X88" s="39"/>
      <c r="Y88" s="39"/>
      <c r="Z88" s="39"/>
      <c r="AA88" s="39"/>
      <c r="AB88" s="39"/>
      <c r="AC88" s="35">
        <f t="shared" si="10"/>
        <v>0</v>
      </c>
      <c r="AD88" s="40"/>
      <c r="AE88" s="40"/>
      <c r="AF88" s="40"/>
      <c r="AG88" s="40"/>
      <c r="AH88" s="40"/>
      <c r="AI88" s="40"/>
      <c r="AJ88" s="40"/>
      <c r="AK88" s="40"/>
      <c r="AL88" s="40"/>
      <c r="AM88" s="40"/>
      <c r="AN88" s="40"/>
      <c r="AO88" s="40"/>
      <c r="AP88" s="40"/>
      <c r="AQ88" s="40"/>
      <c r="AR88" s="40"/>
      <c r="AS88" s="40"/>
      <c r="AT88" s="41"/>
      <c r="AU88" s="1806"/>
      <c r="AV88" s="1517">
        <f t="shared" si="11"/>
        <v>0</v>
      </c>
      <c r="AW88" s="1517">
        <f t="shared" si="12"/>
        <v>0</v>
      </c>
      <c r="AX88" s="1517">
        <f t="shared" si="13"/>
        <v>0</v>
      </c>
      <c r="AY88" s="42">
        <f t="shared" si="14"/>
        <v>0</v>
      </c>
      <c r="AZ88" s="35">
        <f t="shared" si="15"/>
        <v>0</v>
      </c>
      <c r="BA88" s="35">
        <f t="shared" si="16"/>
        <v>0</v>
      </c>
      <c r="BB88" s="35">
        <f t="shared" si="17"/>
        <v>0</v>
      </c>
      <c r="BC88" s="35">
        <f t="shared" si="18"/>
        <v>0</v>
      </c>
      <c r="BD88" s="35">
        <f t="shared" si="19"/>
        <v>0</v>
      </c>
      <c r="BE88" s="35">
        <f t="shared" si="20"/>
        <v>0</v>
      </c>
      <c r="BF88" s="35">
        <f t="shared" si="21"/>
        <v>0</v>
      </c>
      <c r="BG88" s="35">
        <f t="shared" si="22"/>
        <v>0</v>
      </c>
      <c r="BH88" s="35">
        <f t="shared" si="23"/>
        <v>0</v>
      </c>
      <c r="BI88" s="35">
        <f t="shared" si="24"/>
        <v>0</v>
      </c>
      <c r="BJ88" s="35">
        <f t="shared" si="25"/>
        <v>0</v>
      </c>
      <c r="BK88" s="35">
        <f t="shared" si="26"/>
        <v>0</v>
      </c>
      <c r="BL88" s="35">
        <f t="shared" si="27"/>
        <v>0</v>
      </c>
      <c r="BM88" s="35">
        <f t="shared" si="28"/>
        <v>0</v>
      </c>
      <c r="BN88" s="35">
        <f t="shared" si="29"/>
        <v>0</v>
      </c>
      <c r="BO88" s="35">
        <f t="shared" si="30"/>
        <v>0</v>
      </c>
      <c r="BP88" s="35">
        <f t="shared" si="31"/>
        <v>0</v>
      </c>
      <c r="BQ88" s="35">
        <f t="shared" si="32"/>
        <v>0</v>
      </c>
      <c r="BR88" s="35">
        <f t="shared" si="33"/>
        <v>0</v>
      </c>
      <c r="BS88" s="35">
        <f t="shared" si="34"/>
        <v>0</v>
      </c>
      <c r="BT88" s="43">
        <f t="shared" si="35"/>
        <v>0</v>
      </c>
    </row>
    <row r="89" spans="1:72">
      <c r="A89" s="9"/>
      <c r="B89" s="34"/>
      <c r="C89" s="34"/>
      <c r="D89" s="1805"/>
      <c r="E89" s="35">
        <f t="shared" si="7"/>
        <v>0</v>
      </c>
      <c r="F89" s="36"/>
      <c r="G89" s="37">
        <f t="shared" si="8"/>
        <v>0</v>
      </c>
      <c r="H89" s="38">
        <f t="shared" si="9"/>
        <v>0</v>
      </c>
      <c r="I89" s="39"/>
      <c r="J89" s="39"/>
      <c r="K89" s="39"/>
      <c r="L89" s="39"/>
      <c r="M89" s="39"/>
      <c r="N89" s="39"/>
      <c r="O89" s="39"/>
      <c r="P89" s="39"/>
      <c r="Q89" s="39"/>
      <c r="R89" s="39"/>
      <c r="S89" s="39"/>
      <c r="T89" s="39"/>
      <c r="U89" s="39"/>
      <c r="V89" s="39"/>
      <c r="W89" s="39"/>
      <c r="X89" s="39"/>
      <c r="Y89" s="39"/>
      <c r="Z89" s="39"/>
      <c r="AA89" s="39"/>
      <c r="AB89" s="39"/>
      <c r="AC89" s="35">
        <f t="shared" si="10"/>
        <v>0</v>
      </c>
      <c r="AD89" s="40"/>
      <c r="AE89" s="40"/>
      <c r="AF89" s="40"/>
      <c r="AG89" s="40"/>
      <c r="AH89" s="40"/>
      <c r="AI89" s="40"/>
      <c r="AJ89" s="40"/>
      <c r="AK89" s="40"/>
      <c r="AL89" s="40"/>
      <c r="AM89" s="40"/>
      <c r="AN89" s="40"/>
      <c r="AO89" s="40"/>
      <c r="AP89" s="40"/>
      <c r="AQ89" s="40"/>
      <c r="AR89" s="40"/>
      <c r="AS89" s="40"/>
      <c r="AT89" s="41"/>
      <c r="AU89" s="1806"/>
      <c r="AV89" s="1517">
        <f t="shared" si="11"/>
        <v>0</v>
      </c>
      <c r="AW89" s="1517">
        <f t="shared" si="12"/>
        <v>0</v>
      </c>
      <c r="AX89" s="1517">
        <f t="shared" si="13"/>
        <v>0</v>
      </c>
      <c r="AY89" s="42">
        <f t="shared" si="14"/>
        <v>0</v>
      </c>
      <c r="AZ89" s="35">
        <f t="shared" si="15"/>
        <v>0</v>
      </c>
      <c r="BA89" s="35">
        <f t="shared" si="16"/>
        <v>0</v>
      </c>
      <c r="BB89" s="35">
        <f t="shared" si="17"/>
        <v>0</v>
      </c>
      <c r="BC89" s="35">
        <f t="shared" si="18"/>
        <v>0</v>
      </c>
      <c r="BD89" s="35">
        <f t="shared" si="19"/>
        <v>0</v>
      </c>
      <c r="BE89" s="35">
        <f t="shared" si="20"/>
        <v>0</v>
      </c>
      <c r="BF89" s="35">
        <f t="shared" si="21"/>
        <v>0</v>
      </c>
      <c r="BG89" s="35">
        <f t="shared" si="22"/>
        <v>0</v>
      </c>
      <c r="BH89" s="35">
        <f t="shared" si="23"/>
        <v>0</v>
      </c>
      <c r="BI89" s="35">
        <f t="shared" si="24"/>
        <v>0</v>
      </c>
      <c r="BJ89" s="35">
        <f t="shared" si="25"/>
        <v>0</v>
      </c>
      <c r="BK89" s="35">
        <f t="shared" si="26"/>
        <v>0</v>
      </c>
      <c r="BL89" s="35">
        <f t="shared" si="27"/>
        <v>0</v>
      </c>
      <c r="BM89" s="35">
        <f t="shared" si="28"/>
        <v>0</v>
      </c>
      <c r="BN89" s="35">
        <f t="shared" si="29"/>
        <v>0</v>
      </c>
      <c r="BO89" s="35">
        <f t="shared" si="30"/>
        <v>0</v>
      </c>
      <c r="BP89" s="35">
        <f t="shared" si="31"/>
        <v>0</v>
      </c>
      <c r="BQ89" s="35">
        <f t="shared" si="32"/>
        <v>0</v>
      </c>
      <c r="BR89" s="35">
        <f t="shared" si="33"/>
        <v>0</v>
      </c>
      <c r="BS89" s="35">
        <f t="shared" si="34"/>
        <v>0</v>
      </c>
      <c r="BT89" s="43">
        <f t="shared" si="35"/>
        <v>0</v>
      </c>
    </row>
    <row r="90" spans="1:72">
      <c r="A90" s="9"/>
      <c r="B90" s="34"/>
      <c r="C90" s="34"/>
      <c r="D90" s="1805"/>
      <c r="E90" s="35">
        <f t="shared" si="7"/>
        <v>0</v>
      </c>
      <c r="F90" s="36"/>
      <c r="G90" s="37">
        <f t="shared" si="8"/>
        <v>0</v>
      </c>
      <c r="H90" s="38">
        <f t="shared" si="9"/>
        <v>0</v>
      </c>
      <c r="I90" s="39"/>
      <c r="J90" s="39"/>
      <c r="K90" s="39"/>
      <c r="L90" s="39"/>
      <c r="M90" s="39"/>
      <c r="N90" s="39"/>
      <c r="O90" s="39"/>
      <c r="P90" s="39"/>
      <c r="Q90" s="39"/>
      <c r="R90" s="39"/>
      <c r="S90" s="39"/>
      <c r="T90" s="39"/>
      <c r="U90" s="39"/>
      <c r="V90" s="39"/>
      <c r="W90" s="39"/>
      <c r="X90" s="39"/>
      <c r="Y90" s="39"/>
      <c r="Z90" s="39"/>
      <c r="AA90" s="39"/>
      <c r="AB90" s="39"/>
      <c r="AC90" s="35">
        <f t="shared" si="10"/>
        <v>0</v>
      </c>
      <c r="AD90" s="40"/>
      <c r="AE90" s="40"/>
      <c r="AF90" s="40"/>
      <c r="AG90" s="40"/>
      <c r="AH90" s="40"/>
      <c r="AI90" s="40"/>
      <c r="AJ90" s="40"/>
      <c r="AK90" s="40"/>
      <c r="AL90" s="40"/>
      <c r="AM90" s="40"/>
      <c r="AN90" s="40"/>
      <c r="AO90" s="40"/>
      <c r="AP90" s="40"/>
      <c r="AQ90" s="40"/>
      <c r="AR90" s="40"/>
      <c r="AS90" s="40"/>
      <c r="AT90" s="41"/>
      <c r="AU90" s="1806"/>
      <c r="AV90" s="1517">
        <f t="shared" si="11"/>
        <v>0</v>
      </c>
      <c r="AW90" s="1517">
        <f t="shared" si="12"/>
        <v>0</v>
      </c>
      <c r="AX90" s="1517">
        <f t="shared" si="13"/>
        <v>0</v>
      </c>
      <c r="AY90" s="42">
        <f t="shared" si="14"/>
        <v>0</v>
      </c>
      <c r="AZ90" s="35">
        <f t="shared" si="15"/>
        <v>0</v>
      </c>
      <c r="BA90" s="35">
        <f t="shared" si="16"/>
        <v>0</v>
      </c>
      <c r="BB90" s="35">
        <f t="shared" si="17"/>
        <v>0</v>
      </c>
      <c r="BC90" s="35">
        <f t="shared" si="18"/>
        <v>0</v>
      </c>
      <c r="BD90" s="35">
        <f t="shared" si="19"/>
        <v>0</v>
      </c>
      <c r="BE90" s="35">
        <f t="shared" si="20"/>
        <v>0</v>
      </c>
      <c r="BF90" s="35">
        <f t="shared" si="21"/>
        <v>0</v>
      </c>
      <c r="BG90" s="35">
        <f t="shared" si="22"/>
        <v>0</v>
      </c>
      <c r="BH90" s="35">
        <f t="shared" si="23"/>
        <v>0</v>
      </c>
      <c r="BI90" s="35">
        <f t="shared" si="24"/>
        <v>0</v>
      </c>
      <c r="BJ90" s="35">
        <f t="shared" si="25"/>
        <v>0</v>
      </c>
      <c r="BK90" s="35">
        <f t="shared" si="26"/>
        <v>0</v>
      </c>
      <c r="BL90" s="35">
        <f t="shared" si="27"/>
        <v>0</v>
      </c>
      <c r="BM90" s="35">
        <f t="shared" si="28"/>
        <v>0</v>
      </c>
      <c r="BN90" s="35">
        <f t="shared" si="29"/>
        <v>0</v>
      </c>
      <c r="BO90" s="35">
        <f t="shared" si="30"/>
        <v>0</v>
      </c>
      <c r="BP90" s="35">
        <f t="shared" si="31"/>
        <v>0</v>
      </c>
      <c r="BQ90" s="35">
        <f t="shared" si="32"/>
        <v>0</v>
      </c>
      <c r="BR90" s="35">
        <f t="shared" si="33"/>
        <v>0</v>
      </c>
      <c r="BS90" s="35">
        <f t="shared" si="34"/>
        <v>0</v>
      </c>
      <c r="BT90" s="43">
        <f t="shared" si="35"/>
        <v>0</v>
      </c>
    </row>
    <row r="91" spans="1:72">
      <c r="A91" s="9"/>
      <c r="B91" s="34"/>
      <c r="C91" s="34"/>
      <c r="D91" s="1805"/>
      <c r="E91" s="35">
        <f t="shared" si="7"/>
        <v>0</v>
      </c>
      <c r="F91" s="36"/>
      <c r="G91" s="37">
        <f t="shared" si="8"/>
        <v>0</v>
      </c>
      <c r="H91" s="38">
        <f t="shared" si="9"/>
        <v>0</v>
      </c>
      <c r="I91" s="39"/>
      <c r="J91" s="39"/>
      <c r="K91" s="39"/>
      <c r="L91" s="39"/>
      <c r="M91" s="39"/>
      <c r="N91" s="39"/>
      <c r="O91" s="39"/>
      <c r="P91" s="39"/>
      <c r="Q91" s="39"/>
      <c r="R91" s="39"/>
      <c r="S91" s="39"/>
      <c r="T91" s="39"/>
      <c r="U91" s="39"/>
      <c r="V91" s="39"/>
      <c r="W91" s="39"/>
      <c r="X91" s="39"/>
      <c r="Y91" s="39"/>
      <c r="Z91" s="39"/>
      <c r="AA91" s="39"/>
      <c r="AB91" s="39"/>
      <c r="AC91" s="35">
        <f t="shared" si="10"/>
        <v>0</v>
      </c>
      <c r="AD91" s="40"/>
      <c r="AE91" s="40"/>
      <c r="AF91" s="40"/>
      <c r="AG91" s="40"/>
      <c r="AH91" s="40"/>
      <c r="AI91" s="40"/>
      <c r="AJ91" s="40"/>
      <c r="AK91" s="40"/>
      <c r="AL91" s="40"/>
      <c r="AM91" s="40"/>
      <c r="AN91" s="40"/>
      <c r="AO91" s="40"/>
      <c r="AP91" s="40"/>
      <c r="AQ91" s="40"/>
      <c r="AR91" s="40"/>
      <c r="AS91" s="40"/>
      <c r="AT91" s="41"/>
      <c r="AU91" s="1806"/>
      <c r="AV91" s="1517">
        <f t="shared" si="11"/>
        <v>0</v>
      </c>
      <c r="AW91" s="1517">
        <f t="shared" si="12"/>
        <v>0</v>
      </c>
      <c r="AX91" s="1517">
        <f t="shared" si="13"/>
        <v>0</v>
      </c>
      <c r="AY91" s="42">
        <f t="shared" si="14"/>
        <v>0</v>
      </c>
      <c r="AZ91" s="35">
        <f t="shared" si="15"/>
        <v>0</v>
      </c>
      <c r="BA91" s="35">
        <f t="shared" si="16"/>
        <v>0</v>
      </c>
      <c r="BB91" s="35">
        <f t="shared" si="17"/>
        <v>0</v>
      </c>
      <c r="BC91" s="35">
        <f t="shared" si="18"/>
        <v>0</v>
      </c>
      <c r="BD91" s="35">
        <f t="shared" si="19"/>
        <v>0</v>
      </c>
      <c r="BE91" s="35">
        <f t="shared" si="20"/>
        <v>0</v>
      </c>
      <c r="BF91" s="35">
        <f t="shared" si="21"/>
        <v>0</v>
      </c>
      <c r="BG91" s="35">
        <f t="shared" si="22"/>
        <v>0</v>
      </c>
      <c r="BH91" s="35">
        <f t="shared" si="23"/>
        <v>0</v>
      </c>
      <c r="BI91" s="35">
        <f t="shared" si="24"/>
        <v>0</v>
      </c>
      <c r="BJ91" s="35">
        <f t="shared" si="25"/>
        <v>0</v>
      </c>
      <c r="BK91" s="35">
        <f t="shared" si="26"/>
        <v>0</v>
      </c>
      <c r="BL91" s="35">
        <f t="shared" si="27"/>
        <v>0</v>
      </c>
      <c r="BM91" s="35">
        <f t="shared" si="28"/>
        <v>0</v>
      </c>
      <c r="BN91" s="35">
        <f t="shared" si="29"/>
        <v>0</v>
      </c>
      <c r="BO91" s="35">
        <f t="shared" si="30"/>
        <v>0</v>
      </c>
      <c r="BP91" s="35">
        <f t="shared" si="31"/>
        <v>0</v>
      </c>
      <c r="BQ91" s="35">
        <f t="shared" si="32"/>
        <v>0</v>
      </c>
      <c r="BR91" s="35">
        <f t="shared" si="33"/>
        <v>0</v>
      </c>
      <c r="BS91" s="35">
        <f t="shared" si="34"/>
        <v>0</v>
      </c>
      <c r="BT91" s="43">
        <f t="shared" si="35"/>
        <v>0</v>
      </c>
    </row>
    <row r="92" spans="1:72">
      <c r="A92" s="9"/>
      <c r="B92" s="34"/>
      <c r="C92" s="34"/>
      <c r="D92" s="1805"/>
      <c r="E92" s="35">
        <f t="shared" si="7"/>
        <v>0</v>
      </c>
      <c r="F92" s="36"/>
      <c r="G92" s="37">
        <f t="shared" si="8"/>
        <v>0</v>
      </c>
      <c r="H92" s="38">
        <f t="shared" si="9"/>
        <v>0</v>
      </c>
      <c r="I92" s="39"/>
      <c r="J92" s="39"/>
      <c r="K92" s="39"/>
      <c r="L92" s="39"/>
      <c r="M92" s="39"/>
      <c r="N92" s="39"/>
      <c r="O92" s="39"/>
      <c r="P92" s="39"/>
      <c r="Q92" s="39"/>
      <c r="R92" s="39"/>
      <c r="S92" s="39"/>
      <c r="T92" s="39"/>
      <c r="U92" s="39"/>
      <c r="V92" s="39"/>
      <c r="W92" s="39"/>
      <c r="X92" s="39"/>
      <c r="Y92" s="39"/>
      <c r="Z92" s="39"/>
      <c r="AA92" s="39"/>
      <c r="AB92" s="39"/>
      <c r="AC92" s="35">
        <f t="shared" si="10"/>
        <v>0</v>
      </c>
      <c r="AD92" s="40"/>
      <c r="AE92" s="40"/>
      <c r="AF92" s="40"/>
      <c r="AG92" s="40"/>
      <c r="AH92" s="40"/>
      <c r="AI92" s="40"/>
      <c r="AJ92" s="40"/>
      <c r="AK92" s="40"/>
      <c r="AL92" s="40"/>
      <c r="AM92" s="40"/>
      <c r="AN92" s="40"/>
      <c r="AO92" s="40"/>
      <c r="AP92" s="40"/>
      <c r="AQ92" s="40"/>
      <c r="AR92" s="40"/>
      <c r="AS92" s="40"/>
      <c r="AT92" s="41"/>
      <c r="AU92" s="1806"/>
      <c r="AV92" s="1517">
        <f t="shared" si="11"/>
        <v>0</v>
      </c>
      <c r="AW92" s="1517">
        <f t="shared" si="12"/>
        <v>0</v>
      </c>
      <c r="AX92" s="1517">
        <f t="shared" si="13"/>
        <v>0</v>
      </c>
      <c r="AY92" s="42">
        <f t="shared" si="14"/>
        <v>0</v>
      </c>
      <c r="AZ92" s="35">
        <f t="shared" si="15"/>
        <v>0</v>
      </c>
      <c r="BA92" s="35">
        <f t="shared" si="16"/>
        <v>0</v>
      </c>
      <c r="BB92" s="35">
        <f t="shared" si="17"/>
        <v>0</v>
      </c>
      <c r="BC92" s="35">
        <f t="shared" si="18"/>
        <v>0</v>
      </c>
      <c r="BD92" s="35">
        <f t="shared" si="19"/>
        <v>0</v>
      </c>
      <c r="BE92" s="35">
        <f t="shared" si="20"/>
        <v>0</v>
      </c>
      <c r="BF92" s="35">
        <f t="shared" si="21"/>
        <v>0</v>
      </c>
      <c r="BG92" s="35">
        <f t="shared" si="22"/>
        <v>0</v>
      </c>
      <c r="BH92" s="35">
        <f t="shared" si="23"/>
        <v>0</v>
      </c>
      <c r="BI92" s="35">
        <f t="shared" si="24"/>
        <v>0</v>
      </c>
      <c r="BJ92" s="35">
        <f t="shared" si="25"/>
        <v>0</v>
      </c>
      <c r="BK92" s="35">
        <f t="shared" si="26"/>
        <v>0</v>
      </c>
      <c r="BL92" s="35">
        <f t="shared" si="27"/>
        <v>0</v>
      </c>
      <c r="BM92" s="35">
        <f t="shared" si="28"/>
        <v>0</v>
      </c>
      <c r="BN92" s="35">
        <f t="shared" si="29"/>
        <v>0</v>
      </c>
      <c r="BO92" s="35">
        <f t="shared" si="30"/>
        <v>0</v>
      </c>
      <c r="BP92" s="35">
        <f t="shared" si="31"/>
        <v>0</v>
      </c>
      <c r="BQ92" s="35">
        <f t="shared" si="32"/>
        <v>0</v>
      </c>
      <c r="BR92" s="35">
        <f t="shared" si="33"/>
        <v>0</v>
      </c>
      <c r="BS92" s="35">
        <f t="shared" si="34"/>
        <v>0</v>
      </c>
      <c r="BT92" s="43">
        <f t="shared" si="35"/>
        <v>0</v>
      </c>
    </row>
    <row r="93" spans="1:72">
      <c r="A93" s="9"/>
      <c r="B93" s="34"/>
      <c r="C93" s="34"/>
      <c r="D93" s="1805"/>
      <c r="E93" s="35">
        <f t="shared" si="7"/>
        <v>0</v>
      </c>
      <c r="F93" s="36"/>
      <c r="G93" s="37">
        <f t="shared" si="8"/>
        <v>0</v>
      </c>
      <c r="H93" s="38">
        <f t="shared" si="9"/>
        <v>0</v>
      </c>
      <c r="I93" s="39"/>
      <c r="J93" s="39"/>
      <c r="K93" s="39"/>
      <c r="L93" s="39"/>
      <c r="M93" s="39"/>
      <c r="N93" s="39"/>
      <c r="O93" s="39"/>
      <c r="P93" s="39"/>
      <c r="Q93" s="39"/>
      <c r="R93" s="39"/>
      <c r="S93" s="39"/>
      <c r="T93" s="39"/>
      <c r="U93" s="39"/>
      <c r="V93" s="39"/>
      <c r="W93" s="39"/>
      <c r="X93" s="39"/>
      <c r="Y93" s="39"/>
      <c r="Z93" s="39"/>
      <c r="AA93" s="39"/>
      <c r="AB93" s="39"/>
      <c r="AC93" s="35">
        <f t="shared" si="10"/>
        <v>0</v>
      </c>
      <c r="AD93" s="40"/>
      <c r="AE93" s="40"/>
      <c r="AF93" s="40"/>
      <c r="AG93" s="40"/>
      <c r="AH93" s="40"/>
      <c r="AI93" s="40"/>
      <c r="AJ93" s="40"/>
      <c r="AK93" s="40"/>
      <c r="AL93" s="40"/>
      <c r="AM93" s="40"/>
      <c r="AN93" s="40"/>
      <c r="AO93" s="40"/>
      <c r="AP93" s="40"/>
      <c r="AQ93" s="40"/>
      <c r="AR93" s="40"/>
      <c r="AS93" s="40"/>
      <c r="AT93" s="41"/>
      <c r="AU93" s="1806"/>
      <c r="AV93" s="1517">
        <f t="shared" si="11"/>
        <v>0</v>
      </c>
      <c r="AW93" s="1517">
        <f t="shared" si="12"/>
        <v>0</v>
      </c>
      <c r="AX93" s="1517">
        <f t="shared" si="13"/>
        <v>0</v>
      </c>
      <c r="AY93" s="42">
        <f t="shared" si="14"/>
        <v>0</v>
      </c>
      <c r="AZ93" s="35">
        <f t="shared" si="15"/>
        <v>0</v>
      </c>
      <c r="BA93" s="35">
        <f t="shared" si="16"/>
        <v>0</v>
      </c>
      <c r="BB93" s="35">
        <f t="shared" si="17"/>
        <v>0</v>
      </c>
      <c r="BC93" s="35">
        <f t="shared" si="18"/>
        <v>0</v>
      </c>
      <c r="BD93" s="35">
        <f t="shared" si="19"/>
        <v>0</v>
      </c>
      <c r="BE93" s="35">
        <f t="shared" si="20"/>
        <v>0</v>
      </c>
      <c r="BF93" s="35">
        <f t="shared" si="21"/>
        <v>0</v>
      </c>
      <c r="BG93" s="35">
        <f t="shared" si="22"/>
        <v>0</v>
      </c>
      <c r="BH93" s="35">
        <f t="shared" si="23"/>
        <v>0</v>
      </c>
      <c r="BI93" s="35">
        <f t="shared" si="24"/>
        <v>0</v>
      </c>
      <c r="BJ93" s="35">
        <f t="shared" si="25"/>
        <v>0</v>
      </c>
      <c r="BK93" s="35">
        <f t="shared" si="26"/>
        <v>0</v>
      </c>
      <c r="BL93" s="35">
        <f t="shared" si="27"/>
        <v>0</v>
      </c>
      <c r="BM93" s="35">
        <f t="shared" si="28"/>
        <v>0</v>
      </c>
      <c r="BN93" s="35">
        <f t="shared" si="29"/>
        <v>0</v>
      </c>
      <c r="BO93" s="35">
        <f t="shared" si="30"/>
        <v>0</v>
      </c>
      <c r="BP93" s="35">
        <f t="shared" si="31"/>
        <v>0</v>
      </c>
      <c r="BQ93" s="35">
        <f t="shared" si="32"/>
        <v>0</v>
      </c>
      <c r="BR93" s="35">
        <f t="shared" si="33"/>
        <v>0</v>
      </c>
      <c r="BS93" s="35">
        <f t="shared" si="34"/>
        <v>0</v>
      </c>
      <c r="BT93" s="43">
        <f t="shared" si="35"/>
        <v>0</v>
      </c>
    </row>
    <row r="94" spans="1:72">
      <c r="A94" s="9"/>
      <c r="B94" s="34"/>
      <c r="C94" s="34"/>
      <c r="D94" s="1805"/>
      <c r="E94" s="35">
        <f t="shared" si="7"/>
        <v>0</v>
      </c>
      <c r="F94" s="36"/>
      <c r="G94" s="37">
        <f t="shared" si="8"/>
        <v>0</v>
      </c>
      <c r="H94" s="38">
        <f t="shared" si="9"/>
        <v>0</v>
      </c>
      <c r="I94" s="39"/>
      <c r="J94" s="39"/>
      <c r="K94" s="39"/>
      <c r="L94" s="39"/>
      <c r="M94" s="39"/>
      <c r="N94" s="39"/>
      <c r="O94" s="39"/>
      <c r="P94" s="39"/>
      <c r="Q94" s="39"/>
      <c r="R94" s="39"/>
      <c r="S94" s="39"/>
      <c r="T94" s="39"/>
      <c r="U94" s="39"/>
      <c r="V94" s="39"/>
      <c r="W94" s="39"/>
      <c r="X94" s="39"/>
      <c r="Y94" s="39"/>
      <c r="Z94" s="39"/>
      <c r="AA94" s="39"/>
      <c r="AB94" s="39"/>
      <c r="AC94" s="35">
        <f t="shared" si="10"/>
        <v>0</v>
      </c>
      <c r="AD94" s="40"/>
      <c r="AE94" s="40"/>
      <c r="AF94" s="40"/>
      <c r="AG94" s="40"/>
      <c r="AH94" s="40"/>
      <c r="AI94" s="40"/>
      <c r="AJ94" s="40"/>
      <c r="AK94" s="40"/>
      <c r="AL94" s="40"/>
      <c r="AM94" s="40"/>
      <c r="AN94" s="40"/>
      <c r="AO94" s="40"/>
      <c r="AP94" s="40"/>
      <c r="AQ94" s="40"/>
      <c r="AR94" s="40"/>
      <c r="AS94" s="40"/>
      <c r="AT94" s="41"/>
      <c r="AU94" s="1806"/>
      <c r="AV94" s="1517">
        <f t="shared" si="11"/>
        <v>0</v>
      </c>
      <c r="AW94" s="1517">
        <f t="shared" si="12"/>
        <v>0</v>
      </c>
      <c r="AX94" s="1517">
        <f t="shared" si="13"/>
        <v>0</v>
      </c>
      <c r="AY94" s="42">
        <f t="shared" si="14"/>
        <v>0</v>
      </c>
      <c r="AZ94" s="35">
        <f t="shared" si="15"/>
        <v>0</v>
      </c>
      <c r="BA94" s="35">
        <f t="shared" si="16"/>
        <v>0</v>
      </c>
      <c r="BB94" s="35">
        <f t="shared" si="17"/>
        <v>0</v>
      </c>
      <c r="BC94" s="35">
        <f t="shared" si="18"/>
        <v>0</v>
      </c>
      <c r="BD94" s="35">
        <f t="shared" si="19"/>
        <v>0</v>
      </c>
      <c r="BE94" s="35">
        <f t="shared" si="20"/>
        <v>0</v>
      </c>
      <c r="BF94" s="35">
        <f t="shared" si="21"/>
        <v>0</v>
      </c>
      <c r="BG94" s="35">
        <f t="shared" si="22"/>
        <v>0</v>
      </c>
      <c r="BH94" s="35">
        <f t="shared" si="23"/>
        <v>0</v>
      </c>
      <c r="BI94" s="35">
        <f t="shared" si="24"/>
        <v>0</v>
      </c>
      <c r="BJ94" s="35">
        <f t="shared" si="25"/>
        <v>0</v>
      </c>
      <c r="BK94" s="35">
        <f t="shared" si="26"/>
        <v>0</v>
      </c>
      <c r="BL94" s="35">
        <f t="shared" si="27"/>
        <v>0</v>
      </c>
      <c r="BM94" s="35">
        <f t="shared" si="28"/>
        <v>0</v>
      </c>
      <c r="BN94" s="35">
        <f t="shared" si="29"/>
        <v>0</v>
      </c>
      <c r="BO94" s="35">
        <f t="shared" si="30"/>
        <v>0</v>
      </c>
      <c r="BP94" s="35">
        <f t="shared" si="31"/>
        <v>0</v>
      </c>
      <c r="BQ94" s="35">
        <f t="shared" si="32"/>
        <v>0</v>
      </c>
      <c r="BR94" s="35">
        <f t="shared" si="33"/>
        <v>0</v>
      </c>
      <c r="BS94" s="35">
        <f t="shared" si="34"/>
        <v>0</v>
      </c>
      <c r="BT94" s="43">
        <f t="shared" si="35"/>
        <v>0</v>
      </c>
    </row>
    <row r="95" spans="1:72">
      <c r="A95" s="9"/>
      <c r="B95" s="34"/>
      <c r="C95" s="34"/>
      <c r="D95" s="1805"/>
      <c r="E95" s="35">
        <f t="shared" si="7"/>
        <v>0</v>
      </c>
      <c r="F95" s="36"/>
      <c r="G95" s="37">
        <f t="shared" si="8"/>
        <v>0</v>
      </c>
      <c r="H95" s="38">
        <f t="shared" si="9"/>
        <v>0</v>
      </c>
      <c r="I95" s="39"/>
      <c r="J95" s="39"/>
      <c r="K95" s="39"/>
      <c r="L95" s="39"/>
      <c r="M95" s="39"/>
      <c r="N95" s="39"/>
      <c r="O95" s="39"/>
      <c r="P95" s="39"/>
      <c r="Q95" s="39"/>
      <c r="R95" s="39"/>
      <c r="S95" s="39"/>
      <c r="T95" s="39"/>
      <c r="U95" s="39"/>
      <c r="V95" s="39"/>
      <c r="W95" s="39"/>
      <c r="X95" s="39"/>
      <c r="Y95" s="39"/>
      <c r="Z95" s="39"/>
      <c r="AA95" s="39"/>
      <c r="AB95" s="39"/>
      <c r="AC95" s="35">
        <f t="shared" si="10"/>
        <v>0</v>
      </c>
      <c r="AD95" s="40"/>
      <c r="AE95" s="40"/>
      <c r="AF95" s="40"/>
      <c r="AG95" s="40"/>
      <c r="AH95" s="40"/>
      <c r="AI95" s="40"/>
      <c r="AJ95" s="40"/>
      <c r="AK95" s="40"/>
      <c r="AL95" s="40"/>
      <c r="AM95" s="40"/>
      <c r="AN95" s="40"/>
      <c r="AO95" s="40"/>
      <c r="AP95" s="40"/>
      <c r="AQ95" s="40"/>
      <c r="AR95" s="40"/>
      <c r="AS95" s="40"/>
      <c r="AT95" s="41"/>
      <c r="AU95" s="1806"/>
      <c r="AV95" s="1517">
        <f t="shared" si="11"/>
        <v>0</v>
      </c>
      <c r="AW95" s="1517">
        <f t="shared" si="12"/>
        <v>0</v>
      </c>
      <c r="AX95" s="1517">
        <f t="shared" si="13"/>
        <v>0</v>
      </c>
      <c r="AY95" s="42">
        <f t="shared" si="14"/>
        <v>0</v>
      </c>
      <c r="AZ95" s="35">
        <f t="shared" si="15"/>
        <v>0</v>
      </c>
      <c r="BA95" s="35">
        <f t="shared" si="16"/>
        <v>0</v>
      </c>
      <c r="BB95" s="35">
        <f t="shared" si="17"/>
        <v>0</v>
      </c>
      <c r="BC95" s="35">
        <f t="shared" si="18"/>
        <v>0</v>
      </c>
      <c r="BD95" s="35">
        <f t="shared" si="19"/>
        <v>0</v>
      </c>
      <c r="BE95" s="35">
        <f t="shared" si="20"/>
        <v>0</v>
      </c>
      <c r="BF95" s="35">
        <f t="shared" si="21"/>
        <v>0</v>
      </c>
      <c r="BG95" s="35">
        <f t="shared" si="22"/>
        <v>0</v>
      </c>
      <c r="BH95" s="35">
        <f t="shared" si="23"/>
        <v>0</v>
      </c>
      <c r="BI95" s="35">
        <f t="shared" si="24"/>
        <v>0</v>
      </c>
      <c r="BJ95" s="35">
        <f t="shared" si="25"/>
        <v>0</v>
      </c>
      <c r="BK95" s="35">
        <f t="shared" si="26"/>
        <v>0</v>
      </c>
      <c r="BL95" s="35">
        <f t="shared" si="27"/>
        <v>0</v>
      </c>
      <c r="BM95" s="35">
        <f t="shared" si="28"/>
        <v>0</v>
      </c>
      <c r="BN95" s="35">
        <f t="shared" si="29"/>
        <v>0</v>
      </c>
      <c r="BO95" s="35">
        <f t="shared" si="30"/>
        <v>0</v>
      </c>
      <c r="BP95" s="35">
        <f t="shared" si="31"/>
        <v>0</v>
      </c>
      <c r="BQ95" s="35">
        <f t="shared" si="32"/>
        <v>0</v>
      </c>
      <c r="BR95" s="35">
        <f t="shared" si="33"/>
        <v>0</v>
      </c>
      <c r="BS95" s="35">
        <f t="shared" si="34"/>
        <v>0</v>
      </c>
      <c r="BT95" s="43">
        <f t="shared" si="35"/>
        <v>0</v>
      </c>
    </row>
    <row r="96" spans="1:72">
      <c r="A96" s="9"/>
      <c r="B96" s="34"/>
      <c r="C96" s="34"/>
      <c r="D96" s="1805"/>
      <c r="E96" s="35">
        <f t="shared" si="7"/>
        <v>0</v>
      </c>
      <c r="F96" s="36"/>
      <c r="G96" s="37">
        <f t="shared" si="8"/>
        <v>0</v>
      </c>
      <c r="H96" s="38">
        <f t="shared" si="9"/>
        <v>0</v>
      </c>
      <c r="I96" s="39"/>
      <c r="J96" s="39"/>
      <c r="K96" s="39"/>
      <c r="L96" s="39"/>
      <c r="M96" s="39"/>
      <c r="N96" s="39"/>
      <c r="O96" s="39"/>
      <c r="P96" s="39"/>
      <c r="Q96" s="39"/>
      <c r="R96" s="39"/>
      <c r="S96" s="39"/>
      <c r="T96" s="39"/>
      <c r="U96" s="39"/>
      <c r="V96" s="39"/>
      <c r="W96" s="39"/>
      <c r="X96" s="39"/>
      <c r="Y96" s="39"/>
      <c r="Z96" s="39"/>
      <c r="AA96" s="39"/>
      <c r="AB96" s="39"/>
      <c r="AC96" s="35">
        <f t="shared" si="10"/>
        <v>0</v>
      </c>
      <c r="AD96" s="40"/>
      <c r="AE96" s="40"/>
      <c r="AF96" s="40"/>
      <c r="AG96" s="40"/>
      <c r="AH96" s="40"/>
      <c r="AI96" s="40"/>
      <c r="AJ96" s="40"/>
      <c r="AK96" s="40"/>
      <c r="AL96" s="40"/>
      <c r="AM96" s="40"/>
      <c r="AN96" s="40"/>
      <c r="AO96" s="40"/>
      <c r="AP96" s="40"/>
      <c r="AQ96" s="40"/>
      <c r="AR96" s="40"/>
      <c r="AS96" s="40"/>
      <c r="AT96" s="41"/>
      <c r="AU96" s="1806"/>
      <c r="AV96" s="1517">
        <f t="shared" si="11"/>
        <v>0</v>
      </c>
      <c r="AW96" s="1517">
        <f t="shared" si="12"/>
        <v>0</v>
      </c>
      <c r="AX96" s="1517">
        <f t="shared" si="13"/>
        <v>0</v>
      </c>
      <c r="AY96" s="42">
        <f t="shared" si="14"/>
        <v>0</v>
      </c>
      <c r="AZ96" s="35">
        <f t="shared" si="15"/>
        <v>0</v>
      </c>
      <c r="BA96" s="35">
        <f t="shared" si="16"/>
        <v>0</v>
      </c>
      <c r="BB96" s="35">
        <f t="shared" si="17"/>
        <v>0</v>
      </c>
      <c r="BC96" s="35">
        <f t="shared" si="18"/>
        <v>0</v>
      </c>
      <c r="BD96" s="35">
        <f t="shared" si="19"/>
        <v>0</v>
      </c>
      <c r="BE96" s="35">
        <f t="shared" si="20"/>
        <v>0</v>
      </c>
      <c r="BF96" s="35">
        <f t="shared" si="21"/>
        <v>0</v>
      </c>
      <c r="BG96" s="35">
        <f t="shared" si="22"/>
        <v>0</v>
      </c>
      <c r="BH96" s="35">
        <f t="shared" si="23"/>
        <v>0</v>
      </c>
      <c r="BI96" s="35">
        <f t="shared" si="24"/>
        <v>0</v>
      </c>
      <c r="BJ96" s="35">
        <f t="shared" si="25"/>
        <v>0</v>
      </c>
      <c r="BK96" s="35">
        <f t="shared" si="26"/>
        <v>0</v>
      </c>
      <c r="BL96" s="35">
        <f t="shared" si="27"/>
        <v>0</v>
      </c>
      <c r="BM96" s="35">
        <f t="shared" si="28"/>
        <v>0</v>
      </c>
      <c r="BN96" s="35">
        <f t="shared" si="29"/>
        <v>0</v>
      </c>
      <c r="BO96" s="35">
        <f t="shared" si="30"/>
        <v>0</v>
      </c>
      <c r="BP96" s="35">
        <f t="shared" si="31"/>
        <v>0</v>
      </c>
      <c r="BQ96" s="35">
        <f t="shared" si="32"/>
        <v>0</v>
      </c>
      <c r="BR96" s="35">
        <f t="shared" si="33"/>
        <v>0</v>
      </c>
      <c r="BS96" s="35">
        <f t="shared" si="34"/>
        <v>0</v>
      </c>
      <c r="BT96" s="43">
        <f t="shared" si="35"/>
        <v>0</v>
      </c>
    </row>
    <row r="97" spans="1:72">
      <c r="A97" s="9"/>
      <c r="B97" s="34"/>
      <c r="C97" s="34"/>
      <c r="D97" s="1805"/>
      <c r="E97" s="35">
        <f t="shared" si="7"/>
        <v>0</v>
      </c>
      <c r="F97" s="36"/>
      <c r="G97" s="37">
        <f t="shared" si="8"/>
        <v>0</v>
      </c>
      <c r="H97" s="38">
        <f t="shared" si="9"/>
        <v>0</v>
      </c>
      <c r="I97" s="39"/>
      <c r="J97" s="39"/>
      <c r="K97" s="39"/>
      <c r="L97" s="39"/>
      <c r="M97" s="39"/>
      <c r="N97" s="39"/>
      <c r="O97" s="39"/>
      <c r="P97" s="39"/>
      <c r="Q97" s="39"/>
      <c r="R97" s="39"/>
      <c r="S97" s="39"/>
      <c r="T97" s="39"/>
      <c r="U97" s="39"/>
      <c r="V97" s="39"/>
      <c r="W97" s="39"/>
      <c r="X97" s="39"/>
      <c r="Y97" s="39"/>
      <c r="Z97" s="39"/>
      <c r="AA97" s="39"/>
      <c r="AB97" s="39"/>
      <c r="AC97" s="35">
        <f t="shared" si="10"/>
        <v>0</v>
      </c>
      <c r="AD97" s="40"/>
      <c r="AE97" s="40"/>
      <c r="AF97" s="40"/>
      <c r="AG97" s="40"/>
      <c r="AH97" s="40"/>
      <c r="AI97" s="40"/>
      <c r="AJ97" s="40"/>
      <c r="AK97" s="40"/>
      <c r="AL97" s="40"/>
      <c r="AM97" s="40"/>
      <c r="AN97" s="40"/>
      <c r="AO97" s="40"/>
      <c r="AP97" s="40"/>
      <c r="AQ97" s="40"/>
      <c r="AR97" s="40"/>
      <c r="AS97" s="40"/>
      <c r="AT97" s="41"/>
      <c r="AU97" s="1806"/>
      <c r="AV97" s="1517">
        <f t="shared" si="11"/>
        <v>0</v>
      </c>
      <c r="AW97" s="1517">
        <f t="shared" si="12"/>
        <v>0</v>
      </c>
      <c r="AX97" s="1517">
        <f t="shared" si="13"/>
        <v>0</v>
      </c>
      <c r="AY97" s="42">
        <f t="shared" si="14"/>
        <v>0</v>
      </c>
      <c r="AZ97" s="35">
        <f t="shared" si="15"/>
        <v>0</v>
      </c>
      <c r="BA97" s="35">
        <f t="shared" si="16"/>
        <v>0</v>
      </c>
      <c r="BB97" s="35">
        <f t="shared" si="17"/>
        <v>0</v>
      </c>
      <c r="BC97" s="35">
        <f t="shared" si="18"/>
        <v>0</v>
      </c>
      <c r="BD97" s="35">
        <f t="shared" si="19"/>
        <v>0</v>
      </c>
      <c r="BE97" s="35">
        <f t="shared" si="20"/>
        <v>0</v>
      </c>
      <c r="BF97" s="35">
        <f t="shared" si="21"/>
        <v>0</v>
      </c>
      <c r="BG97" s="35">
        <f t="shared" si="22"/>
        <v>0</v>
      </c>
      <c r="BH97" s="35">
        <f t="shared" si="23"/>
        <v>0</v>
      </c>
      <c r="BI97" s="35">
        <f t="shared" si="24"/>
        <v>0</v>
      </c>
      <c r="BJ97" s="35">
        <f t="shared" si="25"/>
        <v>0</v>
      </c>
      <c r="BK97" s="35">
        <f t="shared" si="26"/>
        <v>0</v>
      </c>
      <c r="BL97" s="35">
        <f t="shared" si="27"/>
        <v>0</v>
      </c>
      <c r="BM97" s="35">
        <f t="shared" si="28"/>
        <v>0</v>
      </c>
      <c r="BN97" s="35">
        <f t="shared" si="29"/>
        <v>0</v>
      </c>
      <c r="BO97" s="35">
        <f t="shared" si="30"/>
        <v>0</v>
      </c>
      <c r="BP97" s="35">
        <f t="shared" si="31"/>
        <v>0</v>
      </c>
      <c r="BQ97" s="35">
        <f t="shared" si="32"/>
        <v>0</v>
      </c>
      <c r="BR97" s="35">
        <f t="shared" si="33"/>
        <v>0</v>
      </c>
      <c r="BS97" s="35">
        <f t="shared" si="34"/>
        <v>0</v>
      </c>
      <c r="BT97" s="43">
        <f t="shared" si="35"/>
        <v>0</v>
      </c>
    </row>
    <row r="98" spans="1:72">
      <c r="A98" s="9"/>
      <c r="B98" s="34"/>
      <c r="C98" s="34"/>
      <c r="D98" s="1805"/>
      <c r="E98" s="35">
        <f t="shared" si="7"/>
        <v>0</v>
      </c>
      <c r="F98" s="36"/>
      <c r="G98" s="37">
        <f t="shared" si="8"/>
        <v>0</v>
      </c>
      <c r="H98" s="38">
        <f t="shared" si="9"/>
        <v>0</v>
      </c>
      <c r="I98" s="39"/>
      <c r="J98" s="39"/>
      <c r="K98" s="39"/>
      <c r="L98" s="39"/>
      <c r="M98" s="39"/>
      <c r="N98" s="39"/>
      <c r="O98" s="39"/>
      <c r="P98" s="39"/>
      <c r="Q98" s="39"/>
      <c r="R98" s="39"/>
      <c r="S98" s="39"/>
      <c r="T98" s="39"/>
      <c r="U98" s="39"/>
      <c r="V98" s="39"/>
      <c r="W98" s="39"/>
      <c r="X98" s="39"/>
      <c r="Y98" s="39"/>
      <c r="Z98" s="39"/>
      <c r="AA98" s="39"/>
      <c r="AB98" s="39"/>
      <c r="AC98" s="35">
        <f t="shared" si="10"/>
        <v>0</v>
      </c>
      <c r="AD98" s="40"/>
      <c r="AE98" s="40"/>
      <c r="AF98" s="40"/>
      <c r="AG98" s="40"/>
      <c r="AH98" s="40"/>
      <c r="AI98" s="40"/>
      <c r="AJ98" s="40"/>
      <c r="AK98" s="40"/>
      <c r="AL98" s="40"/>
      <c r="AM98" s="40"/>
      <c r="AN98" s="40"/>
      <c r="AO98" s="40"/>
      <c r="AP98" s="40"/>
      <c r="AQ98" s="40"/>
      <c r="AR98" s="40"/>
      <c r="AS98" s="40"/>
      <c r="AT98" s="41"/>
      <c r="AU98" s="1806"/>
      <c r="AV98" s="1517">
        <f t="shared" si="11"/>
        <v>0</v>
      </c>
      <c r="AW98" s="1517">
        <f t="shared" si="12"/>
        <v>0</v>
      </c>
      <c r="AX98" s="1517">
        <f t="shared" si="13"/>
        <v>0</v>
      </c>
      <c r="AY98" s="42">
        <f t="shared" si="14"/>
        <v>0</v>
      </c>
      <c r="AZ98" s="35">
        <f t="shared" si="15"/>
        <v>0</v>
      </c>
      <c r="BA98" s="35">
        <f t="shared" si="16"/>
        <v>0</v>
      </c>
      <c r="BB98" s="35">
        <f t="shared" si="17"/>
        <v>0</v>
      </c>
      <c r="BC98" s="35">
        <f t="shared" si="18"/>
        <v>0</v>
      </c>
      <c r="BD98" s="35">
        <f t="shared" si="19"/>
        <v>0</v>
      </c>
      <c r="BE98" s="35">
        <f t="shared" si="20"/>
        <v>0</v>
      </c>
      <c r="BF98" s="35">
        <f t="shared" si="21"/>
        <v>0</v>
      </c>
      <c r="BG98" s="35">
        <f t="shared" si="22"/>
        <v>0</v>
      </c>
      <c r="BH98" s="35">
        <f t="shared" si="23"/>
        <v>0</v>
      </c>
      <c r="BI98" s="35">
        <f t="shared" si="24"/>
        <v>0</v>
      </c>
      <c r="BJ98" s="35">
        <f t="shared" si="25"/>
        <v>0</v>
      </c>
      <c r="BK98" s="35">
        <f t="shared" si="26"/>
        <v>0</v>
      </c>
      <c r="BL98" s="35">
        <f t="shared" si="27"/>
        <v>0</v>
      </c>
      <c r="BM98" s="35">
        <f t="shared" si="28"/>
        <v>0</v>
      </c>
      <c r="BN98" s="35">
        <f t="shared" si="29"/>
        <v>0</v>
      </c>
      <c r="BO98" s="35">
        <f t="shared" si="30"/>
        <v>0</v>
      </c>
      <c r="BP98" s="35">
        <f t="shared" si="31"/>
        <v>0</v>
      </c>
      <c r="BQ98" s="35">
        <f t="shared" si="32"/>
        <v>0</v>
      </c>
      <c r="BR98" s="35">
        <f t="shared" si="33"/>
        <v>0</v>
      </c>
      <c r="BS98" s="35">
        <f t="shared" si="34"/>
        <v>0</v>
      </c>
      <c r="BT98" s="43">
        <f t="shared" si="35"/>
        <v>0</v>
      </c>
    </row>
    <row r="99" spans="1:72">
      <c r="A99" s="9"/>
      <c r="B99" s="34"/>
      <c r="C99" s="34"/>
      <c r="D99" s="1805"/>
      <c r="E99" s="35">
        <f t="shared" si="7"/>
        <v>0</v>
      </c>
      <c r="F99" s="36"/>
      <c r="G99" s="37">
        <f t="shared" si="8"/>
        <v>0</v>
      </c>
      <c r="H99" s="38">
        <f t="shared" si="9"/>
        <v>0</v>
      </c>
      <c r="I99" s="39"/>
      <c r="J99" s="39"/>
      <c r="K99" s="39"/>
      <c r="L99" s="39"/>
      <c r="M99" s="39"/>
      <c r="N99" s="39"/>
      <c r="O99" s="39"/>
      <c r="P99" s="39"/>
      <c r="Q99" s="39"/>
      <c r="R99" s="39"/>
      <c r="S99" s="39"/>
      <c r="T99" s="39"/>
      <c r="U99" s="39"/>
      <c r="V99" s="39"/>
      <c r="W99" s="39"/>
      <c r="X99" s="39"/>
      <c r="Y99" s="39"/>
      <c r="Z99" s="39"/>
      <c r="AA99" s="39"/>
      <c r="AB99" s="39"/>
      <c r="AC99" s="35">
        <f t="shared" si="10"/>
        <v>0</v>
      </c>
      <c r="AD99" s="40"/>
      <c r="AE99" s="40"/>
      <c r="AF99" s="40"/>
      <c r="AG99" s="40"/>
      <c r="AH99" s="40"/>
      <c r="AI99" s="40"/>
      <c r="AJ99" s="40"/>
      <c r="AK99" s="40"/>
      <c r="AL99" s="40"/>
      <c r="AM99" s="40"/>
      <c r="AN99" s="40"/>
      <c r="AO99" s="40"/>
      <c r="AP99" s="40"/>
      <c r="AQ99" s="40"/>
      <c r="AR99" s="40"/>
      <c r="AS99" s="40"/>
      <c r="AT99" s="41"/>
      <c r="AU99" s="1806"/>
      <c r="AV99" s="1517">
        <f t="shared" si="11"/>
        <v>0</v>
      </c>
      <c r="AW99" s="1517">
        <f t="shared" si="12"/>
        <v>0</v>
      </c>
      <c r="AX99" s="1517">
        <f t="shared" si="13"/>
        <v>0</v>
      </c>
      <c r="AY99" s="42">
        <f t="shared" si="14"/>
        <v>0</v>
      </c>
      <c r="AZ99" s="35">
        <f t="shared" si="15"/>
        <v>0</v>
      </c>
      <c r="BA99" s="35">
        <f t="shared" si="16"/>
        <v>0</v>
      </c>
      <c r="BB99" s="35">
        <f t="shared" si="17"/>
        <v>0</v>
      </c>
      <c r="BC99" s="35">
        <f t="shared" si="18"/>
        <v>0</v>
      </c>
      <c r="BD99" s="35">
        <f t="shared" si="19"/>
        <v>0</v>
      </c>
      <c r="BE99" s="35">
        <f t="shared" si="20"/>
        <v>0</v>
      </c>
      <c r="BF99" s="35">
        <f t="shared" si="21"/>
        <v>0</v>
      </c>
      <c r="BG99" s="35">
        <f t="shared" si="22"/>
        <v>0</v>
      </c>
      <c r="BH99" s="35">
        <f t="shared" si="23"/>
        <v>0</v>
      </c>
      <c r="BI99" s="35">
        <f t="shared" si="24"/>
        <v>0</v>
      </c>
      <c r="BJ99" s="35">
        <f t="shared" si="25"/>
        <v>0</v>
      </c>
      <c r="BK99" s="35">
        <f t="shared" si="26"/>
        <v>0</v>
      </c>
      <c r="BL99" s="35">
        <f t="shared" si="27"/>
        <v>0</v>
      </c>
      <c r="BM99" s="35">
        <f t="shared" si="28"/>
        <v>0</v>
      </c>
      <c r="BN99" s="35">
        <f t="shared" si="29"/>
        <v>0</v>
      </c>
      <c r="BO99" s="35">
        <f t="shared" si="30"/>
        <v>0</v>
      </c>
      <c r="BP99" s="35">
        <f t="shared" si="31"/>
        <v>0</v>
      </c>
      <c r="BQ99" s="35">
        <f t="shared" si="32"/>
        <v>0</v>
      </c>
      <c r="BR99" s="35">
        <f t="shared" si="33"/>
        <v>0</v>
      </c>
      <c r="BS99" s="35">
        <f t="shared" si="34"/>
        <v>0</v>
      </c>
      <c r="BT99" s="43">
        <f t="shared" si="35"/>
        <v>0</v>
      </c>
    </row>
    <row r="100" spans="1:72">
      <c r="A100" s="9"/>
      <c r="B100" s="34"/>
      <c r="C100" s="34"/>
      <c r="D100" s="1805"/>
      <c r="E100" s="35">
        <f t="shared" si="7"/>
        <v>0</v>
      </c>
      <c r="F100" s="36"/>
      <c r="G100" s="37">
        <f t="shared" si="8"/>
        <v>0</v>
      </c>
      <c r="H100" s="38">
        <f t="shared" si="9"/>
        <v>0</v>
      </c>
      <c r="I100" s="39"/>
      <c r="J100" s="39"/>
      <c r="K100" s="39"/>
      <c r="L100" s="39"/>
      <c r="M100" s="39"/>
      <c r="N100" s="39"/>
      <c r="O100" s="39"/>
      <c r="P100" s="39"/>
      <c r="Q100" s="39"/>
      <c r="R100" s="39"/>
      <c r="S100" s="39"/>
      <c r="T100" s="39"/>
      <c r="U100" s="39"/>
      <c r="V100" s="39"/>
      <c r="W100" s="39"/>
      <c r="X100" s="39"/>
      <c r="Y100" s="39"/>
      <c r="Z100" s="39"/>
      <c r="AA100" s="39"/>
      <c r="AB100" s="39"/>
      <c r="AC100" s="35">
        <f t="shared" si="10"/>
        <v>0</v>
      </c>
      <c r="AD100" s="40"/>
      <c r="AE100" s="40"/>
      <c r="AF100" s="40"/>
      <c r="AG100" s="40"/>
      <c r="AH100" s="40"/>
      <c r="AI100" s="40"/>
      <c r="AJ100" s="40"/>
      <c r="AK100" s="40"/>
      <c r="AL100" s="40"/>
      <c r="AM100" s="40"/>
      <c r="AN100" s="40"/>
      <c r="AO100" s="40"/>
      <c r="AP100" s="40"/>
      <c r="AQ100" s="40"/>
      <c r="AR100" s="40"/>
      <c r="AS100" s="40"/>
      <c r="AT100" s="41"/>
      <c r="AU100" s="1806"/>
      <c r="AV100" s="1517">
        <f t="shared" si="11"/>
        <v>0</v>
      </c>
      <c r="AW100" s="1517">
        <f t="shared" si="12"/>
        <v>0</v>
      </c>
      <c r="AX100" s="1517">
        <f t="shared" si="13"/>
        <v>0</v>
      </c>
      <c r="AY100" s="42">
        <f t="shared" si="14"/>
        <v>0</v>
      </c>
      <c r="AZ100" s="35">
        <f t="shared" si="15"/>
        <v>0</v>
      </c>
      <c r="BA100" s="35">
        <f t="shared" si="16"/>
        <v>0</v>
      </c>
      <c r="BB100" s="35">
        <f t="shared" si="17"/>
        <v>0</v>
      </c>
      <c r="BC100" s="35">
        <f t="shared" si="18"/>
        <v>0</v>
      </c>
      <c r="BD100" s="35">
        <f t="shared" si="19"/>
        <v>0</v>
      </c>
      <c r="BE100" s="35">
        <f t="shared" si="20"/>
        <v>0</v>
      </c>
      <c r="BF100" s="35">
        <f t="shared" si="21"/>
        <v>0</v>
      </c>
      <c r="BG100" s="35">
        <f t="shared" si="22"/>
        <v>0</v>
      </c>
      <c r="BH100" s="35">
        <f t="shared" si="23"/>
        <v>0</v>
      </c>
      <c r="BI100" s="35">
        <f t="shared" si="24"/>
        <v>0</v>
      </c>
      <c r="BJ100" s="35">
        <f t="shared" si="25"/>
        <v>0</v>
      </c>
      <c r="BK100" s="35">
        <f t="shared" si="26"/>
        <v>0</v>
      </c>
      <c r="BL100" s="35">
        <f t="shared" si="27"/>
        <v>0</v>
      </c>
      <c r="BM100" s="35">
        <f t="shared" si="28"/>
        <v>0</v>
      </c>
      <c r="BN100" s="35">
        <f t="shared" si="29"/>
        <v>0</v>
      </c>
      <c r="BO100" s="35">
        <f t="shared" si="30"/>
        <v>0</v>
      </c>
      <c r="BP100" s="35">
        <f t="shared" si="31"/>
        <v>0</v>
      </c>
      <c r="BQ100" s="35">
        <f t="shared" si="32"/>
        <v>0</v>
      </c>
      <c r="BR100" s="35">
        <f t="shared" si="33"/>
        <v>0</v>
      </c>
      <c r="BS100" s="35">
        <f t="shared" si="34"/>
        <v>0</v>
      </c>
      <c r="BT100" s="43">
        <f t="shared" si="35"/>
        <v>0</v>
      </c>
    </row>
    <row r="101" spans="1:72">
      <c r="A101" s="9"/>
      <c r="B101" s="34"/>
      <c r="C101" s="34"/>
      <c r="D101" s="1805"/>
      <c r="E101" s="35">
        <f t="shared" si="7"/>
        <v>0</v>
      </c>
      <c r="F101" s="36"/>
      <c r="G101" s="37">
        <f t="shared" si="8"/>
        <v>0</v>
      </c>
      <c r="H101" s="38">
        <f t="shared" si="9"/>
        <v>0</v>
      </c>
      <c r="I101" s="39"/>
      <c r="J101" s="39"/>
      <c r="K101" s="39"/>
      <c r="L101" s="39"/>
      <c r="M101" s="39"/>
      <c r="N101" s="39"/>
      <c r="O101" s="39"/>
      <c r="P101" s="39"/>
      <c r="Q101" s="39"/>
      <c r="R101" s="39"/>
      <c r="S101" s="39"/>
      <c r="T101" s="39"/>
      <c r="U101" s="39"/>
      <c r="V101" s="39"/>
      <c r="W101" s="39"/>
      <c r="X101" s="39"/>
      <c r="Y101" s="39"/>
      <c r="Z101" s="39"/>
      <c r="AA101" s="39"/>
      <c r="AB101" s="39"/>
      <c r="AC101" s="35">
        <f t="shared" si="10"/>
        <v>0</v>
      </c>
      <c r="AD101" s="40"/>
      <c r="AE101" s="40"/>
      <c r="AF101" s="40"/>
      <c r="AG101" s="40"/>
      <c r="AH101" s="40"/>
      <c r="AI101" s="40"/>
      <c r="AJ101" s="40"/>
      <c r="AK101" s="40"/>
      <c r="AL101" s="40"/>
      <c r="AM101" s="40"/>
      <c r="AN101" s="40"/>
      <c r="AO101" s="40"/>
      <c r="AP101" s="40"/>
      <c r="AQ101" s="40"/>
      <c r="AR101" s="40"/>
      <c r="AS101" s="40"/>
      <c r="AT101" s="41"/>
      <c r="AU101" s="1806"/>
      <c r="AV101" s="1517">
        <f t="shared" si="11"/>
        <v>0</v>
      </c>
      <c r="AW101" s="1517">
        <f t="shared" si="12"/>
        <v>0</v>
      </c>
      <c r="AX101" s="1517">
        <f t="shared" si="13"/>
        <v>0</v>
      </c>
      <c r="AY101" s="42">
        <f t="shared" si="14"/>
        <v>0</v>
      </c>
      <c r="AZ101" s="35">
        <f t="shared" si="15"/>
        <v>0</v>
      </c>
      <c r="BA101" s="35">
        <f t="shared" si="16"/>
        <v>0</v>
      </c>
      <c r="BB101" s="35">
        <f t="shared" si="17"/>
        <v>0</v>
      </c>
      <c r="BC101" s="35">
        <f t="shared" si="18"/>
        <v>0</v>
      </c>
      <c r="BD101" s="35">
        <f t="shared" si="19"/>
        <v>0</v>
      </c>
      <c r="BE101" s="35">
        <f t="shared" si="20"/>
        <v>0</v>
      </c>
      <c r="BF101" s="35">
        <f t="shared" si="21"/>
        <v>0</v>
      </c>
      <c r="BG101" s="35">
        <f t="shared" si="22"/>
        <v>0</v>
      </c>
      <c r="BH101" s="35">
        <f t="shared" si="23"/>
        <v>0</v>
      </c>
      <c r="BI101" s="35">
        <f t="shared" si="24"/>
        <v>0</v>
      </c>
      <c r="BJ101" s="35">
        <f t="shared" si="25"/>
        <v>0</v>
      </c>
      <c r="BK101" s="35">
        <f t="shared" si="26"/>
        <v>0</v>
      </c>
      <c r="BL101" s="35">
        <f t="shared" si="27"/>
        <v>0</v>
      </c>
      <c r="BM101" s="35">
        <f t="shared" si="28"/>
        <v>0</v>
      </c>
      <c r="BN101" s="35">
        <f t="shared" si="29"/>
        <v>0</v>
      </c>
      <c r="BO101" s="35">
        <f t="shared" si="30"/>
        <v>0</v>
      </c>
      <c r="BP101" s="35">
        <f t="shared" si="31"/>
        <v>0</v>
      </c>
      <c r="BQ101" s="35">
        <f t="shared" si="32"/>
        <v>0</v>
      </c>
      <c r="BR101" s="35">
        <f t="shared" si="33"/>
        <v>0</v>
      </c>
      <c r="BS101" s="35">
        <f t="shared" si="34"/>
        <v>0</v>
      </c>
      <c r="BT101" s="43">
        <f t="shared" si="35"/>
        <v>0</v>
      </c>
    </row>
    <row r="102" spans="1:72">
      <c r="A102" s="9"/>
      <c r="B102" s="34"/>
      <c r="C102" s="34"/>
      <c r="D102" s="1805"/>
      <c r="E102" s="35">
        <f t="shared" si="7"/>
        <v>0</v>
      </c>
      <c r="F102" s="36"/>
      <c r="G102" s="37">
        <f t="shared" si="8"/>
        <v>0</v>
      </c>
      <c r="H102" s="38">
        <f t="shared" si="9"/>
        <v>0</v>
      </c>
      <c r="I102" s="39"/>
      <c r="J102" s="39"/>
      <c r="K102" s="39"/>
      <c r="L102" s="39"/>
      <c r="M102" s="39"/>
      <c r="N102" s="39"/>
      <c r="O102" s="39"/>
      <c r="P102" s="39"/>
      <c r="Q102" s="39"/>
      <c r="R102" s="39"/>
      <c r="S102" s="39"/>
      <c r="T102" s="39"/>
      <c r="U102" s="39"/>
      <c r="V102" s="39"/>
      <c r="W102" s="39"/>
      <c r="X102" s="39"/>
      <c r="Y102" s="39"/>
      <c r="Z102" s="39"/>
      <c r="AA102" s="39"/>
      <c r="AB102" s="39"/>
      <c r="AC102" s="35">
        <f t="shared" si="10"/>
        <v>0</v>
      </c>
      <c r="AD102" s="40"/>
      <c r="AE102" s="40"/>
      <c r="AF102" s="40"/>
      <c r="AG102" s="40"/>
      <c r="AH102" s="40"/>
      <c r="AI102" s="40"/>
      <c r="AJ102" s="40"/>
      <c r="AK102" s="40"/>
      <c r="AL102" s="40"/>
      <c r="AM102" s="40"/>
      <c r="AN102" s="40"/>
      <c r="AO102" s="40"/>
      <c r="AP102" s="40"/>
      <c r="AQ102" s="40"/>
      <c r="AR102" s="40"/>
      <c r="AS102" s="40"/>
      <c r="AT102" s="41"/>
      <c r="AU102" s="1806"/>
      <c r="AV102" s="1517">
        <f t="shared" si="11"/>
        <v>0</v>
      </c>
      <c r="AW102" s="1517">
        <f t="shared" si="12"/>
        <v>0</v>
      </c>
      <c r="AX102" s="1517">
        <f t="shared" si="13"/>
        <v>0</v>
      </c>
      <c r="AY102" s="42">
        <f t="shared" si="14"/>
        <v>0</v>
      </c>
      <c r="AZ102" s="35">
        <f t="shared" si="15"/>
        <v>0</v>
      </c>
      <c r="BA102" s="35">
        <f t="shared" si="16"/>
        <v>0</v>
      </c>
      <c r="BB102" s="35">
        <f t="shared" si="17"/>
        <v>0</v>
      </c>
      <c r="BC102" s="35">
        <f t="shared" si="18"/>
        <v>0</v>
      </c>
      <c r="BD102" s="35">
        <f t="shared" si="19"/>
        <v>0</v>
      </c>
      <c r="BE102" s="35">
        <f t="shared" si="20"/>
        <v>0</v>
      </c>
      <c r="BF102" s="35">
        <f t="shared" si="21"/>
        <v>0</v>
      </c>
      <c r="BG102" s="35">
        <f t="shared" si="22"/>
        <v>0</v>
      </c>
      <c r="BH102" s="35">
        <f t="shared" si="23"/>
        <v>0</v>
      </c>
      <c r="BI102" s="35">
        <f t="shared" si="24"/>
        <v>0</v>
      </c>
      <c r="BJ102" s="35">
        <f t="shared" si="25"/>
        <v>0</v>
      </c>
      <c r="BK102" s="35">
        <f t="shared" si="26"/>
        <v>0</v>
      </c>
      <c r="BL102" s="35">
        <f t="shared" si="27"/>
        <v>0</v>
      </c>
      <c r="BM102" s="35">
        <f t="shared" si="28"/>
        <v>0</v>
      </c>
      <c r="BN102" s="35">
        <f t="shared" si="29"/>
        <v>0</v>
      </c>
      <c r="BO102" s="35">
        <f t="shared" si="30"/>
        <v>0</v>
      </c>
      <c r="BP102" s="35">
        <f t="shared" si="31"/>
        <v>0</v>
      </c>
      <c r="BQ102" s="35">
        <f t="shared" si="32"/>
        <v>0</v>
      </c>
      <c r="BR102" s="35">
        <f t="shared" si="33"/>
        <v>0</v>
      </c>
      <c r="BS102" s="35">
        <f t="shared" si="34"/>
        <v>0</v>
      </c>
      <c r="BT102" s="43">
        <f t="shared" si="35"/>
        <v>0</v>
      </c>
    </row>
    <row r="103" spans="1:72">
      <c r="A103" s="9"/>
      <c r="B103" s="34"/>
      <c r="C103" s="34"/>
      <c r="D103" s="1805"/>
      <c r="E103" s="35">
        <f t="shared" si="7"/>
        <v>0</v>
      </c>
      <c r="F103" s="36"/>
      <c r="G103" s="37">
        <f t="shared" si="8"/>
        <v>0</v>
      </c>
      <c r="H103" s="38">
        <f t="shared" si="9"/>
        <v>0</v>
      </c>
      <c r="I103" s="39"/>
      <c r="J103" s="39"/>
      <c r="K103" s="39"/>
      <c r="L103" s="39"/>
      <c r="M103" s="39"/>
      <c r="N103" s="39"/>
      <c r="O103" s="39"/>
      <c r="P103" s="39"/>
      <c r="Q103" s="39"/>
      <c r="R103" s="39"/>
      <c r="S103" s="39"/>
      <c r="T103" s="39"/>
      <c r="U103" s="39"/>
      <c r="V103" s="39"/>
      <c r="W103" s="39"/>
      <c r="X103" s="39"/>
      <c r="Y103" s="39"/>
      <c r="Z103" s="39"/>
      <c r="AA103" s="39"/>
      <c r="AB103" s="39"/>
      <c r="AC103" s="35">
        <f t="shared" si="10"/>
        <v>0</v>
      </c>
      <c r="AD103" s="40"/>
      <c r="AE103" s="40"/>
      <c r="AF103" s="40"/>
      <c r="AG103" s="40"/>
      <c r="AH103" s="40"/>
      <c r="AI103" s="40"/>
      <c r="AJ103" s="40"/>
      <c r="AK103" s="40"/>
      <c r="AL103" s="40"/>
      <c r="AM103" s="40"/>
      <c r="AN103" s="40"/>
      <c r="AO103" s="40"/>
      <c r="AP103" s="40"/>
      <c r="AQ103" s="40"/>
      <c r="AR103" s="40"/>
      <c r="AS103" s="40"/>
      <c r="AT103" s="41"/>
      <c r="AU103" s="1806"/>
      <c r="AV103" s="1517">
        <f t="shared" si="11"/>
        <v>0</v>
      </c>
      <c r="AW103" s="1517">
        <f t="shared" si="12"/>
        <v>0</v>
      </c>
      <c r="AX103" s="1517">
        <f t="shared" si="13"/>
        <v>0</v>
      </c>
      <c r="AY103" s="42">
        <f t="shared" si="14"/>
        <v>0</v>
      </c>
      <c r="AZ103" s="35">
        <f t="shared" si="15"/>
        <v>0</v>
      </c>
      <c r="BA103" s="35">
        <f t="shared" si="16"/>
        <v>0</v>
      </c>
      <c r="BB103" s="35">
        <f t="shared" si="17"/>
        <v>0</v>
      </c>
      <c r="BC103" s="35">
        <f t="shared" si="18"/>
        <v>0</v>
      </c>
      <c r="BD103" s="35">
        <f t="shared" si="19"/>
        <v>0</v>
      </c>
      <c r="BE103" s="35">
        <f t="shared" si="20"/>
        <v>0</v>
      </c>
      <c r="BF103" s="35">
        <f t="shared" si="21"/>
        <v>0</v>
      </c>
      <c r="BG103" s="35">
        <f t="shared" si="22"/>
        <v>0</v>
      </c>
      <c r="BH103" s="35">
        <f t="shared" si="23"/>
        <v>0</v>
      </c>
      <c r="BI103" s="35">
        <f t="shared" si="24"/>
        <v>0</v>
      </c>
      <c r="BJ103" s="35">
        <f t="shared" si="25"/>
        <v>0</v>
      </c>
      <c r="BK103" s="35">
        <f t="shared" si="26"/>
        <v>0</v>
      </c>
      <c r="BL103" s="35">
        <f t="shared" si="27"/>
        <v>0</v>
      </c>
      <c r="BM103" s="35">
        <f t="shared" si="28"/>
        <v>0</v>
      </c>
      <c r="BN103" s="35">
        <f t="shared" si="29"/>
        <v>0</v>
      </c>
      <c r="BO103" s="35">
        <f t="shared" si="30"/>
        <v>0</v>
      </c>
      <c r="BP103" s="35">
        <f t="shared" si="31"/>
        <v>0</v>
      </c>
      <c r="BQ103" s="35">
        <f t="shared" si="32"/>
        <v>0</v>
      </c>
      <c r="BR103" s="35">
        <f t="shared" si="33"/>
        <v>0</v>
      </c>
      <c r="BS103" s="35">
        <f t="shared" si="34"/>
        <v>0</v>
      </c>
      <c r="BT103" s="43">
        <f t="shared" si="35"/>
        <v>0</v>
      </c>
    </row>
    <row r="104" spans="1:72">
      <c r="A104" s="9"/>
      <c r="B104" s="34"/>
      <c r="C104" s="34"/>
      <c r="D104" s="1805"/>
      <c r="E104" s="35">
        <f t="shared" si="7"/>
        <v>0</v>
      </c>
      <c r="F104" s="36"/>
      <c r="G104" s="37">
        <f t="shared" si="8"/>
        <v>0</v>
      </c>
      <c r="H104" s="38">
        <f t="shared" si="9"/>
        <v>0</v>
      </c>
      <c r="I104" s="39"/>
      <c r="J104" s="39"/>
      <c r="K104" s="39"/>
      <c r="L104" s="39"/>
      <c r="M104" s="39"/>
      <c r="N104" s="39"/>
      <c r="O104" s="39"/>
      <c r="P104" s="39"/>
      <c r="Q104" s="39"/>
      <c r="R104" s="39"/>
      <c r="S104" s="39"/>
      <c r="T104" s="39"/>
      <c r="U104" s="39"/>
      <c r="V104" s="39"/>
      <c r="W104" s="39"/>
      <c r="X104" s="39"/>
      <c r="Y104" s="39"/>
      <c r="Z104" s="39"/>
      <c r="AA104" s="39"/>
      <c r="AB104" s="39"/>
      <c r="AC104" s="35">
        <f t="shared" si="10"/>
        <v>0</v>
      </c>
      <c r="AD104" s="40"/>
      <c r="AE104" s="40"/>
      <c r="AF104" s="40"/>
      <c r="AG104" s="40"/>
      <c r="AH104" s="40"/>
      <c r="AI104" s="40"/>
      <c r="AJ104" s="40"/>
      <c r="AK104" s="40"/>
      <c r="AL104" s="40"/>
      <c r="AM104" s="40"/>
      <c r="AN104" s="40"/>
      <c r="AO104" s="40"/>
      <c r="AP104" s="40"/>
      <c r="AQ104" s="40"/>
      <c r="AR104" s="40"/>
      <c r="AS104" s="40"/>
      <c r="AT104" s="41"/>
      <c r="AU104" s="1806"/>
      <c r="AV104" s="1517">
        <f t="shared" si="11"/>
        <v>0</v>
      </c>
      <c r="AW104" s="1517">
        <f t="shared" si="12"/>
        <v>0</v>
      </c>
      <c r="AX104" s="1517">
        <f t="shared" si="13"/>
        <v>0</v>
      </c>
      <c r="AY104" s="42">
        <f t="shared" si="14"/>
        <v>0</v>
      </c>
      <c r="AZ104" s="35">
        <f t="shared" si="15"/>
        <v>0</v>
      </c>
      <c r="BA104" s="35">
        <f t="shared" si="16"/>
        <v>0</v>
      </c>
      <c r="BB104" s="35">
        <f t="shared" si="17"/>
        <v>0</v>
      </c>
      <c r="BC104" s="35">
        <f t="shared" si="18"/>
        <v>0</v>
      </c>
      <c r="BD104" s="35">
        <f t="shared" si="19"/>
        <v>0</v>
      </c>
      <c r="BE104" s="35">
        <f t="shared" si="20"/>
        <v>0</v>
      </c>
      <c r="BF104" s="35">
        <f t="shared" si="21"/>
        <v>0</v>
      </c>
      <c r="BG104" s="35">
        <f t="shared" si="22"/>
        <v>0</v>
      </c>
      <c r="BH104" s="35">
        <f t="shared" si="23"/>
        <v>0</v>
      </c>
      <c r="BI104" s="35">
        <f t="shared" si="24"/>
        <v>0</v>
      </c>
      <c r="BJ104" s="35">
        <f t="shared" si="25"/>
        <v>0</v>
      </c>
      <c r="BK104" s="35">
        <f t="shared" si="26"/>
        <v>0</v>
      </c>
      <c r="BL104" s="35">
        <f t="shared" si="27"/>
        <v>0</v>
      </c>
      <c r="BM104" s="35">
        <f t="shared" si="28"/>
        <v>0</v>
      </c>
      <c r="BN104" s="35">
        <f t="shared" si="29"/>
        <v>0</v>
      </c>
      <c r="BO104" s="35">
        <f t="shared" si="30"/>
        <v>0</v>
      </c>
      <c r="BP104" s="35">
        <f t="shared" si="31"/>
        <v>0</v>
      </c>
      <c r="BQ104" s="35">
        <f t="shared" si="32"/>
        <v>0</v>
      </c>
      <c r="BR104" s="35">
        <f t="shared" si="33"/>
        <v>0</v>
      </c>
      <c r="BS104" s="35">
        <f t="shared" si="34"/>
        <v>0</v>
      </c>
      <c r="BT104" s="43">
        <f t="shared" si="35"/>
        <v>0</v>
      </c>
    </row>
    <row r="105" spans="1:72">
      <c r="A105" s="9"/>
      <c r="B105" s="34"/>
      <c r="C105" s="34"/>
      <c r="D105" s="1805"/>
      <c r="E105" s="35">
        <f t="shared" si="7"/>
        <v>0</v>
      </c>
      <c r="F105" s="36"/>
      <c r="G105" s="37">
        <f t="shared" si="8"/>
        <v>0</v>
      </c>
      <c r="H105" s="38">
        <f t="shared" si="9"/>
        <v>0</v>
      </c>
      <c r="I105" s="39"/>
      <c r="J105" s="39"/>
      <c r="K105" s="39"/>
      <c r="L105" s="39"/>
      <c r="M105" s="39"/>
      <c r="N105" s="39"/>
      <c r="O105" s="39"/>
      <c r="P105" s="39"/>
      <c r="Q105" s="39"/>
      <c r="R105" s="39"/>
      <c r="S105" s="39"/>
      <c r="T105" s="39"/>
      <c r="U105" s="39"/>
      <c r="V105" s="39"/>
      <c r="W105" s="39"/>
      <c r="X105" s="39"/>
      <c r="Y105" s="39"/>
      <c r="Z105" s="39"/>
      <c r="AA105" s="39"/>
      <c r="AB105" s="39"/>
      <c r="AC105" s="35">
        <f t="shared" si="10"/>
        <v>0</v>
      </c>
      <c r="AD105" s="40"/>
      <c r="AE105" s="40"/>
      <c r="AF105" s="40"/>
      <c r="AG105" s="40"/>
      <c r="AH105" s="40"/>
      <c r="AI105" s="40"/>
      <c r="AJ105" s="40"/>
      <c r="AK105" s="40"/>
      <c r="AL105" s="40"/>
      <c r="AM105" s="40"/>
      <c r="AN105" s="40"/>
      <c r="AO105" s="40"/>
      <c r="AP105" s="40"/>
      <c r="AQ105" s="40"/>
      <c r="AR105" s="40"/>
      <c r="AS105" s="40"/>
      <c r="AT105" s="41"/>
      <c r="AU105" s="1806"/>
      <c r="AV105" s="1517">
        <f t="shared" si="11"/>
        <v>0</v>
      </c>
      <c r="AW105" s="1517">
        <f t="shared" si="12"/>
        <v>0</v>
      </c>
      <c r="AX105" s="1517">
        <f t="shared" si="13"/>
        <v>0</v>
      </c>
      <c r="AY105" s="42">
        <f t="shared" si="14"/>
        <v>0</v>
      </c>
      <c r="AZ105" s="35">
        <f t="shared" si="15"/>
        <v>0</v>
      </c>
      <c r="BA105" s="35">
        <f t="shared" si="16"/>
        <v>0</v>
      </c>
      <c r="BB105" s="35">
        <f t="shared" si="17"/>
        <v>0</v>
      </c>
      <c r="BC105" s="35">
        <f t="shared" si="18"/>
        <v>0</v>
      </c>
      <c r="BD105" s="35">
        <f t="shared" si="19"/>
        <v>0</v>
      </c>
      <c r="BE105" s="35">
        <f t="shared" si="20"/>
        <v>0</v>
      </c>
      <c r="BF105" s="35">
        <f t="shared" si="21"/>
        <v>0</v>
      </c>
      <c r="BG105" s="35">
        <f t="shared" si="22"/>
        <v>0</v>
      </c>
      <c r="BH105" s="35">
        <f t="shared" si="23"/>
        <v>0</v>
      </c>
      <c r="BI105" s="35">
        <f t="shared" si="24"/>
        <v>0</v>
      </c>
      <c r="BJ105" s="35">
        <f t="shared" si="25"/>
        <v>0</v>
      </c>
      <c r="BK105" s="35">
        <f t="shared" si="26"/>
        <v>0</v>
      </c>
      <c r="BL105" s="35">
        <f t="shared" si="27"/>
        <v>0</v>
      </c>
      <c r="BM105" s="35">
        <f t="shared" si="28"/>
        <v>0</v>
      </c>
      <c r="BN105" s="35">
        <f t="shared" si="29"/>
        <v>0</v>
      </c>
      <c r="BO105" s="35">
        <f t="shared" si="30"/>
        <v>0</v>
      </c>
      <c r="BP105" s="35">
        <f t="shared" si="31"/>
        <v>0</v>
      </c>
      <c r="BQ105" s="35">
        <f t="shared" si="32"/>
        <v>0</v>
      </c>
      <c r="BR105" s="35">
        <f t="shared" si="33"/>
        <v>0</v>
      </c>
      <c r="BS105" s="35">
        <f t="shared" si="34"/>
        <v>0</v>
      </c>
      <c r="BT105" s="43">
        <f t="shared" si="35"/>
        <v>0</v>
      </c>
    </row>
    <row r="106" spans="1:72">
      <c r="A106" s="9"/>
      <c r="B106" s="34"/>
      <c r="C106" s="34"/>
      <c r="D106" s="1805"/>
      <c r="E106" s="35">
        <f t="shared" si="7"/>
        <v>0</v>
      </c>
      <c r="F106" s="36"/>
      <c r="G106" s="37">
        <f t="shared" si="8"/>
        <v>0</v>
      </c>
      <c r="H106" s="38">
        <f t="shared" si="9"/>
        <v>0</v>
      </c>
      <c r="I106" s="39"/>
      <c r="J106" s="39"/>
      <c r="K106" s="39"/>
      <c r="L106" s="39"/>
      <c r="M106" s="39"/>
      <c r="N106" s="39"/>
      <c r="O106" s="39"/>
      <c r="P106" s="39"/>
      <c r="Q106" s="39"/>
      <c r="R106" s="39"/>
      <c r="S106" s="39"/>
      <c r="T106" s="39"/>
      <c r="U106" s="39"/>
      <c r="V106" s="39"/>
      <c r="W106" s="39"/>
      <c r="X106" s="39"/>
      <c r="Y106" s="39"/>
      <c r="Z106" s="39"/>
      <c r="AA106" s="39"/>
      <c r="AB106" s="39"/>
      <c r="AC106" s="35">
        <f t="shared" si="10"/>
        <v>0</v>
      </c>
      <c r="AD106" s="40"/>
      <c r="AE106" s="40"/>
      <c r="AF106" s="40"/>
      <c r="AG106" s="40"/>
      <c r="AH106" s="40"/>
      <c r="AI106" s="40"/>
      <c r="AJ106" s="40"/>
      <c r="AK106" s="40"/>
      <c r="AL106" s="40"/>
      <c r="AM106" s="40"/>
      <c r="AN106" s="40"/>
      <c r="AO106" s="40"/>
      <c r="AP106" s="40"/>
      <c r="AQ106" s="40"/>
      <c r="AR106" s="40"/>
      <c r="AS106" s="40"/>
      <c r="AT106" s="41"/>
      <c r="AU106" s="1806"/>
      <c r="AV106" s="1517">
        <f t="shared" si="11"/>
        <v>0</v>
      </c>
      <c r="AW106" s="1517">
        <f t="shared" si="12"/>
        <v>0</v>
      </c>
      <c r="AX106" s="1517">
        <f t="shared" si="13"/>
        <v>0</v>
      </c>
      <c r="AY106" s="42">
        <f t="shared" si="14"/>
        <v>0</v>
      </c>
      <c r="AZ106" s="35">
        <f t="shared" si="15"/>
        <v>0</v>
      </c>
      <c r="BA106" s="35">
        <f t="shared" si="16"/>
        <v>0</v>
      </c>
      <c r="BB106" s="35">
        <f t="shared" si="17"/>
        <v>0</v>
      </c>
      <c r="BC106" s="35">
        <f t="shared" si="18"/>
        <v>0</v>
      </c>
      <c r="BD106" s="35">
        <f t="shared" si="19"/>
        <v>0</v>
      </c>
      <c r="BE106" s="35">
        <f t="shared" si="20"/>
        <v>0</v>
      </c>
      <c r="BF106" s="35">
        <f t="shared" si="21"/>
        <v>0</v>
      </c>
      <c r="BG106" s="35">
        <f t="shared" si="22"/>
        <v>0</v>
      </c>
      <c r="BH106" s="35">
        <f t="shared" si="23"/>
        <v>0</v>
      </c>
      <c r="BI106" s="35">
        <f t="shared" si="24"/>
        <v>0</v>
      </c>
      <c r="BJ106" s="35">
        <f t="shared" si="25"/>
        <v>0</v>
      </c>
      <c r="BK106" s="35">
        <f t="shared" si="26"/>
        <v>0</v>
      </c>
      <c r="BL106" s="35">
        <f t="shared" si="27"/>
        <v>0</v>
      </c>
      <c r="BM106" s="35">
        <f t="shared" si="28"/>
        <v>0</v>
      </c>
      <c r="BN106" s="35">
        <f t="shared" si="29"/>
        <v>0</v>
      </c>
      <c r="BO106" s="35">
        <f t="shared" si="30"/>
        <v>0</v>
      </c>
      <c r="BP106" s="35">
        <f t="shared" si="31"/>
        <v>0</v>
      </c>
      <c r="BQ106" s="35">
        <f t="shared" si="32"/>
        <v>0</v>
      </c>
      <c r="BR106" s="35">
        <f t="shared" si="33"/>
        <v>0</v>
      </c>
      <c r="BS106" s="35">
        <f t="shared" si="34"/>
        <v>0</v>
      </c>
      <c r="BT106" s="43">
        <f t="shared" si="35"/>
        <v>0</v>
      </c>
    </row>
    <row r="107" spans="1:72">
      <c r="A107" s="9"/>
      <c r="B107" s="34"/>
      <c r="C107" s="34"/>
      <c r="D107" s="1805"/>
      <c r="E107" s="35">
        <f t="shared" si="7"/>
        <v>0</v>
      </c>
      <c r="F107" s="36"/>
      <c r="G107" s="37">
        <f t="shared" si="8"/>
        <v>0</v>
      </c>
      <c r="H107" s="38">
        <f t="shared" si="9"/>
        <v>0</v>
      </c>
      <c r="I107" s="39"/>
      <c r="J107" s="39"/>
      <c r="K107" s="39"/>
      <c r="L107" s="39"/>
      <c r="M107" s="39"/>
      <c r="N107" s="39"/>
      <c r="O107" s="39"/>
      <c r="P107" s="39"/>
      <c r="Q107" s="39"/>
      <c r="R107" s="39"/>
      <c r="S107" s="39"/>
      <c r="T107" s="39"/>
      <c r="U107" s="39"/>
      <c r="V107" s="39"/>
      <c r="W107" s="39"/>
      <c r="X107" s="39"/>
      <c r="Y107" s="39"/>
      <c r="Z107" s="39"/>
      <c r="AA107" s="39"/>
      <c r="AB107" s="39"/>
      <c r="AC107" s="35">
        <f t="shared" si="10"/>
        <v>0</v>
      </c>
      <c r="AD107" s="40"/>
      <c r="AE107" s="40"/>
      <c r="AF107" s="40"/>
      <c r="AG107" s="40"/>
      <c r="AH107" s="40"/>
      <c r="AI107" s="40"/>
      <c r="AJ107" s="40"/>
      <c r="AK107" s="40"/>
      <c r="AL107" s="40"/>
      <c r="AM107" s="40"/>
      <c r="AN107" s="40"/>
      <c r="AO107" s="40"/>
      <c r="AP107" s="40"/>
      <c r="AQ107" s="40"/>
      <c r="AR107" s="40"/>
      <c r="AS107" s="40"/>
      <c r="AT107" s="41"/>
      <c r="AU107" s="1806"/>
      <c r="AV107" s="1517">
        <f t="shared" si="11"/>
        <v>0</v>
      </c>
      <c r="AW107" s="1517">
        <f t="shared" si="12"/>
        <v>0</v>
      </c>
      <c r="AX107" s="1517">
        <f t="shared" si="13"/>
        <v>0</v>
      </c>
      <c r="AY107" s="42">
        <f t="shared" si="14"/>
        <v>0</v>
      </c>
      <c r="AZ107" s="35">
        <f t="shared" si="15"/>
        <v>0</v>
      </c>
      <c r="BA107" s="35">
        <f t="shared" si="16"/>
        <v>0</v>
      </c>
      <c r="BB107" s="35">
        <f t="shared" si="17"/>
        <v>0</v>
      </c>
      <c r="BC107" s="35">
        <f t="shared" si="18"/>
        <v>0</v>
      </c>
      <c r="BD107" s="35">
        <f t="shared" si="19"/>
        <v>0</v>
      </c>
      <c r="BE107" s="35">
        <f t="shared" si="20"/>
        <v>0</v>
      </c>
      <c r="BF107" s="35">
        <f t="shared" si="21"/>
        <v>0</v>
      </c>
      <c r="BG107" s="35">
        <f t="shared" si="22"/>
        <v>0</v>
      </c>
      <c r="BH107" s="35">
        <f t="shared" si="23"/>
        <v>0</v>
      </c>
      <c r="BI107" s="35">
        <f t="shared" si="24"/>
        <v>0</v>
      </c>
      <c r="BJ107" s="35">
        <f t="shared" si="25"/>
        <v>0</v>
      </c>
      <c r="BK107" s="35">
        <f t="shared" si="26"/>
        <v>0</v>
      </c>
      <c r="BL107" s="35">
        <f t="shared" si="27"/>
        <v>0</v>
      </c>
      <c r="BM107" s="35">
        <f t="shared" si="28"/>
        <v>0</v>
      </c>
      <c r="BN107" s="35">
        <f t="shared" si="29"/>
        <v>0</v>
      </c>
      <c r="BO107" s="35">
        <f t="shared" si="30"/>
        <v>0</v>
      </c>
      <c r="BP107" s="35">
        <f t="shared" si="31"/>
        <v>0</v>
      </c>
      <c r="BQ107" s="35">
        <f t="shared" si="32"/>
        <v>0</v>
      </c>
      <c r="BR107" s="35">
        <f t="shared" si="33"/>
        <v>0</v>
      </c>
      <c r="BS107" s="35">
        <f t="shared" si="34"/>
        <v>0</v>
      </c>
      <c r="BT107" s="43">
        <f t="shared" si="35"/>
        <v>0</v>
      </c>
    </row>
    <row r="108" spans="1:72">
      <c r="A108" s="9"/>
      <c r="B108" s="34"/>
      <c r="C108" s="34"/>
      <c r="D108" s="1805"/>
      <c r="E108" s="35">
        <f t="shared" si="7"/>
        <v>0</v>
      </c>
      <c r="F108" s="36"/>
      <c r="G108" s="37">
        <f t="shared" si="8"/>
        <v>0</v>
      </c>
      <c r="H108" s="38">
        <f t="shared" si="9"/>
        <v>0</v>
      </c>
      <c r="I108" s="39"/>
      <c r="J108" s="39"/>
      <c r="K108" s="39"/>
      <c r="L108" s="39"/>
      <c r="M108" s="39"/>
      <c r="N108" s="39"/>
      <c r="O108" s="39"/>
      <c r="P108" s="39"/>
      <c r="Q108" s="39"/>
      <c r="R108" s="39"/>
      <c r="S108" s="39"/>
      <c r="T108" s="39"/>
      <c r="U108" s="39"/>
      <c r="V108" s="39"/>
      <c r="W108" s="39"/>
      <c r="X108" s="39"/>
      <c r="Y108" s="39"/>
      <c r="Z108" s="39"/>
      <c r="AA108" s="39"/>
      <c r="AB108" s="39"/>
      <c r="AC108" s="35">
        <f t="shared" si="10"/>
        <v>0</v>
      </c>
      <c r="AD108" s="40"/>
      <c r="AE108" s="40"/>
      <c r="AF108" s="40"/>
      <c r="AG108" s="40"/>
      <c r="AH108" s="40"/>
      <c r="AI108" s="40"/>
      <c r="AJ108" s="40"/>
      <c r="AK108" s="40"/>
      <c r="AL108" s="40"/>
      <c r="AM108" s="40"/>
      <c r="AN108" s="40"/>
      <c r="AO108" s="40"/>
      <c r="AP108" s="40"/>
      <c r="AQ108" s="40"/>
      <c r="AR108" s="40"/>
      <c r="AS108" s="40"/>
      <c r="AT108" s="41"/>
      <c r="AU108" s="1806"/>
      <c r="AV108" s="1517">
        <f t="shared" si="11"/>
        <v>0</v>
      </c>
      <c r="AW108" s="1517">
        <f t="shared" si="12"/>
        <v>0</v>
      </c>
      <c r="AX108" s="1517">
        <f t="shared" si="13"/>
        <v>0</v>
      </c>
      <c r="AY108" s="42">
        <f t="shared" si="14"/>
        <v>0</v>
      </c>
      <c r="AZ108" s="35">
        <f t="shared" si="15"/>
        <v>0</v>
      </c>
      <c r="BA108" s="35">
        <f t="shared" si="16"/>
        <v>0</v>
      </c>
      <c r="BB108" s="35">
        <f t="shared" si="17"/>
        <v>0</v>
      </c>
      <c r="BC108" s="35">
        <f t="shared" si="18"/>
        <v>0</v>
      </c>
      <c r="BD108" s="35">
        <f t="shared" si="19"/>
        <v>0</v>
      </c>
      <c r="BE108" s="35">
        <f t="shared" si="20"/>
        <v>0</v>
      </c>
      <c r="BF108" s="35">
        <f t="shared" si="21"/>
        <v>0</v>
      </c>
      <c r="BG108" s="35">
        <f t="shared" si="22"/>
        <v>0</v>
      </c>
      <c r="BH108" s="35">
        <f t="shared" si="23"/>
        <v>0</v>
      </c>
      <c r="BI108" s="35">
        <f t="shared" si="24"/>
        <v>0</v>
      </c>
      <c r="BJ108" s="35">
        <f t="shared" si="25"/>
        <v>0</v>
      </c>
      <c r="BK108" s="35">
        <f t="shared" si="26"/>
        <v>0</v>
      </c>
      <c r="BL108" s="35">
        <f t="shared" si="27"/>
        <v>0</v>
      </c>
      <c r="BM108" s="35">
        <f t="shared" si="28"/>
        <v>0</v>
      </c>
      <c r="BN108" s="35">
        <f t="shared" si="29"/>
        <v>0</v>
      </c>
      <c r="BO108" s="35">
        <f t="shared" si="30"/>
        <v>0</v>
      </c>
      <c r="BP108" s="35">
        <f t="shared" si="31"/>
        <v>0</v>
      </c>
      <c r="BQ108" s="35">
        <f t="shared" si="32"/>
        <v>0</v>
      </c>
      <c r="BR108" s="35">
        <f t="shared" si="33"/>
        <v>0</v>
      </c>
      <c r="BS108" s="35">
        <f t="shared" si="34"/>
        <v>0</v>
      </c>
      <c r="BT108" s="43">
        <f t="shared" si="35"/>
        <v>0</v>
      </c>
    </row>
    <row r="109" spans="1:72">
      <c r="A109" s="9"/>
      <c r="B109" s="34"/>
      <c r="C109" s="34"/>
      <c r="D109" s="1805"/>
      <c r="E109" s="35">
        <f t="shared" si="7"/>
        <v>0</v>
      </c>
      <c r="F109" s="36"/>
      <c r="G109" s="37">
        <f t="shared" si="8"/>
        <v>0</v>
      </c>
      <c r="H109" s="38">
        <f t="shared" si="9"/>
        <v>0</v>
      </c>
      <c r="I109" s="39"/>
      <c r="J109" s="39"/>
      <c r="K109" s="39"/>
      <c r="L109" s="39"/>
      <c r="M109" s="39"/>
      <c r="N109" s="39"/>
      <c r="O109" s="39"/>
      <c r="P109" s="39"/>
      <c r="Q109" s="39"/>
      <c r="R109" s="39"/>
      <c r="S109" s="39"/>
      <c r="T109" s="39"/>
      <c r="U109" s="39"/>
      <c r="V109" s="39"/>
      <c r="W109" s="39"/>
      <c r="X109" s="39"/>
      <c r="Y109" s="39"/>
      <c r="Z109" s="39"/>
      <c r="AA109" s="39"/>
      <c r="AB109" s="39"/>
      <c r="AC109" s="35">
        <f t="shared" si="10"/>
        <v>0</v>
      </c>
      <c r="AD109" s="40"/>
      <c r="AE109" s="40"/>
      <c r="AF109" s="40"/>
      <c r="AG109" s="40"/>
      <c r="AH109" s="40"/>
      <c r="AI109" s="40"/>
      <c r="AJ109" s="40"/>
      <c r="AK109" s="40"/>
      <c r="AL109" s="40"/>
      <c r="AM109" s="40"/>
      <c r="AN109" s="40"/>
      <c r="AO109" s="40"/>
      <c r="AP109" s="40"/>
      <c r="AQ109" s="40"/>
      <c r="AR109" s="40"/>
      <c r="AS109" s="40"/>
      <c r="AT109" s="41"/>
      <c r="AU109" s="1806"/>
      <c r="AV109" s="1517">
        <f t="shared" si="11"/>
        <v>0</v>
      </c>
      <c r="AW109" s="1517">
        <f t="shared" si="12"/>
        <v>0</v>
      </c>
      <c r="AX109" s="1517">
        <f t="shared" si="13"/>
        <v>0</v>
      </c>
      <c r="AY109" s="42">
        <f t="shared" si="14"/>
        <v>0</v>
      </c>
      <c r="AZ109" s="35">
        <f t="shared" si="15"/>
        <v>0</v>
      </c>
      <c r="BA109" s="35">
        <f t="shared" si="16"/>
        <v>0</v>
      </c>
      <c r="BB109" s="35">
        <f t="shared" si="17"/>
        <v>0</v>
      </c>
      <c r="BC109" s="35">
        <f t="shared" si="18"/>
        <v>0</v>
      </c>
      <c r="BD109" s="35">
        <f t="shared" si="19"/>
        <v>0</v>
      </c>
      <c r="BE109" s="35">
        <f t="shared" si="20"/>
        <v>0</v>
      </c>
      <c r="BF109" s="35">
        <f t="shared" si="21"/>
        <v>0</v>
      </c>
      <c r="BG109" s="35">
        <f t="shared" si="22"/>
        <v>0</v>
      </c>
      <c r="BH109" s="35">
        <f t="shared" si="23"/>
        <v>0</v>
      </c>
      <c r="BI109" s="35">
        <f t="shared" si="24"/>
        <v>0</v>
      </c>
      <c r="BJ109" s="35">
        <f t="shared" si="25"/>
        <v>0</v>
      </c>
      <c r="BK109" s="35">
        <f t="shared" si="26"/>
        <v>0</v>
      </c>
      <c r="BL109" s="35">
        <f t="shared" si="27"/>
        <v>0</v>
      </c>
      <c r="BM109" s="35">
        <f t="shared" si="28"/>
        <v>0</v>
      </c>
      <c r="BN109" s="35">
        <f t="shared" si="29"/>
        <v>0</v>
      </c>
      <c r="BO109" s="35">
        <f t="shared" si="30"/>
        <v>0</v>
      </c>
      <c r="BP109" s="35">
        <f t="shared" si="31"/>
        <v>0</v>
      </c>
      <c r="BQ109" s="35">
        <f t="shared" si="32"/>
        <v>0</v>
      </c>
      <c r="BR109" s="35">
        <f t="shared" si="33"/>
        <v>0</v>
      </c>
      <c r="BS109" s="35">
        <f t="shared" si="34"/>
        <v>0</v>
      </c>
      <c r="BT109" s="43">
        <f t="shared" si="35"/>
        <v>0</v>
      </c>
    </row>
    <row r="110" spans="1:72">
      <c r="A110" s="9"/>
      <c r="B110" s="9"/>
      <c r="C110" s="9"/>
      <c r="D110" s="1805"/>
      <c r="E110" s="35">
        <f t="shared" si="7"/>
        <v>0</v>
      </c>
      <c r="F110" s="44"/>
      <c r="G110" s="37">
        <f t="shared" ref="G110:G141" si="36">H110+AC110+AT110</f>
        <v>0</v>
      </c>
      <c r="H110" s="38">
        <f t="shared" ref="H110:H141" si="37">SUMIF(I$12:AB$12,"总值",I110:AB110)</f>
        <v>0</v>
      </c>
      <c r="I110" s="10"/>
      <c r="J110" s="10"/>
      <c r="K110" s="39"/>
      <c r="L110" s="39"/>
      <c r="M110" s="39"/>
      <c r="N110" s="39"/>
      <c r="O110" s="39"/>
      <c r="P110" s="39"/>
      <c r="Q110" s="39"/>
      <c r="R110" s="39"/>
      <c r="S110" s="39"/>
      <c r="T110" s="39"/>
      <c r="U110" s="39"/>
      <c r="V110" s="39"/>
      <c r="W110" s="39"/>
      <c r="X110" s="39"/>
      <c r="Y110" s="39"/>
      <c r="Z110" s="39"/>
      <c r="AA110" s="39"/>
      <c r="AB110" s="39"/>
      <c r="AC110" s="35">
        <f t="shared" ref="AC110:AC141" si="38">SUMIF(AD$12:AS$12,"总值",AD110:AS110)</f>
        <v>0</v>
      </c>
      <c r="AD110" s="40"/>
      <c r="AE110" s="40"/>
      <c r="AF110" s="40"/>
      <c r="AG110" s="40"/>
      <c r="AH110" s="40"/>
      <c r="AI110" s="40"/>
      <c r="AJ110" s="40"/>
      <c r="AK110" s="40"/>
      <c r="AL110" s="40"/>
      <c r="AM110" s="40"/>
      <c r="AN110" s="40"/>
      <c r="AO110" s="40"/>
      <c r="AP110" s="40"/>
      <c r="AQ110" s="40"/>
      <c r="AR110" s="40"/>
      <c r="AS110" s="40"/>
      <c r="AT110" s="40"/>
      <c r="AU110" s="1746"/>
      <c r="AV110" s="1517">
        <f t="shared" si="11"/>
        <v>0</v>
      </c>
      <c r="AW110" s="1517">
        <f t="shared" si="12"/>
        <v>0</v>
      </c>
      <c r="AX110" s="1517">
        <f t="shared" si="13"/>
        <v>0</v>
      </c>
      <c r="AY110" s="42">
        <f t="shared" ref="AY110:AY141" si="39">ROUND($AY$6*AZ110/$AZ$5,2)</f>
        <v>0</v>
      </c>
      <c r="AZ110" s="35">
        <f t="shared" ref="AZ110:AZ141" si="40">BA110+BL110</f>
        <v>0</v>
      </c>
      <c r="BA110" s="35">
        <f t="shared" ref="BA110:BA141" si="41">SUM(BB110:BK110)</f>
        <v>0</v>
      </c>
      <c r="BB110" s="35">
        <f t="shared" ref="BB110:BB141" si="42">IF($D110="是",I110-J110,0)</f>
        <v>0</v>
      </c>
      <c r="BC110" s="35">
        <f t="shared" ref="BC110:BC141" si="43">IF($D110="是",K110-L110,0)</f>
        <v>0</v>
      </c>
      <c r="BD110" s="35">
        <f t="shared" ref="BD110:BD141" si="44">IF($D110="是",M110-N110,0)</f>
        <v>0</v>
      </c>
      <c r="BE110" s="35">
        <f t="shared" ref="BE110:BE141" si="45">IF($D110="是",O110-P110,0)</f>
        <v>0</v>
      </c>
      <c r="BF110" s="35">
        <f t="shared" ref="BF110:BF141" si="46">IF($D110="是",Q110-R110,0)</f>
        <v>0</v>
      </c>
      <c r="BG110" s="35">
        <f t="shared" ref="BG110:BG141" si="47">IF($D110="是",S110-T110,0)</f>
        <v>0</v>
      </c>
      <c r="BH110" s="35">
        <f t="shared" ref="BH110:BH141" si="48">IF($D110="是",U110-V110,0)</f>
        <v>0</v>
      </c>
      <c r="BI110" s="35">
        <f t="shared" ref="BI110:BI141" si="49">IF($D110="是",W110-X110,0)</f>
        <v>0</v>
      </c>
      <c r="BJ110" s="35">
        <f t="shared" ref="BJ110:BJ141" si="50">IF($D110="是",Y110-Z110,0)</f>
        <v>0</v>
      </c>
      <c r="BK110" s="35">
        <f t="shared" ref="BK110:BK141" si="51">IF($D110="是",AA110-AB110,0)</f>
        <v>0</v>
      </c>
      <c r="BL110" s="35">
        <f t="shared" ref="BL110:BL141" si="52">SUM(BM110:BT110)</f>
        <v>0</v>
      </c>
      <c r="BM110" s="35">
        <f t="shared" ref="BM110:BM141" si="53">IF($D110="是",AD110-AE110,0)</f>
        <v>0</v>
      </c>
      <c r="BN110" s="35">
        <f t="shared" ref="BN110:BN141" si="54">IF($D110="是",AF110-AG110,0)</f>
        <v>0</v>
      </c>
      <c r="BO110" s="35">
        <f t="shared" ref="BO110:BO141" si="55">IF($D110="是",AH110-AI110,0)</f>
        <v>0</v>
      </c>
      <c r="BP110" s="35">
        <f t="shared" ref="BP110:BP141" si="56">IF($D110="是",AJ110-AK110,0)</f>
        <v>0</v>
      </c>
      <c r="BQ110" s="35">
        <f t="shared" ref="BQ110:BQ141" si="57">IF($D110="是",AL110-AM110,0)</f>
        <v>0</v>
      </c>
      <c r="BR110" s="35">
        <f t="shared" ref="BR110:BR141" si="58">IF($D110="是",AN110-AO110,0)</f>
        <v>0</v>
      </c>
      <c r="BS110" s="35">
        <f t="shared" ref="BS110:BS141" si="59">IF($D110="是",AP110-AQ110,0)</f>
        <v>0</v>
      </c>
      <c r="BT110" s="43">
        <f t="shared" ref="BT110:BT141" si="60">IF($D110="是",AR110-AS110,0)</f>
        <v>0</v>
      </c>
    </row>
    <row r="111" spans="1:72">
      <c r="A111" s="9"/>
      <c r="B111" s="9"/>
      <c r="C111" s="9"/>
      <c r="D111" s="1805"/>
      <c r="E111" s="35">
        <f t="shared" si="7"/>
        <v>0</v>
      </c>
      <c r="F111" s="44"/>
      <c r="G111" s="37">
        <f t="shared" si="36"/>
        <v>0</v>
      </c>
      <c r="H111" s="38">
        <f t="shared" si="37"/>
        <v>0</v>
      </c>
      <c r="I111" s="39"/>
      <c r="J111" s="39"/>
      <c r="K111" s="39"/>
      <c r="L111" s="39"/>
      <c r="M111" s="39"/>
      <c r="N111" s="39"/>
      <c r="O111" s="39"/>
      <c r="P111" s="39"/>
      <c r="Q111" s="39"/>
      <c r="R111" s="39"/>
      <c r="S111" s="39"/>
      <c r="T111" s="39"/>
      <c r="U111" s="39"/>
      <c r="V111" s="39"/>
      <c r="W111" s="39"/>
      <c r="X111" s="39"/>
      <c r="Y111" s="39"/>
      <c r="Z111" s="39"/>
      <c r="AA111" s="39"/>
      <c r="AB111" s="39"/>
      <c r="AC111" s="35">
        <f t="shared" si="38"/>
        <v>0</v>
      </c>
      <c r="AD111" s="40"/>
      <c r="AE111" s="40"/>
      <c r="AF111" s="40"/>
      <c r="AG111" s="40"/>
      <c r="AH111" s="40"/>
      <c r="AI111" s="40"/>
      <c r="AJ111" s="40"/>
      <c r="AK111" s="40"/>
      <c r="AL111" s="40"/>
      <c r="AM111" s="40"/>
      <c r="AN111" s="40"/>
      <c r="AO111" s="40"/>
      <c r="AP111" s="40"/>
      <c r="AQ111" s="40"/>
      <c r="AR111" s="40"/>
      <c r="AS111" s="40"/>
      <c r="AT111" s="40"/>
      <c r="AU111" s="1746"/>
      <c r="AV111" s="1517">
        <f t="shared" si="11"/>
        <v>0</v>
      </c>
      <c r="AW111" s="1517">
        <f t="shared" si="12"/>
        <v>0</v>
      </c>
      <c r="AX111" s="1517">
        <f t="shared" si="13"/>
        <v>0</v>
      </c>
      <c r="AY111" s="42">
        <f t="shared" si="39"/>
        <v>0</v>
      </c>
      <c r="AZ111" s="35">
        <f t="shared" si="40"/>
        <v>0</v>
      </c>
      <c r="BA111" s="35">
        <f t="shared" si="41"/>
        <v>0</v>
      </c>
      <c r="BB111" s="35">
        <f t="shared" si="42"/>
        <v>0</v>
      </c>
      <c r="BC111" s="35">
        <f t="shared" si="43"/>
        <v>0</v>
      </c>
      <c r="BD111" s="35">
        <f t="shared" si="44"/>
        <v>0</v>
      </c>
      <c r="BE111" s="35">
        <f t="shared" si="45"/>
        <v>0</v>
      </c>
      <c r="BF111" s="35">
        <f t="shared" si="46"/>
        <v>0</v>
      </c>
      <c r="BG111" s="35">
        <f t="shared" si="47"/>
        <v>0</v>
      </c>
      <c r="BH111" s="35">
        <f t="shared" si="48"/>
        <v>0</v>
      </c>
      <c r="BI111" s="35">
        <f t="shared" si="49"/>
        <v>0</v>
      </c>
      <c r="BJ111" s="35">
        <f t="shared" si="50"/>
        <v>0</v>
      </c>
      <c r="BK111" s="35">
        <f t="shared" si="51"/>
        <v>0</v>
      </c>
      <c r="BL111" s="35">
        <f t="shared" si="52"/>
        <v>0</v>
      </c>
      <c r="BM111" s="35">
        <f t="shared" si="53"/>
        <v>0</v>
      </c>
      <c r="BN111" s="35">
        <f t="shared" si="54"/>
        <v>0</v>
      </c>
      <c r="BO111" s="35">
        <f t="shared" si="55"/>
        <v>0</v>
      </c>
      <c r="BP111" s="35">
        <f t="shared" si="56"/>
        <v>0</v>
      </c>
      <c r="BQ111" s="35">
        <f t="shared" si="57"/>
        <v>0</v>
      </c>
      <c r="BR111" s="35">
        <f t="shared" si="58"/>
        <v>0</v>
      </c>
      <c r="BS111" s="35">
        <f t="shared" si="59"/>
        <v>0</v>
      </c>
      <c r="BT111" s="43">
        <f t="shared" si="60"/>
        <v>0</v>
      </c>
    </row>
    <row r="112" spans="1:72">
      <c r="A112" s="9"/>
      <c r="B112" s="9"/>
      <c r="C112" s="9"/>
      <c r="D112" s="1805"/>
      <c r="E112" s="35">
        <f t="shared" si="7"/>
        <v>0</v>
      </c>
      <c r="F112" s="44"/>
      <c r="G112" s="37">
        <f t="shared" si="36"/>
        <v>0</v>
      </c>
      <c r="H112" s="38">
        <f t="shared" si="37"/>
        <v>0</v>
      </c>
      <c r="I112" s="39"/>
      <c r="J112" s="39"/>
      <c r="K112" s="39"/>
      <c r="L112" s="39"/>
      <c r="M112" s="39"/>
      <c r="N112" s="39"/>
      <c r="O112" s="39"/>
      <c r="P112" s="39"/>
      <c r="Q112" s="39"/>
      <c r="R112" s="39"/>
      <c r="S112" s="39"/>
      <c r="T112" s="39"/>
      <c r="U112" s="39"/>
      <c r="V112" s="39"/>
      <c r="W112" s="39"/>
      <c r="X112" s="39"/>
      <c r="Y112" s="39"/>
      <c r="Z112" s="39"/>
      <c r="AA112" s="39"/>
      <c r="AB112" s="39"/>
      <c r="AC112" s="35">
        <f t="shared" si="38"/>
        <v>0</v>
      </c>
      <c r="AD112" s="40"/>
      <c r="AE112" s="40"/>
      <c r="AF112" s="40"/>
      <c r="AG112" s="40"/>
      <c r="AH112" s="40"/>
      <c r="AI112" s="40"/>
      <c r="AJ112" s="40"/>
      <c r="AK112" s="40"/>
      <c r="AL112" s="40"/>
      <c r="AM112" s="40"/>
      <c r="AN112" s="40"/>
      <c r="AO112" s="40"/>
      <c r="AP112" s="40"/>
      <c r="AQ112" s="40"/>
      <c r="AR112" s="40"/>
      <c r="AS112" s="40"/>
      <c r="AT112" s="40"/>
      <c r="AU112" s="1746"/>
      <c r="AV112" s="1517">
        <f t="shared" si="11"/>
        <v>0</v>
      </c>
      <c r="AW112" s="1517">
        <f t="shared" si="12"/>
        <v>0</v>
      </c>
      <c r="AX112" s="1517">
        <f t="shared" si="13"/>
        <v>0</v>
      </c>
      <c r="AY112" s="42">
        <f t="shared" si="39"/>
        <v>0</v>
      </c>
      <c r="AZ112" s="35">
        <f t="shared" si="40"/>
        <v>0</v>
      </c>
      <c r="BA112" s="35">
        <f t="shared" si="41"/>
        <v>0</v>
      </c>
      <c r="BB112" s="35">
        <f t="shared" si="42"/>
        <v>0</v>
      </c>
      <c r="BC112" s="35">
        <f t="shared" si="43"/>
        <v>0</v>
      </c>
      <c r="BD112" s="35">
        <f t="shared" si="44"/>
        <v>0</v>
      </c>
      <c r="BE112" s="35">
        <f t="shared" si="45"/>
        <v>0</v>
      </c>
      <c r="BF112" s="35">
        <f t="shared" si="46"/>
        <v>0</v>
      </c>
      <c r="BG112" s="35">
        <f t="shared" si="47"/>
        <v>0</v>
      </c>
      <c r="BH112" s="35">
        <f t="shared" si="48"/>
        <v>0</v>
      </c>
      <c r="BI112" s="35">
        <f t="shared" si="49"/>
        <v>0</v>
      </c>
      <c r="BJ112" s="35">
        <f t="shared" si="50"/>
        <v>0</v>
      </c>
      <c r="BK112" s="35">
        <f t="shared" si="51"/>
        <v>0</v>
      </c>
      <c r="BL112" s="35">
        <f t="shared" si="52"/>
        <v>0</v>
      </c>
      <c r="BM112" s="35">
        <f t="shared" si="53"/>
        <v>0</v>
      </c>
      <c r="BN112" s="35">
        <f t="shared" si="54"/>
        <v>0</v>
      </c>
      <c r="BO112" s="35">
        <f t="shared" si="55"/>
        <v>0</v>
      </c>
      <c r="BP112" s="35">
        <f t="shared" si="56"/>
        <v>0</v>
      </c>
      <c r="BQ112" s="35">
        <f t="shared" si="57"/>
        <v>0</v>
      </c>
      <c r="BR112" s="35">
        <f t="shared" si="58"/>
        <v>0</v>
      </c>
      <c r="BS112" s="35">
        <f t="shared" si="59"/>
        <v>0</v>
      </c>
      <c r="BT112" s="43">
        <f t="shared" si="60"/>
        <v>0</v>
      </c>
    </row>
    <row r="113" spans="1:72">
      <c r="A113" s="9"/>
      <c r="B113" s="34"/>
      <c r="C113" s="34"/>
      <c r="D113" s="1805"/>
      <c r="E113" s="35">
        <f t="shared" ref="E113:E144" si="61">IF($C$3="是",ROUND($A$3*G113/$B$3,2),ROUND($A$3*(G113-AT113)/$B$3,2))</f>
        <v>0</v>
      </c>
      <c r="F113" s="36"/>
      <c r="G113" s="37">
        <f t="shared" si="36"/>
        <v>0</v>
      </c>
      <c r="H113" s="38">
        <f t="shared" si="37"/>
        <v>0</v>
      </c>
      <c r="I113" s="39"/>
      <c r="J113" s="39"/>
      <c r="K113" s="39"/>
      <c r="L113" s="39"/>
      <c r="M113" s="39"/>
      <c r="N113" s="39"/>
      <c r="O113" s="39"/>
      <c r="P113" s="39"/>
      <c r="Q113" s="39"/>
      <c r="R113" s="39"/>
      <c r="S113" s="39"/>
      <c r="T113" s="39"/>
      <c r="U113" s="39"/>
      <c r="V113" s="39"/>
      <c r="W113" s="39"/>
      <c r="X113" s="39"/>
      <c r="Y113" s="39"/>
      <c r="Z113" s="39"/>
      <c r="AA113" s="39"/>
      <c r="AB113" s="39"/>
      <c r="AC113" s="35">
        <f t="shared" si="38"/>
        <v>0</v>
      </c>
      <c r="AD113" s="40"/>
      <c r="AE113" s="40"/>
      <c r="AF113" s="40"/>
      <c r="AG113" s="40"/>
      <c r="AH113" s="40"/>
      <c r="AI113" s="40"/>
      <c r="AJ113" s="40"/>
      <c r="AK113" s="40"/>
      <c r="AL113" s="40"/>
      <c r="AM113" s="40"/>
      <c r="AN113" s="40"/>
      <c r="AO113" s="40"/>
      <c r="AP113" s="40"/>
      <c r="AQ113" s="40"/>
      <c r="AR113" s="40"/>
      <c r="AS113" s="40"/>
      <c r="AT113" s="41"/>
      <c r="AU113" s="1806"/>
      <c r="AV113" s="1517">
        <f t="shared" ref="AV113:AV144" si="62">A113</f>
        <v>0</v>
      </c>
      <c r="AW113" s="1517">
        <f t="shared" ref="AW113:AW144" si="63">B113</f>
        <v>0</v>
      </c>
      <c r="AX113" s="1517">
        <f t="shared" ref="AX113:AX144" si="64">C113</f>
        <v>0</v>
      </c>
      <c r="AY113" s="42">
        <f t="shared" si="39"/>
        <v>0</v>
      </c>
      <c r="AZ113" s="35">
        <f t="shared" si="40"/>
        <v>0</v>
      </c>
      <c r="BA113" s="35">
        <f t="shared" si="41"/>
        <v>0</v>
      </c>
      <c r="BB113" s="35">
        <f t="shared" si="42"/>
        <v>0</v>
      </c>
      <c r="BC113" s="35">
        <f t="shared" si="43"/>
        <v>0</v>
      </c>
      <c r="BD113" s="35">
        <f t="shared" si="44"/>
        <v>0</v>
      </c>
      <c r="BE113" s="35">
        <f t="shared" si="45"/>
        <v>0</v>
      </c>
      <c r="BF113" s="35">
        <f t="shared" si="46"/>
        <v>0</v>
      </c>
      <c r="BG113" s="35">
        <f t="shared" si="47"/>
        <v>0</v>
      </c>
      <c r="BH113" s="35">
        <f t="shared" si="48"/>
        <v>0</v>
      </c>
      <c r="BI113" s="35">
        <f t="shared" si="49"/>
        <v>0</v>
      </c>
      <c r="BJ113" s="35">
        <f t="shared" si="50"/>
        <v>0</v>
      </c>
      <c r="BK113" s="35">
        <f t="shared" si="51"/>
        <v>0</v>
      </c>
      <c r="BL113" s="35">
        <f t="shared" si="52"/>
        <v>0</v>
      </c>
      <c r="BM113" s="35">
        <f t="shared" si="53"/>
        <v>0</v>
      </c>
      <c r="BN113" s="35">
        <f t="shared" si="54"/>
        <v>0</v>
      </c>
      <c r="BO113" s="35">
        <f t="shared" si="55"/>
        <v>0</v>
      </c>
      <c r="BP113" s="35">
        <f t="shared" si="56"/>
        <v>0</v>
      </c>
      <c r="BQ113" s="35">
        <f t="shared" si="57"/>
        <v>0</v>
      </c>
      <c r="BR113" s="35">
        <f t="shared" si="58"/>
        <v>0</v>
      </c>
      <c r="BS113" s="35">
        <f t="shared" si="59"/>
        <v>0</v>
      </c>
      <c r="BT113" s="43">
        <f t="shared" si="60"/>
        <v>0</v>
      </c>
    </row>
    <row r="114" spans="1:72">
      <c r="A114" s="9"/>
      <c r="B114" s="34"/>
      <c r="C114" s="34"/>
      <c r="D114" s="1805"/>
      <c r="E114" s="35">
        <f t="shared" si="61"/>
        <v>0</v>
      </c>
      <c r="F114" s="36"/>
      <c r="G114" s="37">
        <f t="shared" si="36"/>
        <v>0</v>
      </c>
      <c r="H114" s="38">
        <f t="shared" si="37"/>
        <v>0</v>
      </c>
      <c r="I114" s="39"/>
      <c r="J114" s="39"/>
      <c r="K114" s="39"/>
      <c r="L114" s="39"/>
      <c r="M114" s="39"/>
      <c r="N114" s="39"/>
      <c r="O114" s="39"/>
      <c r="P114" s="39"/>
      <c r="Q114" s="39"/>
      <c r="R114" s="39"/>
      <c r="S114" s="39"/>
      <c r="T114" s="39"/>
      <c r="U114" s="39"/>
      <c r="V114" s="39"/>
      <c r="W114" s="39"/>
      <c r="X114" s="39"/>
      <c r="Y114" s="39"/>
      <c r="Z114" s="39"/>
      <c r="AA114" s="39"/>
      <c r="AB114" s="39"/>
      <c r="AC114" s="35">
        <f t="shared" si="38"/>
        <v>0</v>
      </c>
      <c r="AD114" s="40"/>
      <c r="AE114" s="40"/>
      <c r="AF114" s="40"/>
      <c r="AG114" s="40"/>
      <c r="AH114" s="40"/>
      <c r="AI114" s="40"/>
      <c r="AJ114" s="40"/>
      <c r="AK114" s="40"/>
      <c r="AL114" s="40"/>
      <c r="AM114" s="40"/>
      <c r="AN114" s="40"/>
      <c r="AO114" s="40"/>
      <c r="AP114" s="40"/>
      <c r="AQ114" s="40"/>
      <c r="AR114" s="40"/>
      <c r="AS114" s="40"/>
      <c r="AT114" s="41"/>
      <c r="AU114" s="1806"/>
      <c r="AV114" s="1517">
        <f t="shared" si="62"/>
        <v>0</v>
      </c>
      <c r="AW114" s="1517">
        <f t="shared" si="63"/>
        <v>0</v>
      </c>
      <c r="AX114" s="1517">
        <f t="shared" si="64"/>
        <v>0</v>
      </c>
      <c r="AY114" s="42">
        <f t="shared" si="39"/>
        <v>0</v>
      </c>
      <c r="AZ114" s="35">
        <f t="shared" si="40"/>
        <v>0</v>
      </c>
      <c r="BA114" s="35">
        <f t="shared" si="41"/>
        <v>0</v>
      </c>
      <c r="BB114" s="35">
        <f t="shared" si="42"/>
        <v>0</v>
      </c>
      <c r="BC114" s="35">
        <f t="shared" si="43"/>
        <v>0</v>
      </c>
      <c r="BD114" s="35">
        <f t="shared" si="44"/>
        <v>0</v>
      </c>
      <c r="BE114" s="35">
        <f t="shared" si="45"/>
        <v>0</v>
      </c>
      <c r="BF114" s="35">
        <f t="shared" si="46"/>
        <v>0</v>
      </c>
      <c r="BG114" s="35">
        <f t="shared" si="47"/>
        <v>0</v>
      </c>
      <c r="BH114" s="35">
        <f t="shared" si="48"/>
        <v>0</v>
      </c>
      <c r="BI114" s="35">
        <f t="shared" si="49"/>
        <v>0</v>
      </c>
      <c r="BJ114" s="35">
        <f t="shared" si="50"/>
        <v>0</v>
      </c>
      <c r="BK114" s="35">
        <f t="shared" si="51"/>
        <v>0</v>
      </c>
      <c r="BL114" s="35">
        <f t="shared" si="52"/>
        <v>0</v>
      </c>
      <c r="BM114" s="35">
        <f t="shared" si="53"/>
        <v>0</v>
      </c>
      <c r="BN114" s="35">
        <f t="shared" si="54"/>
        <v>0</v>
      </c>
      <c r="BO114" s="35">
        <f t="shared" si="55"/>
        <v>0</v>
      </c>
      <c r="BP114" s="35">
        <f t="shared" si="56"/>
        <v>0</v>
      </c>
      <c r="BQ114" s="35">
        <f t="shared" si="57"/>
        <v>0</v>
      </c>
      <c r="BR114" s="35">
        <f t="shared" si="58"/>
        <v>0</v>
      </c>
      <c r="BS114" s="35">
        <f t="shared" si="59"/>
        <v>0</v>
      </c>
      <c r="BT114" s="43">
        <f t="shared" si="60"/>
        <v>0</v>
      </c>
    </row>
    <row r="115" spans="1:72">
      <c r="A115" s="9"/>
      <c r="B115" s="34"/>
      <c r="C115" s="34"/>
      <c r="D115" s="1805"/>
      <c r="E115" s="35">
        <f t="shared" si="61"/>
        <v>0</v>
      </c>
      <c r="F115" s="36"/>
      <c r="G115" s="37">
        <f t="shared" si="36"/>
        <v>0</v>
      </c>
      <c r="H115" s="38">
        <f t="shared" si="37"/>
        <v>0</v>
      </c>
      <c r="I115" s="39"/>
      <c r="J115" s="39"/>
      <c r="K115" s="39"/>
      <c r="L115" s="39"/>
      <c r="M115" s="39"/>
      <c r="N115" s="39"/>
      <c r="O115" s="39"/>
      <c r="P115" s="39"/>
      <c r="Q115" s="39"/>
      <c r="R115" s="39"/>
      <c r="S115" s="39"/>
      <c r="T115" s="39"/>
      <c r="U115" s="39"/>
      <c r="V115" s="39"/>
      <c r="W115" s="39"/>
      <c r="X115" s="39"/>
      <c r="Y115" s="39"/>
      <c r="Z115" s="39"/>
      <c r="AA115" s="39"/>
      <c r="AB115" s="39"/>
      <c r="AC115" s="35">
        <f t="shared" si="38"/>
        <v>0</v>
      </c>
      <c r="AD115" s="40"/>
      <c r="AE115" s="40"/>
      <c r="AF115" s="40"/>
      <c r="AG115" s="40"/>
      <c r="AH115" s="40"/>
      <c r="AI115" s="40"/>
      <c r="AJ115" s="40"/>
      <c r="AK115" s="40"/>
      <c r="AL115" s="40"/>
      <c r="AM115" s="40"/>
      <c r="AN115" s="40"/>
      <c r="AO115" s="40"/>
      <c r="AP115" s="40"/>
      <c r="AQ115" s="40"/>
      <c r="AR115" s="40"/>
      <c r="AS115" s="40"/>
      <c r="AT115" s="41"/>
      <c r="AU115" s="1806"/>
      <c r="AV115" s="1517">
        <f t="shared" si="62"/>
        <v>0</v>
      </c>
      <c r="AW115" s="1517">
        <f t="shared" si="63"/>
        <v>0</v>
      </c>
      <c r="AX115" s="1517">
        <f t="shared" si="64"/>
        <v>0</v>
      </c>
      <c r="AY115" s="42">
        <f t="shared" si="39"/>
        <v>0</v>
      </c>
      <c r="AZ115" s="35">
        <f t="shared" si="40"/>
        <v>0</v>
      </c>
      <c r="BA115" s="35">
        <f t="shared" si="41"/>
        <v>0</v>
      </c>
      <c r="BB115" s="35">
        <f t="shared" si="42"/>
        <v>0</v>
      </c>
      <c r="BC115" s="35">
        <f t="shared" si="43"/>
        <v>0</v>
      </c>
      <c r="BD115" s="35">
        <f t="shared" si="44"/>
        <v>0</v>
      </c>
      <c r="BE115" s="35">
        <f t="shared" si="45"/>
        <v>0</v>
      </c>
      <c r="BF115" s="35">
        <f t="shared" si="46"/>
        <v>0</v>
      </c>
      <c r="BG115" s="35">
        <f t="shared" si="47"/>
        <v>0</v>
      </c>
      <c r="BH115" s="35">
        <f t="shared" si="48"/>
        <v>0</v>
      </c>
      <c r="BI115" s="35">
        <f t="shared" si="49"/>
        <v>0</v>
      </c>
      <c r="BJ115" s="35">
        <f t="shared" si="50"/>
        <v>0</v>
      </c>
      <c r="BK115" s="35">
        <f t="shared" si="51"/>
        <v>0</v>
      </c>
      <c r="BL115" s="35">
        <f t="shared" si="52"/>
        <v>0</v>
      </c>
      <c r="BM115" s="35">
        <f t="shared" si="53"/>
        <v>0</v>
      </c>
      <c r="BN115" s="35">
        <f t="shared" si="54"/>
        <v>0</v>
      </c>
      <c r="BO115" s="35">
        <f t="shared" si="55"/>
        <v>0</v>
      </c>
      <c r="BP115" s="35">
        <f t="shared" si="56"/>
        <v>0</v>
      </c>
      <c r="BQ115" s="35">
        <f t="shared" si="57"/>
        <v>0</v>
      </c>
      <c r="BR115" s="35">
        <f t="shared" si="58"/>
        <v>0</v>
      </c>
      <c r="BS115" s="35">
        <f t="shared" si="59"/>
        <v>0</v>
      </c>
      <c r="BT115" s="43">
        <f t="shared" si="60"/>
        <v>0</v>
      </c>
    </row>
    <row r="116" spans="1:72">
      <c r="A116" s="9"/>
      <c r="B116" s="34"/>
      <c r="C116" s="34"/>
      <c r="D116" s="1805"/>
      <c r="E116" s="35">
        <f t="shared" si="61"/>
        <v>0</v>
      </c>
      <c r="F116" s="36"/>
      <c r="G116" s="37">
        <f t="shared" si="36"/>
        <v>0</v>
      </c>
      <c r="H116" s="38">
        <f t="shared" si="37"/>
        <v>0</v>
      </c>
      <c r="I116" s="39"/>
      <c r="J116" s="39"/>
      <c r="K116" s="39"/>
      <c r="L116" s="39"/>
      <c r="M116" s="39"/>
      <c r="N116" s="39"/>
      <c r="O116" s="39"/>
      <c r="P116" s="39"/>
      <c r="Q116" s="39"/>
      <c r="R116" s="39"/>
      <c r="S116" s="39"/>
      <c r="T116" s="39"/>
      <c r="U116" s="39"/>
      <c r="V116" s="39"/>
      <c r="W116" s="39"/>
      <c r="X116" s="39"/>
      <c r="Y116" s="39"/>
      <c r="Z116" s="39"/>
      <c r="AA116" s="39"/>
      <c r="AB116" s="39"/>
      <c r="AC116" s="35">
        <f t="shared" si="38"/>
        <v>0</v>
      </c>
      <c r="AD116" s="40"/>
      <c r="AE116" s="40"/>
      <c r="AF116" s="40"/>
      <c r="AG116" s="40"/>
      <c r="AH116" s="40"/>
      <c r="AI116" s="40"/>
      <c r="AJ116" s="40"/>
      <c r="AK116" s="40"/>
      <c r="AL116" s="40"/>
      <c r="AM116" s="40"/>
      <c r="AN116" s="40"/>
      <c r="AO116" s="40"/>
      <c r="AP116" s="40"/>
      <c r="AQ116" s="40"/>
      <c r="AR116" s="40"/>
      <c r="AS116" s="40"/>
      <c r="AT116" s="41"/>
      <c r="AU116" s="1806"/>
      <c r="AV116" s="1517">
        <f t="shared" si="62"/>
        <v>0</v>
      </c>
      <c r="AW116" s="1517">
        <f t="shared" si="63"/>
        <v>0</v>
      </c>
      <c r="AX116" s="1517">
        <f t="shared" si="64"/>
        <v>0</v>
      </c>
      <c r="AY116" s="42">
        <f t="shared" si="39"/>
        <v>0</v>
      </c>
      <c r="AZ116" s="35">
        <f t="shared" si="40"/>
        <v>0</v>
      </c>
      <c r="BA116" s="35">
        <f t="shared" si="41"/>
        <v>0</v>
      </c>
      <c r="BB116" s="35">
        <f t="shared" si="42"/>
        <v>0</v>
      </c>
      <c r="BC116" s="35">
        <f t="shared" si="43"/>
        <v>0</v>
      </c>
      <c r="BD116" s="35">
        <f t="shared" si="44"/>
        <v>0</v>
      </c>
      <c r="BE116" s="35">
        <f t="shared" si="45"/>
        <v>0</v>
      </c>
      <c r="BF116" s="35">
        <f t="shared" si="46"/>
        <v>0</v>
      </c>
      <c r="BG116" s="35">
        <f t="shared" si="47"/>
        <v>0</v>
      </c>
      <c r="BH116" s="35">
        <f t="shared" si="48"/>
        <v>0</v>
      </c>
      <c r="BI116" s="35">
        <f t="shared" si="49"/>
        <v>0</v>
      </c>
      <c r="BJ116" s="35">
        <f t="shared" si="50"/>
        <v>0</v>
      </c>
      <c r="BK116" s="35">
        <f t="shared" si="51"/>
        <v>0</v>
      </c>
      <c r="BL116" s="35">
        <f t="shared" si="52"/>
        <v>0</v>
      </c>
      <c r="BM116" s="35">
        <f t="shared" si="53"/>
        <v>0</v>
      </c>
      <c r="BN116" s="35">
        <f t="shared" si="54"/>
        <v>0</v>
      </c>
      <c r="BO116" s="35">
        <f t="shared" si="55"/>
        <v>0</v>
      </c>
      <c r="BP116" s="35">
        <f t="shared" si="56"/>
        <v>0</v>
      </c>
      <c r="BQ116" s="35">
        <f t="shared" si="57"/>
        <v>0</v>
      </c>
      <c r="BR116" s="35">
        <f t="shared" si="58"/>
        <v>0</v>
      </c>
      <c r="BS116" s="35">
        <f t="shared" si="59"/>
        <v>0</v>
      </c>
      <c r="BT116" s="43">
        <f t="shared" si="60"/>
        <v>0</v>
      </c>
    </row>
    <row r="117" spans="1:72">
      <c r="A117" s="9"/>
      <c r="B117" s="34"/>
      <c r="C117" s="34"/>
      <c r="D117" s="1805"/>
      <c r="E117" s="35">
        <f t="shared" si="61"/>
        <v>0</v>
      </c>
      <c r="F117" s="36"/>
      <c r="G117" s="37">
        <f t="shared" si="36"/>
        <v>0</v>
      </c>
      <c r="H117" s="38">
        <f t="shared" si="37"/>
        <v>0</v>
      </c>
      <c r="I117" s="39"/>
      <c r="J117" s="39"/>
      <c r="K117" s="39"/>
      <c r="L117" s="39"/>
      <c r="M117" s="39"/>
      <c r="N117" s="39"/>
      <c r="O117" s="39"/>
      <c r="P117" s="39"/>
      <c r="Q117" s="39"/>
      <c r="R117" s="39"/>
      <c r="S117" s="39"/>
      <c r="T117" s="39"/>
      <c r="U117" s="39"/>
      <c r="V117" s="39"/>
      <c r="W117" s="39"/>
      <c r="X117" s="39"/>
      <c r="Y117" s="39"/>
      <c r="Z117" s="39"/>
      <c r="AA117" s="39"/>
      <c r="AB117" s="39"/>
      <c r="AC117" s="35">
        <f t="shared" si="38"/>
        <v>0</v>
      </c>
      <c r="AD117" s="40"/>
      <c r="AE117" s="40"/>
      <c r="AF117" s="40"/>
      <c r="AG117" s="40"/>
      <c r="AH117" s="40"/>
      <c r="AI117" s="40"/>
      <c r="AJ117" s="40"/>
      <c r="AK117" s="40"/>
      <c r="AL117" s="40"/>
      <c r="AM117" s="40"/>
      <c r="AN117" s="40"/>
      <c r="AO117" s="40"/>
      <c r="AP117" s="40"/>
      <c r="AQ117" s="40"/>
      <c r="AR117" s="40"/>
      <c r="AS117" s="40"/>
      <c r="AT117" s="41"/>
      <c r="AU117" s="1806"/>
      <c r="AV117" s="1517">
        <f t="shared" si="62"/>
        <v>0</v>
      </c>
      <c r="AW117" s="1517">
        <f t="shared" si="63"/>
        <v>0</v>
      </c>
      <c r="AX117" s="1517">
        <f t="shared" si="64"/>
        <v>0</v>
      </c>
      <c r="AY117" s="42">
        <f t="shared" si="39"/>
        <v>0</v>
      </c>
      <c r="AZ117" s="35">
        <f t="shared" si="40"/>
        <v>0</v>
      </c>
      <c r="BA117" s="35">
        <f t="shared" si="41"/>
        <v>0</v>
      </c>
      <c r="BB117" s="35">
        <f t="shared" si="42"/>
        <v>0</v>
      </c>
      <c r="BC117" s="35">
        <f t="shared" si="43"/>
        <v>0</v>
      </c>
      <c r="BD117" s="35">
        <f t="shared" si="44"/>
        <v>0</v>
      </c>
      <c r="BE117" s="35">
        <f t="shared" si="45"/>
        <v>0</v>
      </c>
      <c r="BF117" s="35">
        <f t="shared" si="46"/>
        <v>0</v>
      </c>
      <c r="BG117" s="35">
        <f t="shared" si="47"/>
        <v>0</v>
      </c>
      <c r="BH117" s="35">
        <f t="shared" si="48"/>
        <v>0</v>
      </c>
      <c r="BI117" s="35">
        <f t="shared" si="49"/>
        <v>0</v>
      </c>
      <c r="BJ117" s="35">
        <f t="shared" si="50"/>
        <v>0</v>
      </c>
      <c r="BK117" s="35">
        <f t="shared" si="51"/>
        <v>0</v>
      </c>
      <c r="BL117" s="35">
        <f t="shared" si="52"/>
        <v>0</v>
      </c>
      <c r="BM117" s="35">
        <f t="shared" si="53"/>
        <v>0</v>
      </c>
      <c r="BN117" s="35">
        <f t="shared" si="54"/>
        <v>0</v>
      </c>
      <c r="BO117" s="35">
        <f t="shared" si="55"/>
        <v>0</v>
      </c>
      <c r="BP117" s="35">
        <f t="shared" si="56"/>
        <v>0</v>
      </c>
      <c r="BQ117" s="35">
        <f t="shared" si="57"/>
        <v>0</v>
      </c>
      <c r="BR117" s="35">
        <f t="shared" si="58"/>
        <v>0</v>
      </c>
      <c r="BS117" s="35">
        <f t="shared" si="59"/>
        <v>0</v>
      </c>
      <c r="BT117" s="43">
        <f t="shared" si="60"/>
        <v>0</v>
      </c>
    </row>
    <row r="118" spans="1:72">
      <c r="A118" s="9"/>
      <c r="B118" s="34"/>
      <c r="C118" s="34"/>
      <c r="D118" s="1805"/>
      <c r="E118" s="35">
        <f t="shared" si="61"/>
        <v>0</v>
      </c>
      <c r="F118" s="36"/>
      <c r="G118" s="37">
        <f t="shared" si="36"/>
        <v>0</v>
      </c>
      <c r="H118" s="38">
        <f t="shared" si="37"/>
        <v>0</v>
      </c>
      <c r="I118" s="39"/>
      <c r="J118" s="39"/>
      <c r="K118" s="39"/>
      <c r="L118" s="39"/>
      <c r="M118" s="39"/>
      <c r="N118" s="39"/>
      <c r="O118" s="39"/>
      <c r="P118" s="39"/>
      <c r="Q118" s="39"/>
      <c r="R118" s="39"/>
      <c r="S118" s="39"/>
      <c r="T118" s="39"/>
      <c r="U118" s="39"/>
      <c r="V118" s="39"/>
      <c r="W118" s="39"/>
      <c r="X118" s="39"/>
      <c r="Y118" s="39"/>
      <c r="Z118" s="39"/>
      <c r="AA118" s="39"/>
      <c r="AB118" s="39"/>
      <c r="AC118" s="35">
        <f t="shared" si="38"/>
        <v>0</v>
      </c>
      <c r="AD118" s="40"/>
      <c r="AE118" s="40"/>
      <c r="AF118" s="40"/>
      <c r="AG118" s="40"/>
      <c r="AH118" s="40"/>
      <c r="AI118" s="40"/>
      <c r="AJ118" s="40"/>
      <c r="AK118" s="40"/>
      <c r="AL118" s="40"/>
      <c r="AM118" s="40"/>
      <c r="AN118" s="40"/>
      <c r="AO118" s="40"/>
      <c r="AP118" s="40"/>
      <c r="AQ118" s="40"/>
      <c r="AR118" s="40"/>
      <c r="AS118" s="40"/>
      <c r="AT118" s="41"/>
      <c r="AU118" s="1806"/>
      <c r="AV118" s="1517">
        <f t="shared" si="62"/>
        <v>0</v>
      </c>
      <c r="AW118" s="1517">
        <f t="shared" si="63"/>
        <v>0</v>
      </c>
      <c r="AX118" s="1517">
        <f t="shared" si="64"/>
        <v>0</v>
      </c>
      <c r="AY118" s="42">
        <f t="shared" si="39"/>
        <v>0</v>
      </c>
      <c r="AZ118" s="35">
        <f t="shared" si="40"/>
        <v>0</v>
      </c>
      <c r="BA118" s="35">
        <f t="shared" si="41"/>
        <v>0</v>
      </c>
      <c r="BB118" s="35">
        <f t="shared" si="42"/>
        <v>0</v>
      </c>
      <c r="BC118" s="35">
        <f t="shared" si="43"/>
        <v>0</v>
      </c>
      <c r="BD118" s="35">
        <f t="shared" si="44"/>
        <v>0</v>
      </c>
      <c r="BE118" s="35">
        <f t="shared" si="45"/>
        <v>0</v>
      </c>
      <c r="BF118" s="35">
        <f t="shared" si="46"/>
        <v>0</v>
      </c>
      <c r="BG118" s="35">
        <f t="shared" si="47"/>
        <v>0</v>
      </c>
      <c r="BH118" s="35">
        <f t="shared" si="48"/>
        <v>0</v>
      </c>
      <c r="BI118" s="35">
        <f t="shared" si="49"/>
        <v>0</v>
      </c>
      <c r="BJ118" s="35">
        <f t="shared" si="50"/>
        <v>0</v>
      </c>
      <c r="BK118" s="35">
        <f t="shared" si="51"/>
        <v>0</v>
      </c>
      <c r="BL118" s="35">
        <f t="shared" si="52"/>
        <v>0</v>
      </c>
      <c r="BM118" s="35">
        <f t="shared" si="53"/>
        <v>0</v>
      </c>
      <c r="BN118" s="35">
        <f t="shared" si="54"/>
        <v>0</v>
      </c>
      <c r="BO118" s="35">
        <f t="shared" si="55"/>
        <v>0</v>
      </c>
      <c r="BP118" s="35">
        <f t="shared" si="56"/>
        <v>0</v>
      </c>
      <c r="BQ118" s="35">
        <f t="shared" si="57"/>
        <v>0</v>
      </c>
      <c r="BR118" s="35">
        <f t="shared" si="58"/>
        <v>0</v>
      </c>
      <c r="BS118" s="35">
        <f t="shared" si="59"/>
        <v>0</v>
      </c>
      <c r="BT118" s="43">
        <f t="shared" si="60"/>
        <v>0</v>
      </c>
    </row>
    <row r="119" spans="1:72">
      <c r="A119" s="9"/>
      <c r="B119" s="34"/>
      <c r="C119" s="34"/>
      <c r="D119" s="1805"/>
      <c r="E119" s="35">
        <f t="shared" si="61"/>
        <v>0</v>
      </c>
      <c r="F119" s="36"/>
      <c r="G119" s="37">
        <f t="shared" si="36"/>
        <v>0</v>
      </c>
      <c r="H119" s="38">
        <f t="shared" si="37"/>
        <v>0</v>
      </c>
      <c r="I119" s="39"/>
      <c r="J119" s="39"/>
      <c r="K119" s="39"/>
      <c r="L119" s="39"/>
      <c r="M119" s="39"/>
      <c r="N119" s="39"/>
      <c r="O119" s="39"/>
      <c r="P119" s="39"/>
      <c r="Q119" s="39"/>
      <c r="R119" s="39"/>
      <c r="S119" s="39"/>
      <c r="T119" s="39"/>
      <c r="U119" s="39"/>
      <c r="V119" s="39"/>
      <c r="W119" s="39"/>
      <c r="X119" s="39"/>
      <c r="Y119" s="39"/>
      <c r="Z119" s="39"/>
      <c r="AA119" s="39"/>
      <c r="AB119" s="39"/>
      <c r="AC119" s="35">
        <f t="shared" si="38"/>
        <v>0</v>
      </c>
      <c r="AD119" s="40"/>
      <c r="AE119" s="40"/>
      <c r="AF119" s="40"/>
      <c r="AG119" s="40"/>
      <c r="AH119" s="40"/>
      <c r="AI119" s="40"/>
      <c r="AJ119" s="40"/>
      <c r="AK119" s="40"/>
      <c r="AL119" s="40"/>
      <c r="AM119" s="40"/>
      <c r="AN119" s="40"/>
      <c r="AO119" s="40"/>
      <c r="AP119" s="40"/>
      <c r="AQ119" s="40"/>
      <c r="AR119" s="40"/>
      <c r="AS119" s="40"/>
      <c r="AT119" s="41"/>
      <c r="AU119" s="1806"/>
      <c r="AV119" s="1517">
        <f t="shared" si="62"/>
        <v>0</v>
      </c>
      <c r="AW119" s="1517">
        <f t="shared" si="63"/>
        <v>0</v>
      </c>
      <c r="AX119" s="1517">
        <f t="shared" si="64"/>
        <v>0</v>
      </c>
      <c r="AY119" s="42">
        <f t="shared" si="39"/>
        <v>0</v>
      </c>
      <c r="AZ119" s="35">
        <f t="shared" si="40"/>
        <v>0</v>
      </c>
      <c r="BA119" s="35">
        <f t="shared" si="41"/>
        <v>0</v>
      </c>
      <c r="BB119" s="35">
        <f t="shared" si="42"/>
        <v>0</v>
      </c>
      <c r="BC119" s="35">
        <f t="shared" si="43"/>
        <v>0</v>
      </c>
      <c r="BD119" s="35">
        <f t="shared" si="44"/>
        <v>0</v>
      </c>
      <c r="BE119" s="35">
        <f t="shared" si="45"/>
        <v>0</v>
      </c>
      <c r="BF119" s="35">
        <f t="shared" si="46"/>
        <v>0</v>
      </c>
      <c r="BG119" s="35">
        <f t="shared" si="47"/>
        <v>0</v>
      </c>
      <c r="BH119" s="35">
        <f t="shared" si="48"/>
        <v>0</v>
      </c>
      <c r="BI119" s="35">
        <f t="shared" si="49"/>
        <v>0</v>
      </c>
      <c r="BJ119" s="35">
        <f t="shared" si="50"/>
        <v>0</v>
      </c>
      <c r="BK119" s="35">
        <f t="shared" si="51"/>
        <v>0</v>
      </c>
      <c r="BL119" s="35">
        <f t="shared" si="52"/>
        <v>0</v>
      </c>
      <c r="BM119" s="35">
        <f t="shared" si="53"/>
        <v>0</v>
      </c>
      <c r="BN119" s="35">
        <f t="shared" si="54"/>
        <v>0</v>
      </c>
      <c r="BO119" s="35">
        <f t="shared" si="55"/>
        <v>0</v>
      </c>
      <c r="BP119" s="35">
        <f t="shared" si="56"/>
        <v>0</v>
      </c>
      <c r="BQ119" s="35">
        <f t="shared" si="57"/>
        <v>0</v>
      </c>
      <c r="BR119" s="35">
        <f t="shared" si="58"/>
        <v>0</v>
      </c>
      <c r="BS119" s="35">
        <f t="shared" si="59"/>
        <v>0</v>
      </c>
      <c r="BT119" s="43">
        <f t="shared" si="60"/>
        <v>0</v>
      </c>
    </row>
    <row r="120" spans="1:72">
      <c r="A120" s="9"/>
      <c r="B120" s="34"/>
      <c r="C120" s="34"/>
      <c r="D120" s="1805"/>
      <c r="E120" s="35">
        <f t="shared" si="61"/>
        <v>0</v>
      </c>
      <c r="F120" s="36"/>
      <c r="G120" s="37">
        <f t="shared" si="36"/>
        <v>0</v>
      </c>
      <c r="H120" s="38">
        <f t="shared" si="37"/>
        <v>0</v>
      </c>
      <c r="I120" s="39"/>
      <c r="J120" s="39"/>
      <c r="K120" s="39"/>
      <c r="L120" s="39"/>
      <c r="M120" s="39"/>
      <c r="N120" s="39"/>
      <c r="O120" s="39"/>
      <c r="P120" s="39"/>
      <c r="Q120" s="39"/>
      <c r="R120" s="39"/>
      <c r="S120" s="39"/>
      <c r="T120" s="39"/>
      <c r="U120" s="39"/>
      <c r="V120" s="39"/>
      <c r="W120" s="39"/>
      <c r="X120" s="39"/>
      <c r="Y120" s="39"/>
      <c r="Z120" s="39"/>
      <c r="AA120" s="39"/>
      <c r="AB120" s="39"/>
      <c r="AC120" s="35">
        <f t="shared" si="38"/>
        <v>0</v>
      </c>
      <c r="AD120" s="40"/>
      <c r="AE120" s="40"/>
      <c r="AF120" s="40"/>
      <c r="AG120" s="40"/>
      <c r="AH120" s="40"/>
      <c r="AI120" s="40"/>
      <c r="AJ120" s="40"/>
      <c r="AK120" s="40"/>
      <c r="AL120" s="40"/>
      <c r="AM120" s="40"/>
      <c r="AN120" s="40"/>
      <c r="AO120" s="40"/>
      <c r="AP120" s="40"/>
      <c r="AQ120" s="40"/>
      <c r="AR120" s="40"/>
      <c r="AS120" s="40"/>
      <c r="AT120" s="41"/>
      <c r="AU120" s="1806"/>
      <c r="AV120" s="1517">
        <f t="shared" si="62"/>
        <v>0</v>
      </c>
      <c r="AW120" s="1517">
        <f t="shared" si="63"/>
        <v>0</v>
      </c>
      <c r="AX120" s="1517">
        <f t="shared" si="64"/>
        <v>0</v>
      </c>
      <c r="AY120" s="42">
        <f t="shared" si="39"/>
        <v>0</v>
      </c>
      <c r="AZ120" s="35">
        <f t="shared" si="40"/>
        <v>0</v>
      </c>
      <c r="BA120" s="35">
        <f t="shared" si="41"/>
        <v>0</v>
      </c>
      <c r="BB120" s="35">
        <f t="shared" si="42"/>
        <v>0</v>
      </c>
      <c r="BC120" s="35">
        <f t="shared" si="43"/>
        <v>0</v>
      </c>
      <c r="BD120" s="35">
        <f t="shared" si="44"/>
        <v>0</v>
      </c>
      <c r="BE120" s="35">
        <f t="shared" si="45"/>
        <v>0</v>
      </c>
      <c r="BF120" s="35">
        <f t="shared" si="46"/>
        <v>0</v>
      </c>
      <c r="BG120" s="35">
        <f t="shared" si="47"/>
        <v>0</v>
      </c>
      <c r="BH120" s="35">
        <f t="shared" si="48"/>
        <v>0</v>
      </c>
      <c r="BI120" s="35">
        <f t="shared" si="49"/>
        <v>0</v>
      </c>
      <c r="BJ120" s="35">
        <f t="shared" si="50"/>
        <v>0</v>
      </c>
      <c r="BK120" s="35">
        <f t="shared" si="51"/>
        <v>0</v>
      </c>
      <c r="BL120" s="35">
        <f t="shared" si="52"/>
        <v>0</v>
      </c>
      <c r="BM120" s="35">
        <f t="shared" si="53"/>
        <v>0</v>
      </c>
      <c r="BN120" s="35">
        <f t="shared" si="54"/>
        <v>0</v>
      </c>
      <c r="BO120" s="35">
        <f t="shared" si="55"/>
        <v>0</v>
      </c>
      <c r="BP120" s="35">
        <f t="shared" si="56"/>
        <v>0</v>
      </c>
      <c r="BQ120" s="35">
        <f t="shared" si="57"/>
        <v>0</v>
      </c>
      <c r="BR120" s="35">
        <f t="shared" si="58"/>
        <v>0</v>
      </c>
      <c r="BS120" s="35">
        <f t="shared" si="59"/>
        <v>0</v>
      </c>
      <c r="BT120" s="43">
        <f t="shared" si="60"/>
        <v>0</v>
      </c>
    </row>
    <row r="121" spans="1:72">
      <c r="A121" s="9"/>
      <c r="B121" s="34"/>
      <c r="C121" s="34"/>
      <c r="D121" s="1805"/>
      <c r="E121" s="35">
        <f t="shared" si="61"/>
        <v>0</v>
      </c>
      <c r="F121" s="36"/>
      <c r="G121" s="37">
        <f t="shared" si="36"/>
        <v>0</v>
      </c>
      <c r="H121" s="38">
        <f t="shared" si="37"/>
        <v>0</v>
      </c>
      <c r="I121" s="39"/>
      <c r="J121" s="39"/>
      <c r="K121" s="39"/>
      <c r="L121" s="39"/>
      <c r="M121" s="39"/>
      <c r="N121" s="39"/>
      <c r="O121" s="39"/>
      <c r="P121" s="39"/>
      <c r="Q121" s="39"/>
      <c r="R121" s="39"/>
      <c r="S121" s="39"/>
      <c r="T121" s="39"/>
      <c r="U121" s="39"/>
      <c r="V121" s="39"/>
      <c r="W121" s="39"/>
      <c r="X121" s="39"/>
      <c r="Y121" s="39"/>
      <c r="Z121" s="39"/>
      <c r="AA121" s="39"/>
      <c r="AB121" s="39"/>
      <c r="AC121" s="35">
        <f t="shared" si="38"/>
        <v>0</v>
      </c>
      <c r="AD121" s="40"/>
      <c r="AE121" s="40"/>
      <c r="AF121" s="40"/>
      <c r="AG121" s="40"/>
      <c r="AH121" s="40"/>
      <c r="AI121" s="40"/>
      <c r="AJ121" s="40"/>
      <c r="AK121" s="40"/>
      <c r="AL121" s="40"/>
      <c r="AM121" s="40"/>
      <c r="AN121" s="40"/>
      <c r="AO121" s="40"/>
      <c r="AP121" s="40"/>
      <c r="AQ121" s="40"/>
      <c r="AR121" s="40"/>
      <c r="AS121" s="40"/>
      <c r="AT121" s="41"/>
      <c r="AU121" s="1806"/>
      <c r="AV121" s="1517">
        <f t="shared" si="62"/>
        <v>0</v>
      </c>
      <c r="AW121" s="1517">
        <f t="shared" si="63"/>
        <v>0</v>
      </c>
      <c r="AX121" s="1517">
        <f t="shared" si="64"/>
        <v>0</v>
      </c>
      <c r="AY121" s="42">
        <f t="shared" si="39"/>
        <v>0</v>
      </c>
      <c r="AZ121" s="35">
        <f t="shared" si="40"/>
        <v>0</v>
      </c>
      <c r="BA121" s="35">
        <f t="shared" si="41"/>
        <v>0</v>
      </c>
      <c r="BB121" s="35">
        <f t="shared" si="42"/>
        <v>0</v>
      </c>
      <c r="BC121" s="35">
        <f t="shared" si="43"/>
        <v>0</v>
      </c>
      <c r="BD121" s="35">
        <f t="shared" si="44"/>
        <v>0</v>
      </c>
      <c r="BE121" s="35">
        <f t="shared" si="45"/>
        <v>0</v>
      </c>
      <c r="BF121" s="35">
        <f t="shared" si="46"/>
        <v>0</v>
      </c>
      <c r="BG121" s="35">
        <f t="shared" si="47"/>
        <v>0</v>
      </c>
      <c r="BH121" s="35">
        <f t="shared" si="48"/>
        <v>0</v>
      </c>
      <c r="BI121" s="35">
        <f t="shared" si="49"/>
        <v>0</v>
      </c>
      <c r="BJ121" s="35">
        <f t="shared" si="50"/>
        <v>0</v>
      </c>
      <c r="BK121" s="35">
        <f t="shared" si="51"/>
        <v>0</v>
      </c>
      <c r="BL121" s="35">
        <f t="shared" si="52"/>
        <v>0</v>
      </c>
      <c r="BM121" s="35">
        <f t="shared" si="53"/>
        <v>0</v>
      </c>
      <c r="BN121" s="35">
        <f t="shared" si="54"/>
        <v>0</v>
      </c>
      <c r="BO121" s="35">
        <f t="shared" si="55"/>
        <v>0</v>
      </c>
      <c r="BP121" s="35">
        <f t="shared" si="56"/>
        <v>0</v>
      </c>
      <c r="BQ121" s="35">
        <f t="shared" si="57"/>
        <v>0</v>
      </c>
      <c r="BR121" s="35">
        <f t="shared" si="58"/>
        <v>0</v>
      </c>
      <c r="BS121" s="35">
        <f t="shared" si="59"/>
        <v>0</v>
      </c>
      <c r="BT121" s="43">
        <f t="shared" si="60"/>
        <v>0</v>
      </c>
    </row>
    <row r="122" spans="1:72">
      <c r="A122" s="9"/>
      <c r="B122" s="34"/>
      <c r="C122" s="34"/>
      <c r="D122" s="1805"/>
      <c r="E122" s="35">
        <f t="shared" si="61"/>
        <v>0</v>
      </c>
      <c r="F122" s="36"/>
      <c r="G122" s="37">
        <f t="shared" si="36"/>
        <v>0</v>
      </c>
      <c r="H122" s="38">
        <f t="shared" si="37"/>
        <v>0</v>
      </c>
      <c r="I122" s="39"/>
      <c r="J122" s="39"/>
      <c r="K122" s="39"/>
      <c r="L122" s="39"/>
      <c r="M122" s="39"/>
      <c r="N122" s="39"/>
      <c r="O122" s="39"/>
      <c r="P122" s="39"/>
      <c r="Q122" s="39"/>
      <c r="R122" s="39"/>
      <c r="S122" s="39"/>
      <c r="T122" s="39"/>
      <c r="U122" s="39"/>
      <c r="V122" s="39"/>
      <c r="W122" s="39"/>
      <c r="X122" s="39"/>
      <c r="Y122" s="39"/>
      <c r="Z122" s="39"/>
      <c r="AA122" s="39"/>
      <c r="AB122" s="39"/>
      <c r="AC122" s="35">
        <f t="shared" si="38"/>
        <v>0</v>
      </c>
      <c r="AD122" s="40"/>
      <c r="AE122" s="40"/>
      <c r="AF122" s="40"/>
      <c r="AG122" s="40"/>
      <c r="AH122" s="40"/>
      <c r="AI122" s="40"/>
      <c r="AJ122" s="40"/>
      <c r="AK122" s="40"/>
      <c r="AL122" s="40"/>
      <c r="AM122" s="40"/>
      <c r="AN122" s="40"/>
      <c r="AO122" s="40"/>
      <c r="AP122" s="40"/>
      <c r="AQ122" s="40"/>
      <c r="AR122" s="40"/>
      <c r="AS122" s="40"/>
      <c r="AT122" s="41"/>
      <c r="AU122" s="1806"/>
      <c r="AV122" s="1517">
        <f t="shared" si="62"/>
        <v>0</v>
      </c>
      <c r="AW122" s="1517">
        <f t="shared" si="63"/>
        <v>0</v>
      </c>
      <c r="AX122" s="1517">
        <f t="shared" si="64"/>
        <v>0</v>
      </c>
      <c r="AY122" s="42">
        <f t="shared" si="39"/>
        <v>0</v>
      </c>
      <c r="AZ122" s="35">
        <f t="shared" si="40"/>
        <v>0</v>
      </c>
      <c r="BA122" s="35">
        <f t="shared" si="41"/>
        <v>0</v>
      </c>
      <c r="BB122" s="35">
        <f t="shared" si="42"/>
        <v>0</v>
      </c>
      <c r="BC122" s="35">
        <f t="shared" si="43"/>
        <v>0</v>
      </c>
      <c r="BD122" s="35">
        <f t="shared" si="44"/>
        <v>0</v>
      </c>
      <c r="BE122" s="35">
        <f t="shared" si="45"/>
        <v>0</v>
      </c>
      <c r="BF122" s="35">
        <f t="shared" si="46"/>
        <v>0</v>
      </c>
      <c r="BG122" s="35">
        <f t="shared" si="47"/>
        <v>0</v>
      </c>
      <c r="BH122" s="35">
        <f t="shared" si="48"/>
        <v>0</v>
      </c>
      <c r="BI122" s="35">
        <f t="shared" si="49"/>
        <v>0</v>
      </c>
      <c r="BJ122" s="35">
        <f t="shared" si="50"/>
        <v>0</v>
      </c>
      <c r="BK122" s="35">
        <f t="shared" si="51"/>
        <v>0</v>
      </c>
      <c r="BL122" s="35">
        <f t="shared" si="52"/>
        <v>0</v>
      </c>
      <c r="BM122" s="35">
        <f t="shared" si="53"/>
        <v>0</v>
      </c>
      <c r="BN122" s="35">
        <f t="shared" si="54"/>
        <v>0</v>
      </c>
      <c r="BO122" s="35">
        <f t="shared" si="55"/>
        <v>0</v>
      </c>
      <c r="BP122" s="35">
        <f t="shared" si="56"/>
        <v>0</v>
      </c>
      <c r="BQ122" s="35">
        <f t="shared" si="57"/>
        <v>0</v>
      </c>
      <c r="BR122" s="35">
        <f t="shared" si="58"/>
        <v>0</v>
      </c>
      <c r="BS122" s="35">
        <f t="shared" si="59"/>
        <v>0</v>
      </c>
      <c r="BT122" s="43">
        <f t="shared" si="60"/>
        <v>0</v>
      </c>
    </row>
    <row r="123" spans="1:72">
      <c r="A123" s="9"/>
      <c r="B123" s="34"/>
      <c r="C123" s="34"/>
      <c r="D123" s="1805"/>
      <c r="E123" s="35">
        <f t="shared" si="61"/>
        <v>0</v>
      </c>
      <c r="F123" s="36"/>
      <c r="G123" s="37">
        <f t="shared" si="36"/>
        <v>0</v>
      </c>
      <c r="H123" s="38">
        <f t="shared" si="37"/>
        <v>0</v>
      </c>
      <c r="I123" s="39"/>
      <c r="J123" s="39"/>
      <c r="K123" s="39"/>
      <c r="L123" s="39"/>
      <c r="M123" s="39"/>
      <c r="N123" s="39"/>
      <c r="O123" s="39"/>
      <c r="P123" s="39"/>
      <c r="Q123" s="39"/>
      <c r="R123" s="39"/>
      <c r="S123" s="39"/>
      <c r="T123" s="39"/>
      <c r="U123" s="39"/>
      <c r="V123" s="39"/>
      <c r="W123" s="39"/>
      <c r="X123" s="39"/>
      <c r="Y123" s="39"/>
      <c r="Z123" s="39"/>
      <c r="AA123" s="39"/>
      <c r="AB123" s="39"/>
      <c r="AC123" s="35">
        <f t="shared" si="38"/>
        <v>0</v>
      </c>
      <c r="AD123" s="40"/>
      <c r="AE123" s="40"/>
      <c r="AF123" s="40"/>
      <c r="AG123" s="40"/>
      <c r="AH123" s="40"/>
      <c r="AI123" s="40"/>
      <c r="AJ123" s="40"/>
      <c r="AK123" s="40"/>
      <c r="AL123" s="40"/>
      <c r="AM123" s="40"/>
      <c r="AN123" s="40"/>
      <c r="AO123" s="40"/>
      <c r="AP123" s="40"/>
      <c r="AQ123" s="40"/>
      <c r="AR123" s="40"/>
      <c r="AS123" s="40"/>
      <c r="AT123" s="41"/>
      <c r="AU123" s="1806"/>
      <c r="AV123" s="1517">
        <f t="shared" si="62"/>
        <v>0</v>
      </c>
      <c r="AW123" s="1517">
        <f t="shared" si="63"/>
        <v>0</v>
      </c>
      <c r="AX123" s="1517">
        <f t="shared" si="64"/>
        <v>0</v>
      </c>
      <c r="AY123" s="42">
        <f t="shared" si="39"/>
        <v>0</v>
      </c>
      <c r="AZ123" s="35">
        <f t="shared" si="40"/>
        <v>0</v>
      </c>
      <c r="BA123" s="35">
        <f t="shared" si="41"/>
        <v>0</v>
      </c>
      <c r="BB123" s="35">
        <f t="shared" si="42"/>
        <v>0</v>
      </c>
      <c r="BC123" s="35">
        <f t="shared" si="43"/>
        <v>0</v>
      </c>
      <c r="BD123" s="35">
        <f t="shared" si="44"/>
        <v>0</v>
      </c>
      <c r="BE123" s="35">
        <f t="shared" si="45"/>
        <v>0</v>
      </c>
      <c r="BF123" s="35">
        <f t="shared" si="46"/>
        <v>0</v>
      </c>
      <c r="BG123" s="35">
        <f t="shared" si="47"/>
        <v>0</v>
      </c>
      <c r="BH123" s="35">
        <f t="shared" si="48"/>
        <v>0</v>
      </c>
      <c r="BI123" s="35">
        <f t="shared" si="49"/>
        <v>0</v>
      </c>
      <c r="BJ123" s="35">
        <f t="shared" si="50"/>
        <v>0</v>
      </c>
      <c r="BK123" s="35">
        <f t="shared" si="51"/>
        <v>0</v>
      </c>
      <c r="BL123" s="35">
        <f t="shared" si="52"/>
        <v>0</v>
      </c>
      <c r="BM123" s="35">
        <f t="shared" si="53"/>
        <v>0</v>
      </c>
      <c r="BN123" s="35">
        <f t="shared" si="54"/>
        <v>0</v>
      </c>
      <c r="BO123" s="35">
        <f t="shared" si="55"/>
        <v>0</v>
      </c>
      <c r="BP123" s="35">
        <f t="shared" si="56"/>
        <v>0</v>
      </c>
      <c r="BQ123" s="35">
        <f t="shared" si="57"/>
        <v>0</v>
      </c>
      <c r="BR123" s="35">
        <f t="shared" si="58"/>
        <v>0</v>
      </c>
      <c r="BS123" s="35">
        <f t="shared" si="59"/>
        <v>0</v>
      </c>
      <c r="BT123" s="43">
        <f t="shared" si="60"/>
        <v>0</v>
      </c>
    </row>
    <row r="124" spans="1:72">
      <c r="A124" s="9"/>
      <c r="B124" s="34"/>
      <c r="C124" s="34"/>
      <c r="D124" s="1805"/>
      <c r="E124" s="35">
        <f t="shared" si="61"/>
        <v>0</v>
      </c>
      <c r="F124" s="36"/>
      <c r="G124" s="37">
        <f t="shared" si="36"/>
        <v>0</v>
      </c>
      <c r="H124" s="38">
        <f t="shared" si="37"/>
        <v>0</v>
      </c>
      <c r="I124" s="39"/>
      <c r="J124" s="39"/>
      <c r="K124" s="39"/>
      <c r="L124" s="39"/>
      <c r="M124" s="39"/>
      <c r="N124" s="39"/>
      <c r="O124" s="39"/>
      <c r="P124" s="39"/>
      <c r="Q124" s="39"/>
      <c r="R124" s="39"/>
      <c r="S124" s="39"/>
      <c r="T124" s="39"/>
      <c r="U124" s="39"/>
      <c r="V124" s="39"/>
      <c r="W124" s="39"/>
      <c r="X124" s="39"/>
      <c r="Y124" s="39"/>
      <c r="Z124" s="39"/>
      <c r="AA124" s="39"/>
      <c r="AB124" s="39"/>
      <c r="AC124" s="35">
        <f t="shared" si="38"/>
        <v>0</v>
      </c>
      <c r="AD124" s="40"/>
      <c r="AE124" s="40"/>
      <c r="AF124" s="40"/>
      <c r="AG124" s="40"/>
      <c r="AH124" s="40"/>
      <c r="AI124" s="40"/>
      <c r="AJ124" s="40"/>
      <c r="AK124" s="40"/>
      <c r="AL124" s="40"/>
      <c r="AM124" s="40"/>
      <c r="AN124" s="40"/>
      <c r="AO124" s="40"/>
      <c r="AP124" s="40"/>
      <c r="AQ124" s="40"/>
      <c r="AR124" s="40"/>
      <c r="AS124" s="40"/>
      <c r="AT124" s="41"/>
      <c r="AU124" s="1806"/>
      <c r="AV124" s="1517">
        <f t="shared" si="62"/>
        <v>0</v>
      </c>
      <c r="AW124" s="1517">
        <f t="shared" si="63"/>
        <v>0</v>
      </c>
      <c r="AX124" s="1517">
        <f t="shared" si="64"/>
        <v>0</v>
      </c>
      <c r="AY124" s="42">
        <f t="shared" si="39"/>
        <v>0</v>
      </c>
      <c r="AZ124" s="35">
        <f t="shared" si="40"/>
        <v>0</v>
      </c>
      <c r="BA124" s="35">
        <f t="shared" si="41"/>
        <v>0</v>
      </c>
      <c r="BB124" s="35">
        <f t="shared" si="42"/>
        <v>0</v>
      </c>
      <c r="BC124" s="35">
        <f t="shared" si="43"/>
        <v>0</v>
      </c>
      <c r="BD124" s="35">
        <f t="shared" si="44"/>
        <v>0</v>
      </c>
      <c r="BE124" s="35">
        <f t="shared" si="45"/>
        <v>0</v>
      </c>
      <c r="BF124" s="35">
        <f t="shared" si="46"/>
        <v>0</v>
      </c>
      <c r="BG124" s="35">
        <f t="shared" si="47"/>
        <v>0</v>
      </c>
      <c r="BH124" s="35">
        <f t="shared" si="48"/>
        <v>0</v>
      </c>
      <c r="BI124" s="35">
        <f t="shared" si="49"/>
        <v>0</v>
      </c>
      <c r="BJ124" s="35">
        <f t="shared" si="50"/>
        <v>0</v>
      </c>
      <c r="BK124" s="35">
        <f t="shared" si="51"/>
        <v>0</v>
      </c>
      <c r="BL124" s="35">
        <f t="shared" si="52"/>
        <v>0</v>
      </c>
      <c r="BM124" s="35">
        <f t="shared" si="53"/>
        <v>0</v>
      </c>
      <c r="BN124" s="35">
        <f t="shared" si="54"/>
        <v>0</v>
      </c>
      <c r="BO124" s="35">
        <f t="shared" si="55"/>
        <v>0</v>
      </c>
      <c r="BP124" s="35">
        <f t="shared" si="56"/>
        <v>0</v>
      </c>
      <c r="BQ124" s="35">
        <f t="shared" si="57"/>
        <v>0</v>
      </c>
      <c r="BR124" s="35">
        <f t="shared" si="58"/>
        <v>0</v>
      </c>
      <c r="BS124" s="35">
        <f t="shared" si="59"/>
        <v>0</v>
      </c>
      <c r="BT124" s="43">
        <f t="shared" si="60"/>
        <v>0</v>
      </c>
    </row>
    <row r="125" spans="1:72">
      <c r="A125" s="9"/>
      <c r="B125" s="34"/>
      <c r="C125" s="34"/>
      <c r="D125" s="1805"/>
      <c r="E125" s="35">
        <f t="shared" si="61"/>
        <v>0</v>
      </c>
      <c r="F125" s="36"/>
      <c r="G125" s="37">
        <f t="shared" si="36"/>
        <v>0</v>
      </c>
      <c r="H125" s="38">
        <f t="shared" si="37"/>
        <v>0</v>
      </c>
      <c r="I125" s="39"/>
      <c r="J125" s="39"/>
      <c r="K125" s="39"/>
      <c r="L125" s="39"/>
      <c r="M125" s="39"/>
      <c r="N125" s="39"/>
      <c r="O125" s="39"/>
      <c r="P125" s="39"/>
      <c r="Q125" s="39"/>
      <c r="R125" s="39"/>
      <c r="S125" s="39"/>
      <c r="T125" s="39"/>
      <c r="U125" s="39"/>
      <c r="V125" s="39"/>
      <c r="W125" s="39"/>
      <c r="X125" s="39"/>
      <c r="Y125" s="39"/>
      <c r="Z125" s="39"/>
      <c r="AA125" s="39"/>
      <c r="AB125" s="39"/>
      <c r="AC125" s="35">
        <f t="shared" si="38"/>
        <v>0</v>
      </c>
      <c r="AD125" s="40"/>
      <c r="AE125" s="40"/>
      <c r="AF125" s="40"/>
      <c r="AG125" s="40"/>
      <c r="AH125" s="40"/>
      <c r="AI125" s="40"/>
      <c r="AJ125" s="40"/>
      <c r="AK125" s="40"/>
      <c r="AL125" s="40"/>
      <c r="AM125" s="40"/>
      <c r="AN125" s="40"/>
      <c r="AO125" s="40"/>
      <c r="AP125" s="40"/>
      <c r="AQ125" s="40"/>
      <c r="AR125" s="40"/>
      <c r="AS125" s="40"/>
      <c r="AT125" s="41"/>
      <c r="AU125" s="1806"/>
      <c r="AV125" s="1517">
        <f t="shared" si="62"/>
        <v>0</v>
      </c>
      <c r="AW125" s="1517">
        <f t="shared" si="63"/>
        <v>0</v>
      </c>
      <c r="AX125" s="1517">
        <f t="shared" si="64"/>
        <v>0</v>
      </c>
      <c r="AY125" s="42">
        <f t="shared" si="39"/>
        <v>0</v>
      </c>
      <c r="AZ125" s="35">
        <f t="shared" si="40"/>
        <v>0</v>
      </c>
      <c r="BA125" s="35">
        <f t="shared" si="41"/>
        <v>0</v>
      </c>
      <c r="BB125" s="35">
        <f t="shared" si="42"/>
        <v>0</v>
      </c>
      <c r="BC125" s="35">
        <f t="shared" si="43"/>
        <v>0</v>
      </c>
      <c r="BD125" s="35">
        <f t="shared" si="44"/>
        <v>0</v>
      </c>
      <c r="BE125" s="35">
        <f t="shared" si="45"/>
        <v>0</v>
      </c>
      <c r="BF125" s="35">
        <f t="shared" si="46"/>
        <v>0</v>
      </c>
      <c r="BG125" s="35">
        <f t="shared" si="47"/>
        <v>0</v>
      </c>
      <c r="BH125" s="35">
        <f t="shared" si="48"/>
        <v>0</v>
      </c>
      <c r="BI125" s="35">
        <f t="shared" si="49"/>
        <v>0</v>
      </c>
      <c r="BJ125" s="35">
        <f t="shared" si="50"/>
        <v>0</v>
      </c>
      <c r="BK125" s="35">
        <f t="shared" si="51"/>
        <v>0</v>
      </c>
      <c r="BL125" s="35">
        <f t="shared" si="52"/>
        <v>0</v>
      </c>
      <c r="BM125" s="35">
        <f t="shared" si="53"/>
        <v>0</v>
      </c>
      <c r="BN125" s="35">
        <f t="shared" si="54"/>
        <v>0</v>
      </c>
      <c r="BO125" s="35">
        <f t="shared" si="55"/>
        <v>0</v>
      </c>
      <c r="BP125" s="35">
        <f t="shared" si="56"/>
        <v>0</v>
      </c>
      <c r="BQ125" s="35">
        <f t="shared" si="57"/>
        <v>0</v>
      </c>
      <c r="BR125" s="35">
        <f t="shared" si="58"/>
        <v>0</v>
      </c>
      <c r="BS125" s="35">
        <f t="shared" si="59"/>
        <v>0</v>
      </c>
      <c r="BT125" s="43">
        <f t="shared" si="60"/>
        <v>0</v>
      </c>
    </row>
    <row r="126" spans="1:72">
      <c r="A126" s="9"/>
      <c r="B126" s="34"/>
      <c r="C126" s="34"/>
      <c r="D126" s="1805"/>
      <c r="E126" s="35">
        <f t="shared" si="61"/>
        <v>0</v>
      </c>
      <c r="F126" s="36"/>
      <c r="G126" s="37">
        <f t="shared" si="36"/>
        <v>0</v>
      </c>
      <c r="H126" s="38">
        <f t="shared" si="37"/>
        <v>0</v>
      </c>
      <c r="I126" s="39"/>
      <c r="J126" s="39"/>
      <c r="K126" s="39"/>
      <c r="L126" s="39"/>
      <c r="M126" s="39"/>
      <c r="N126" s="39"/>
      <c r="O126" s="39"/>
      <c r="P126" s="39"/>
      <c r="Q126" s="39"/>
      <c r="R126" s="39"/>
      <c r="S126" s="39"/>
      <c r="T126" s="39"/>
      <c r="U126" s="39"/>
      <c r="V126" s="39"/>
      <c r="W126" s="39"/>
      <c r="X126" s="39"/>
      <c r="Y126" s="39"/>
      <c r="Z126" s="39"/>
      <c r="AA126" s="39"/>
      <c r="AB126" s="39"/>
      <c r="AC126" s="35">
        <f t="shared" si="38"/>
        <v>0</v>
      </c>
      <c r="AD126" s="40"/>
      <c r="AE126" s="40"/>
      <c r="AF126" s="40"/>
      <c r="AG126" s="40"/>
      <c r="AH126" s="40"/>
      <c r="AI126" s="40"/>
      <c r="AJ126" s="40"/>
      <c r="AK126" s="40"/>
      <c r="AL126" s="40"/>
      <c r="AM126" s="40"/>
      <c r="AN126" s="40"/>
      <c r="AO126" s="40"/>
      <c r="AP126" s="40"/>
      <c r="AQ126" s="40"/>
      <c r="AR126" s="40"/>
      <c r="AS126" s="40"/>
      <c r="AT126" s="41"/>
      <c r="AU126" s="1806"/>
      <c r="AV126" s="1517">
        <f t="shared" si="62"/>
        <v>0</v>
      </c>
      <c r="AW126" s="1517">
        <f t="shared" si="63"/>
        <v>0</v>
      </c>
      <c r="AX126" s="1517">
        <f t="shared" si="64"/>
        <v>0</v>
      </c>
      <c r="AY126" s="42">
        <f t="shared" si="39"/>
        <v>0</v>
      </c>
      <c r="AZ126" s="35">
        <f t="shared" si="40"/>
        <v>0</v>
      </c>
      <c r="BA126" s="35">
        <f t="shared" si="41"/>
        <v>0</v>
      </c>
      <c r="BB126" s="35">
        <f t="shared" si="42"/>
        <v>0</v>
      </c>
      <c r="BC126" s="35">
        <f t="shared" si="43"/>
        <v>0</v>
      </c>
      <c r="BD126" s="35">
        <f t="shared" si="44"/>
        <v>0</v>
      </c>
      <c r="BE126" s="35">
        <f t="shared" si="45"/>
        <v>0</v>
      </c>
      <c r="BF126" s="35">
        <f t="shared" si="46"/>
        <v>0</v>
      </c>
      <c r="BG126" s="35">
        <f t="shared" si="47"/>
        <v>0</v>
      </c>
      <c r="BH126" s="35">
        <f t="shared" si="48"/>
        <v>0</v>
      </c>
      <c r="BI126" s="35">
        <f t="shared" si="49"/>
        <v>0</v>
      </c>
      <c r="BJ126" s="35">
        <f t="shared" si="50"/>
        <v>0</v>
      </c>
      <c r="BK126" s="35">
        <f t="shared" si="51"/>
        <v>0</v>
      </c>
      <c r="BL126" s="35">
        <f t="shared" si="52"/>
        <v>0</v>
      </c>
      <c r="BM126" s="35">
        <f t="shared" si="53"/>
        <v>0</v>
      </c>
      <c r="BN126" s="35">
        <f t="shared" si="54"/>
        <v>0</v>
      </c>
      <c r="BO126" s="35">
        <f t="shared" si="55"/>
        <v>0</v>
      </c>
      <c r="BP126" s="35">
        <f t="shared" si="56"/>
        <v>0</v>
      </c>
      <c r="BQ126" s="35">
        <f t="shared" si="57"/>
        <v>0</v>
      </c>
      <c r="BR126" s="35">
        <f t="shared" si="58"/>
        <v>0</v>
      </c>
      <c r="BS126" s="35">
        <f t="shared" si="59"/>
        <v>0</v>
      </c>
      <c r="BT126" s="43">
        <f t="shared" si="60"/>
        <v>0</v>
      </c>
    </row>
    <row r="127" spans="1:72">
      <c r="A127" s="9"/>
      <c r="B127" s="34"/>
      <c r="C127" s="34"/>
      <c r="D127" s="1805"/>
      <c r="E127" s="35">
        <f t="shared" si="61"/>
        <v>0</v>
      </c>
      <c r="F127" s="36"/>
      <c r="G127" s="37">
        <f t="shared" si="36"/>
        <v>0</v>
      </c>
      <c r="H127" s="38">
        <f t="shared" si="37"/>
        <v>0</v>
      </c>
      <c r="I127" s="39"/>
      <c r="J127" s="39"/>
      <c r="K127" s="39"/>
      <c r="L127" s="39"/>
      <c r="M127" s="39"/>
      <c r="N127" s="39"/>
      <c r="O127" s="39"/>
      <c r="P127" s="39"/>
      <c r="Q127" s="39"/>
      <c r="R127" s="39"/>
      <c r="S127" s="39"/>
      <c r="T127" s="39"/>
      <c r="U127" s="39"/>
      <c r="V127" s="39"/>
      <c r="W127" s="39"/>
      <c r="X127" s="39"/>
      <c r="Y127" s="39"/>
      <c r="Z127" s="39"/>
      <c r="AA127" s="39"/>
      <c r="AB127" s="39"/>
      <c r="AC127" s="35">
        <f t="shared" si="38"/>
        <v>0</v>
      </c>
      <c r="AD127" s="40"/>
      <c r="AE127" s="40"/>
      <c r="AF127" s="40"/>
      <c r="AG127" s="40"/>
      <c r="AH127" s="40"/>
      <c r="AI127" s="40"/>
      <c r="AJ127" s="40"/>
      <c r="AK127" s="40"/>
      <c r="AL127" s="40"/>
      <c r="AM127" s="40"/>
      <c r="AN127" s="40"/>
      <c r="AO127" s="40"/>
      <c r="AP127" s="40"/>
      <c r="AQ127" s="40"/>
      <c r="AR127" s="40"/>
      <c r="AS127" s="40"/>
      <c r="AT127" s="41"/>
      <c r="AU127" s="1806"/>
      <c r="AV127" s="1517">
        <f t="shared" si="62"/>
        <v>0</v>
      </c>
      <c r="AW127" s="1517">
        <f t="shared" si="63"/>
        <v>0</v>
      </c>
      <c r="AX127" s="1517">
        <f t="shared" si="64"/>
        <v>0</v>
      </c>
      <c r="AY127" s="42">
        <f t="shared" si="39"/>
        <v>0</v>
      </c>
      <c r="AZ127" s="35">
        <f t="shared" si="40"/>
        <v>0</v>
      </c>
      <c r="BA127" s="35">
        <f t="shared" si="41"/>
        <v>0</v>
      </c>
      <c r="BB127" s="35">
        <f t="shared" si="42"/>
        <v>0</v>
      </c>
      <c r="BC127" s="35">
        <f t="shared" si="43"/>
        <v>0</v>
      </c>
      <c r="BD127" s="35">
        <f t="shared" si="44"/>
        <v>0</v>
      </c>
      <c r="BE127" s="35">
        <f t="shared" si="45"/>
        <v>0</v>
      </c>
      <c r="BF127" s="35">
        <f t="shared" si="46"/>
        <v>0</v>
      </c>
      <c r="BG127" s="35">
        <f t="shared" si="47"/>
        <v>0</v>
      </c>
      <c r="BH127" s="35">
        <f t="shared" si="48"/>
        <v>0</v>
      </c>
      <c r="BI127" s="35">
        <f t="shared" si="49"/>
        <v>0</v>
      </c>
      <c r="BJ127" s="35">
        <f t="shared" si="50"/>
        <v>0</v>
      </c>
      <c r="BK127" s="35">
        <f t="shared" si="51"/>
        <v>0</v>
      </c>
      <c r="BL127" s="35">
        <f t="shared" si="52"/>
        <v>0</v>
      </c>
      <c r="BM127" s="35">
        <f t="shared" si="53"/>
        <v>0</v>
      </c>
      <c r="BN127" s="35">
        <f t="shared" si="54"/>
        <v>0</v>
      </c>
      <c r="BO127" s="35">
        <f t="shared" si="55"/>
        <v>0</v>
      </c>
      <c r="BP127" s="35">
        <f t="shared" si="56"/>
        <v>0</v>
      </c>
      <c r="BQ127" s="35">
        <f t="shared" si="57"/>
        <v>0</v>
      </c>
      <c r="BR127" s="35">
        <f t="shared" si="58"/>
        <v>0</v>
      </c>
      <c r="BS127" s="35">
        <f t="shared" si="59"/>
        <v>0</v>
      </c>
      <c r="BT127" s="43">
        <f t="shared" si="60"/>
        <v>0</v>
      </c>
    </row>
    <row r="128" spans="1:72">
      <c r="A128" s="9"/>
      <c r="B128" s="34"/>
      <c r="C128" s="34"/>
      <c r="D128" s="1805"/>
      <c r="E128" s="35">
        <f t="shared" si="61"/>
        <v>0</v>
      </c>
      <c r="F128" s="36"/>
      <c r="G128" s="37">
        <f t="shared" si="36"/>
        <v>0</v>
      </c>
      <c r="H128" s="38">
        <f t="shared" si="37"/>
        <v>0</v>
      </c>
      <c r="I128" s="39"/>
      <c r="J128" s="39"/>
      <c r="K128" s="39"/>
      <c r="L128" s="39"/>
      <c r="M128" s="39"/>
      <c r="N128" s="39"/>
      <c r="O128" s="39"/>
      <c r="P128" s="39"/>
      <c r="Q128" s="39"/>
      <c r="R128" s="39"/>
      <c r="S128" s="39"/>
      <c r="T128" s="39"/>
      <c r="U128" s="39"/>
      <c r="V128" s="39"/>
      <c r="W128" s="39"/>
      <c r="X128" s="39"/>
      <c r="Y128" s="39"/>
      <c r="Z128" s="39"/>
      <c r="AA128" s="39"/>
      <c r="AB128" s="39"/>
      <c r="AC128" s="35">
        <f t="shared" si="38"/>
        <v>0</v>
      </c>
      <c r="AD128" s="40"/>
      <c r="AE128" s="40"/>
      <c r="AF128" s="40"/>
      <c r="AG128" s="40"/>
      <c r="AH128" s="40"/>
      <c r="AI128" s="40"/>
      <c r="AJ128" s="40"/>
      <c r="AK128" s="40"/>
      <c r="AL128" s="40"/>
      <c r="AM128" s="40"/>
      <c r="AN128" s="40"/>
      <c r="AO128" s="40"/>
      <c r="AP128" s="40"/>
      <c r="AQ128" s="40"/>
      <c r="AR128" s="40"/>
      <c r="AS128" s="40"/>
      <c r="AT128" s="41"/>
      <c r="AU128" s="1806"/>
      <c r="AV128" s="1517">
        <f t="shared" si="62"/>
        <v>0</v>
      </c>
      <c r="AW128" s="1517">
        <f t="shared" si="63"/>
        <v>0</v>
      </c>
      <c r="AX128" s="1517">
        <f t="shared" si="64"/>
        <v>0</v>
      </c>
      <c r="AY128" s="42">
        <f t="shared" si="39"/>
        <v>0</v>
      </c>
      <c r="AZ128" s="35">
        <f t="shared" si="40"/>
        <v>0</v>
      </c>
      <c r="BA128" s="35">
        <f t="shared" si="41"/>
        <v>0</v>
      </c>
      <c r="BB128" s="35">
        <f t="shared" si="42"/>
        <v>0</v>
      </c>
      <c r="BC128" s="35">
        <f t="shared" si="43"/>
        <v>0</v>
      </c>
      <c r="BD128" s="35">
        <f t="shared" si="44"/>
        <v>0</v>
      </c>
      <c r="BE128" s="35">
        <f t="shared" si="45"/>
        <v>0</v>
      </c>
      <c r="BF128" s="35">
        <f t="shared" si="46"/>
        <v>0</v>
      </c>
      <c r="BG128" s="35">
        <f t="shared" si="47"/>
        <v>0</v>
      </c>
      <c r="BH128" s="35">
        <f t="shared" si="48"/>
        <v>0</v>
      </c>
      <c r="BI128" s="35">
        <f t="shared" si="49"/>
        <v>0</v>
      </c>
      <c r="BJ128" s="35">
        <f t="shared" si="50"/>
        <v>0</v>
      </c>
      <c r="BK128" s="35">
        <f t="shared" si="51"/>
        <v>0</v>
      </c>
      <c r="BL128" s="35">
        <f t="shared" si="52"/>
        <v>0</v>
      </c>
      <c r="BM128" s="35">
        <f t="shared" si="53"/>
        <v>0</v>
      </c>
      <c r="BN128" s="35">
        <f t="shared" si="54"/>
        <v>0</v>
      </c>
      <c r="BO128" s="35">
        <f t="shared" si="55"/>
        <v>0</v>
      </c>
      <c r="BP128" s="35">
        <f t="shared" si="56"/>
        <v>0</v>
      </c>
      <c r="BQ128" s="35">
        <f t="shared" si="57"/>
        <v>0</v>
      </c>
      <c r="BR128" s="35">
        <f t="shared" si="58"/>
        <v>0</v>
      </c>
      <c r="BS128" s="35">
        <f t="shared" si="59"/>
        <v>0</v>
      </c>
      <c r="BT128" s="43">
        <f t="shared" si="60"/>
        <v>0</v>
      </c>
    </row>
    <row r="129" spans="1:72">
      <c r="A129" s="9"/>
      <c r="B129" s="34"/>
      <c r="C129" s="34"/>
      <c r="D129" s="1805"/>
      <c r="E129" s="35">
        <f t="shared" si="61"/>
        <v>0</v>
      </c>
      <c r="F129" s="36"/>
      <c r="G129" s="37">
        <f t="shared" si="36"/>
        <v>0</v>
      </c>
      <c r="H129" s="38">
        <f t="shared" si="37"/>
        <v>0</v>
      </c>
      <c r="I129" s="39"/>
      <c r="J129" s="39"/>
      <c r="K129" s="39"/>
      <c r="L129" s="39"/>
      <c r="M129" s="39"/>
      <c r="N129" s="39"/>
      <c r="O129" s="39"/>
      <c r="P129" s="39"/>
      <c r="Q129" s="39"/>
      <c r="R129" s="39"/>
      <c r="S129" s="39"/>
      <c r="T129" s="39"/>
      <c r="U129" s="39"/>
      <c r="V129" s="39"/>
      <c r="W129" s="39"/>
      <c r="X129" s="39"/>
      <c r="Y129" s="39"/>
      <c r="Z129" s="39"/>
      <c r="AA129" s="39"/>
      <c r="AB129" s="39"/>
      <c r="AC129" s="35">
        <f t="shared" si="38"/>
        <v>0</v>
      </c>
      <c r="AD129" s="40"/>
      <c r="AE129" s="40"/>
      <c r="AF129" s="40"/>
      <c r="AG129" s="40"/>
      <c r="AH129" s="40"/>
      <c r="AI129" s="40"/>
      <c r="AJ129" s="40"/>
      <c r="AK129" s="40"/>
      <c r="AL129" s="40"/>
      <c r="AM129" s="40"/>
      <c r="AN129" s="40"/>
      <c r="AO129" s="40"/>
      <c r="AP129" s="40"/>
      <c r="AQ129" s="40"/>
      <c r="AR129" s="40"/>
      <c r="AS129" s="40"/>
      <c r="AT129" s="41"/>
      <c r="AU129" s="1806"/>
      <c r="AV129" s="1517">
        <f t="shared" si="62"/>
        <v>0</v>
      </c>
      <c r="AW129" s="1517">
        <f t="shared" si="63"/>
        <v>0</v>
      </c>
      <c r="AX129" s="1517">
        <f t="shared" si="64"/>
        <v>0</v>
      </c>
      <c r="AY129" s="42">
        <f t="shared" si="39"/>
        <v>0</v>
      </c>
      <c r="AZ129" s="35">
        <f t="shared" si="40"/>
        <v>0</v>
      </c>
      <c r="BA129" s="35">
        <f t="shared" si="41"/>
        <v>0</v>
      </c>
      <c r="BB129" s="35">
        <f t="shared" si="42"/>
        <v>0</v>
      </c>
      <c r="BC129" s="35">
        <f t="shared" si="43"/>
        <v>0</v>
      </c>
      <c r="BD129" s="35">
        <f t="shared" si="44"/>
        <v>0</v>
      </c>
      <c r="BE129" s="35">
        <f t="shared" si="45"/>
        <v>0</v>
      </c>
      <c r="BF129" s="35">
        <f t="shared" si="46"/>
        <v>0</v>
      </c>
      <c r="BG129" s="35">
        <f t="shared" si="47"/>
        <v>0</v>
      </c>
      <c r="BH129" s="35">
        <f t="shared" si="48"/>
        <v>0</v>
      </c>
      <c r="BI129" s="35">
        <f t="shared" si="49"/>
        <v>0</v>
      </c>
      <c r="BJ129" s="35">
        <f t="shared" si="50"/>
        <v>0</v>
      </c>
      <c r="BK129" s="35">
        <f t="shared" si="51"/>
        <v>0</v>
      </c>
      <c r="BL129" s="35">
        <f t="shared" si="52"/>
        <v>0</v>
      </c>
      <c r="BM129" s="35">
        <f t="shared" si="53"/>
        <v>0</v>
      </c>
      <c r="BN129" s="35">
        <f t="shared" si="54"/>
        <v>0</v>
      </c>
      <c r="BO129" s="35">
        <f t="shared" si="55"/>
        <v>0</v>
      </c>
      <c r="BP129" s="35">
        <f t="shared" si="56"/>
        <v>0</v>
      </c>
      <c r="BQ129" s="35">
        <f t="shared" si="57"/>
        <v>0</v>
      </c>
      <c r="BR129" s="35">
        <f t="shared" si="58"/>
        <v>0</v>
      </c>
      <c r="BS129" s="35">
        <f t="shared" si="59"/>
        <v>0</v>
      </c>
      <c r="BT129" s="43">
        <f t="shared" si="60"/>
        <v>0</v>
      </c>
    </row>
    <row r="130" spans="1:72">
      <c r="A130" s="9"/>
      <c r="B130" s="34"/>
      <c r="C130" s="34"/>
      <c r="D130" s="1805"/>
      <c r="E130" s="35">
        <f t="shared" si="61"/>
        <v>0</v>
      </c>
      <c r="F130" s="36"/>
      <c r="G130" s="37">
        <f t="shared" si="36"/>
        <v>0</v>
      </c>
      <c r="H130" s="38">
        <f t="shared" si="37"/>
        <v>0</v>
      </c>
      <c r="I130" s="39"/>
      <c r="J130" s="39"/>
      <c r="K130" s="39"/>
      <c r="L130" s="39"/>
      <c r="M130" s="39"/>
      <c r="N130" s="39"/>
      <c r="O130" s="39"/>
      <c r="P130" s="39"/>
      <c r="Q130" s="39"/>
      <c r="R130" s="39"/>
      <c r="S130" s="39"/>
      <c r="T130" s="39"/>
      <c r="U130" s="39"/>
      <c r="V130" s="39"/>
      <c r="W130" s="39"/>
      <c r="X130" s="39"/>
      <c r="Y130" s="39"/>
      <c r="Z130" s="39"/>
      <c r="AA130" s="39"/>
      <c r="AB130" s="39"/>
      <c r="AC130" s="35">
        <f t="shared" si="38"/>
        <v>0</v>
      </c>
      <c r="AD130" s="40"/>
      <c r="AE130" s="40"/>
      <c r="AF130" s="40"/>
      <c r="AG130" s="40"/>
      <c r="AH130" s="40"/>
      <c r="AI130" s="40"/>
      <c r="AJ130" s="40"/>
      <c r="AK130" s="40"/>
      <c r="AL130" s="40"/>
      <c r="AM130" s="40"/>
      <c r="AN130" s="40"/>
      <c r="AO130" s="40"/>
      <c r="AP130" s="40"/>
      <c r="AQ130" s="40"/>
      <c r="AR130" s="40"/>
      <c r="AS130" s="40"/>
      <c r="AT130" s="41"/>
      <c r="AU130" s="1806"/>
      <c r="AV130" s="1517">
        <f t="shared" si="62"/>
        <v>0</v>
      </c>
      <c r="AW130" s="1517">
        <f t="shared" si="63"/>
        <v>0</v>
      </c>
      <c r="AX130" s="1517">
        <f t="shared" si="64"/>
        <v>0</v>
      </c>
      <c r="AY130" s="42">
        <f t="shared" si="39"/>
        <v>0</v>
      </c>
      <c r="AZ130" s="35">
        <f t="shared" si="40"/>
        <v>0</v>
      </c>
      <c r="BA130" s="35">
        <f t="shared" si="41"/>
        <v>0</v>
      </c>
      <c r="BB130" s="35">
        <f t="shared" si="42"/>
        <v>0</v>
      </c>
      <c r="BC130" s="35">
        <f t="shared" si="43"/>
        <v>0</v>
      </c>
      <c r="BD130" s="35">
        <f t="shared" si="44"/>
        <v>0</v>
      </c>
      <c r="BE130" s="35">
        <f t="shared" si="45"/>
        <v>0</v>
      </c>
      <c r="BF130" s="35">
        <f t="shared" si="46"/>
        <v>0</v>
      </c>
      <c r="BG130" s="35">
        <f t="shared" si="47"/>
        <v>0</v>
      </c>
      <c r="BH130" s="35">
        <f t="shared" si="48"/>
        <v>0</v>
      </c>
      <c r="BI130" s="35">
        <f t="shared" si="49"/>
        <v>0</v>
      </c>
      <c r="BJ130" s="35">
        <f t="shared" si="50"/>
        <v>0</v>
      </c>
      <c r="BK130" s="35">
        <f t="shared" si="51"/>
        <v>0</v>
      </c>
      <c r="BL130" s="35">
        <f t="shared" si="52"/>
        <v>0</v>
      </c>
      <c r="BM130" s="35">
        <f t="shared" si="53"/>
        <v>0</v>
      </c>
      <c r="BN130" s="35">
        <f t="shared" si="54"/>
        <v>0</v>
      </c>
      <c r="BO130" s="35">
        <f t="shared" si="55"/>
        <v>0</v>
      </c>
      <c r="BP130" s="35">
        <f t="shared" si="56"/>
        <v>0</v>
      </c>
      <c r="BQ130" s="35">
        <f t="shared" si="57"/>
        <v>0</v>
      </c>
      <c r="BR130" s="35">
        <f t="shared" si="58"/>
        <v>0</v>
      </c>
      <c r="BS130" s="35">
        <f t="shared" si="59"/>
        <v>0</v>
      </c>
      <c r="BT130" s="43">
        <f t="shared" si="60"/>
        <v>0</v>
      </c>
    </row>
    <row r="131" spans="1:72">
      <c r="A131" s="9"/>
      <c r="B131" s="34"/>
      <c r="C131" s="34"/>
      <c r="D131" s="1805"/>
      <c r="E131" s="35">
        <f t="shared" si="61"/>
        <v>0</v>
      </c>
      <c r="F131" s="36"/>
      <c r="G131" s="37">
        <f t="shared" si="36"/>
        <v>0</v>
      </c>
      <c r="H131" s="38">
        <f t="shared" si="37"/>
        <v>0</v>
      </c>
      <c r="I131" s="39"/>
      <c r="J131" s="39"/>
      <c r="K131" s="39"/>
      <c r="L131" s="39"/>
      <c r="M131" s="39"/>
      <c r="N131" s="39"/>
      <c r="O131" s="39"/>
      <c r="P131" s="39"/>
      <c r="Q131" s="39"/>
      <c r="R131" s="39"/>
      <c r="S131" s="39"/>
      <c r="T131" s="39"/>
      <c r="U131" s="39"/>
      <c r="V131" s="39"/>
      <c r="W131" s="39"/>
      <c r="X131" s="39"/>
      <c r="Y131" s="39"/>
      <c r="Z131" s="39"/>
      <c r="AA131" s="39"/>
      <c r="AB131" s="39"/>
      <c r="AC131" s="35">
        <f t="shared" si="38"/>
        <v>0</v>
      </c>
      <c r="AD131" s="40"/>
      <c r="AE131" s="40"/>
      <c r="AF131" s="40"/>
      <c r="AG131" s="40"/>
      <c r="AH131" s="40"/>
      <c r="AI131" s="40"/>
      <c r="AJ131" s="40"/>
      <c r="AK131" s="40"/>
      <c r="AL131" s="40"/>
      <c r="AM131" s="40"/>
      <c r="AN131" s="40"/>
      <c r="AO131" s="40"/>
      <c r="AP131" s="40"/>
      <c r="AQ131" s="40"/>
      <c r="AR131" s="40"/>
      <c r="AS131" s="40"/>
      <c r="AT131" s="41"/>
      <c r="AU131" s="1806"/>
      <c r="AV131" s="1517">
        <f t="shared" si="62"/>
        <v>0</v>
      </c>
      <c r="AW131" s="1517">
        <f t="shared" si="63"/>
        <v>0</v>
      </c>
      <c r="AX131" s="1517">
        <f t="shared" si="64"/>
        <v>0</v>
      </c>
      <c r="AY131" s="42">
        <f t="shared" si="39"/>
        <v>0</v>
      </c>
      <c r="AZ131" s="35">
        <f t="shared" si="40"/>
        <v>0</v>
      </c>
      <c r="BA131" s="35">
        <f t="shared" si="41"/>
        <v>0</v>
      </c>
      <c r="BB131" s="35">
        <f t="shared" si="42"/>
        <v>0</v>
      </c>
      <c r="BC131" s="35">
        <f t="shared" si="43"/>
        <v>0</v>
      </c>
      <c r="BD131" s="35">
        <f t="shared" si="44"/>
        <v>0</v>
      </c>
      <c r="BE131" s="35">
        <f t="shared" si="45"/>
        <v>0</v>
      </c>
      <c r="BF131" s="35">
        <f t="shared" si="46"/>
        <v>0</v>
      </c>
      <c r="BG131" s="35">
        <f t="shared" si="47"/>
        <v>0</v>
      </c>
      <c r="BH131" s="35">
        <f t="shared" si="48"/>
        <v>0</v>
      </c>
      <c r="BI131" s="35">
        <f t="shared" si="49"/>
        <v>0</v>
      </c>
      <c r="BJ131" s="35">
        <f t="shared" si="50"/>
        <v>0</v>
      </c>
      <c r="BK131" s="35">
        <f t="shared" si="51"/>
        <v>0</v>
      </c>
      <c r="BL131" s="35">
        <f t="shared" si="52"/>
        <v>0</v>
      </c>
      <c r="BM131" s="35">
        <f t="shared" si="53"/>
        <v>0</v>
      </c>
      <c r="BN131" s="35">
        <f t="shared" si="54"/>
        <v>0</v>
      </c>
      <c r="BO131" s="35">
        <f t="shared" si="55"/>
        <v>0</v>
      </c>
      <c r="BP131" s="35">
        <f t="shared" si="56"/>
        <v>0</v>
      </c>
      <c r="BQ131" s="35">
        <f t="shared" si="57"/>
        <v>0</v>
      </c>
      <c r="BR131" s="35">
        <f t="shared" si="58"/>
        <v>0</v>
      </c>
      <c r="BS131" s="35">
        <f t="shared" si="59"/>
        <v>0</v>
      </c>
      <c r="BT131" s="43">
        <f t="shared" si="60"/>
        <v>0</v>
      </c>
    </row>
    <row r="132" spans="1:72">
      <c r="A132" s="9"/>
      <c r="B132" s="34"/>
      <c r="C132" s="34"/>
      <c r="D132" s="1805"/>
      <c r="E132" s="35">
        <f t="shared" si="61"/>
        <v>0</v>
      </c>
      <c r="F132" s="36"/>
      <c r="G132" s="37">
        <f t="shared" si="36"/>
        <v>0</v>
      </c>
      <c r="H132" s="38">
        <f t="shared" si="37"/>
        <v>0</v>
      </c>
      <c r="I132" s="39"/>
      <c r="J132" s="39"/>
      <c r="K132" s="39"/>
      <c r="L132" s="39"/>
      <c r="M132" s="39"/>
      <c r="N132" s="39"/>
      <c r="O132" s="39"/>
      <c r="P132" s="39"/>
      <c r="Q132" s="39"/>
      <c r="R132" s="39"/>
      <c r="S132" s="39"/>
      <c r="T132" s="39"/>
      <c r="U132" s="39"/>
      <c r="V132" s="39"/>
      <c r="W132" s="39"/>
      <c r="X132" s="39"/>
      <c r="Y132" s="39"/>
      <c r="Z132" s="39"/>
      <c r="AA132" s="39"/>
      <c r="AB132" s="39"/>
      <c r="AC132" s="35">
        <f t="shared" si="38"/>
        <v>0</v>
      </c>
      <c r="AD132" s="40"/>
      <c r="AE132" s="40"/>
      <c r="AF132" s="40"/>
      <c r="AG132" s="40"/>
      <c r="AH132" s="40"/>
      <c r="AI132" s="40"/>
      <c r="AJ132" s="40"/>
      <c r="AK132" s="40"/>
      <c r="AL132" s="40"/>
      <c r="AM132" s="40"/>
      <c r="AN132" s="40"/>
      <c r="AO132" s="40"/>
      <c r="AP132" s="40"/>
      <c r="AQ132" s="40"/>
      <c r="AR132" s="40"/>
      <c r="AS132" s="40"/>
      <c r="AT132" s="41"/>
      <c r="AU132" s="1806"/>
      <c r="AV132" s="1517">
        <f t="shared" si="62"/>
        <v>0</v>
      </c>
      <c r="AW132" s="1517">
        <f t="shared" si="63"/>
        <v>0</v>
      </c>
      <c r="AX132" s="1517">
        <f t="shared" si="64"/>
        <v>0</v>
      </c>
      <c r="AY132" s="42">
        <f t="shared" si="39"/>
        <v>0</v>
      </c>
      <c r="AZ132" s="35">
        <f t="shared" si="40"/>
        <v>0</v>
      </c>
      <c r="BA132" s="35">
        <f t="shared" si="41"/>
        <v>0</v>
      </c>
      <c r="BB132" s="35">
        <f t="shared" si="42"/>
        <v>0</v>
      </c>
      <c r="BC132" s="35">
        <f t="shared" si="43"/>
        <v>0</v>
      </c>
      <c r="BD132" s="35">
        <f t="shared" si="44"/>
        <v>0</v>
      </c>
      <c r="BE132" s="35">
        <f t="shared" si="45"/>
        <v>0</v>
      </c>
      <c r="BF132" s="35">
        <f t="shared" si="46"/>
        <v>0</v>
      </c>
      <c r="BG132" s="35">
        <f t="shared" si="47"/>
        <v>0</v>
      </c>
      <c r="BH132" s="35">
        <f t="shared" si="48"/>
        <v>0</v>
      </c>
      <c r="BI132" s="35">
        <f t="shared" si="49"/>
        <v>0</v>
      </c>
      <c r="BJ132" s="35">
        <f t="shared" si="50"/>
        <v>0</v>
      </c>
      <c r="BK132" s="35">
        <f t="shared" si="51"/>
        <v>0</v>
      </c>
      <c r="BL132" s="35">
        <f t="shared" si="52"/>
        <v>0</v>
      </c>
      <c r="BM132" s="35">
        <f t="shared" si="53"/>
        <v>0</v>
      </c>
      <c r="BN132" s="35">
        <f t="shared" si="54"/>
        <v>0</v>
      </c>
      <c r="BO132" s="35">
        <f t="shared" si="55"/>
        <v>0</v>
      </c>
      <c r="BP132" s="35">
        <f t="shared" si="56"/>
        <v>0</v>
      </c>
      <c r="BQ132" s="35">
        <f t="shared" si="57"/>
        <v>0</v>
      </c>
      <c r="BR132" s="35">
        <f t="shared" si="58"/>
        <v>0</v>
      </c>
      <c r="BS132" s="35">
        <f t="shared" si="59"/>
        <v>0</v>
      </c>
      <c r="BT132" s="43">
        <f t="shared" si="60"/>
        <v>0</v>
      </c>
    </row>
    <row r="133" spans="1:72">
      <c r="A133" s="9"/>
      <c r="B133" s="34"/>
      <c r="C133" s="34"/>
      <c r="D133" s="1805"/>
      <c r="E133" s="35">
        <f t="shared" si="61"/>
        <v>0</v>
      </c>
      <c r="F133" s="36"/>
      <c r="G133" s="37">
        <f t="shared" si="36"/>
        <v>0</v>
      </c>
      <c r="H133" s="38">
        <f t="shared" si="37"/>
        <v>0</v>
      </c>
      <c r="I133" s="39"/>
      <c r="J133" s="39"/>
      <c r="K133" s="39"/>
      <c r="L133" s="39"/>
      <c r="M133" s="39"/>
      <c r="N133" s="39"/>
      <c r="O133" s="39"/>
      <c r="P133" s="39"/>
      <c r="Q133" s="39"/>
      <c r="R133" s="39"/>
      <c r="S133" s="39"/>
      <c r="T133" s="39"/>
      <c r="U133" s="39"/>
      <c r="V133" s="39"/>
      <c r="W133" s="39"/>
      <c r="X133" s="39"/>
      <c r="Y133" s="39"/>
      <c r="Z133" s="39"/>
      <c r="AA133" s="39"/>
      <c r="AB133" s="39"/>
      <c r="AC133" s="35">
        <f t="shared" si="38"/>
        <v>0</v>
      </c>
      <c r="AD133" s="40"/>
      <c r="AE133" s="40"/>
      <c r="AF133" s="40"/>
      <c r="AG133" s="40"/>
      <c r="AH133" s="40"/>
      <c r="AI133" s="40"/>
      <c r="AJ133" s="40"/>
      <c r="AK133" s="40"/>
      <c r="AL133" s="40"/>
      <c r="AM133" s="40"/>
      <c r="AN133" s="40"/>
      <c r="AO133" s="40"/>
      <c r="AP133" s="40"/>
      <c r="AQ133" s="40"/>
      <c r="AR133" s="40"/>
      <c r="AS133" s="40"/>
      <c r="AT133" s="41"/>
      <c r="AU133" s="1806"/>
      <c r="AV133" s="1517">
        <f t="shared" si="62"/>
        <v>0</v>
      </c>
      <c r="AW133" s="1517">
        <f t="shared" si="63"/>
        <v>0</v>
      </c>
      <c r="AX133" s="1517">
        <f t="shared" si="64"/>
        <v>0</v>
      </c>
      <c r="AY133" s="42">
        <f t="shared" si="39"/>
        <v>0</v>
      </c>
      <c r="AZ133" s="35">
        <f t="shared" si="40"/>
        <v>0</v>
      </c>
      <c r="BA133" s="35">
        <f t="shared" si="41"/>
        <v>0</v>
      </c>
      <c r="BB133" s="35">
        <f t="shared" si="42"/>
        <v>0</v>
      </c>
      <c r="BC133" s="35">
        <f t="shared" si="43"/>
        <v>0</v>
      </c>
      <c r="BD133" s="35">
        <f t="shared" si="44"/>
        <v>0</v>
      </c>
      <c r="BE133" s="35">
        <f t="shared" si="45"/>
        <v>0</v>
      </c>
      <c r="BF133" s="35">
        <f t="shared" si="46"/>
        <v>0</v>
      </c>
      <c r="BG133" s="35">
        <f t="shared" si="47"/>
        <v>0</v>
      </c>
      <c r="BH133" s="35">
        <f t="shared" si="48"/>
        <v>0</v>
      </c>
      <c r="BI133" s="35">
        <f t="shared" si="49"/>
        <v>0</v>
      </c>
      <c r="BJ133" s="35">
        <f t="shared" si="50"/>
        <v>0</v>
      </c>
      <c r="BK133" s="35">
        <f t="shared" si="51"/>
        <v>0</v>
      </c>
      <c r="BL133" s="35">
        <f t="shared" si="52"/>
        <v>0</v>
      </c>
      <c r="BM133" s="35">
        <f t="shared" si="53"/>
        <v>0</v>
      </c>
      <c r="BN133" s="35">
        <f t="shared" si="54"/>
        <v>0</v>
      </c>
      <c r="BO133" s="35">
        <f t="shared" si="55"/>
        <v>0</v>
      </c>
      <c r="BP133" s="35">
        <f t="shared" si="56"/>
        <v>0</v>
      </c>
      <c r="BQ133" s="35">
        <f t="shared" si="57"/>
        <v>0</v>
      </c>
      <c r="BR133" s="35">
        <f t="shared" si="58"/>
        <v>0</v>
      </c>
      <c r="BS133" s="35">
        <f t="shared" si="59"/>
        <v>0</v>
      </c>
      <c r="BT133" s="43">
        <f t="shared" si="60"/>
        <v>0</v>
      </c>
    </row>
    <row r="134" spans="1:72">
      <c r="A134" s="9"/>
      <c r="B134" s="34"/>
      <c r="C134" s="34"/>
      <c r="D134" s="1805"/>
      <c r="E134" s="35">
        <f t="shared" si="61"/>
        <v>0</v>
      </c>
      <c r="F134" s="36"/>
      <c r="G134" s="37">
        <f t="shared" si="36"/>
        <v>0</v>
      </c>
      <c r="H134" s="38">
        <f t="shared" si="37"/>
        <v>0</v>
      </c>
      <c r="I134" s="39"/>
      <c r="J134" s="39"/>
      <c r="K134" s="39"/>
      <c r="L134" s="39"/>
      <c r="M134" s="39"/>
      <c r="N134" s="39"/>
      <c r="O134" s="39"/>
      <c r="P134" s="39"/>
      <c r="Q134" s="39"/>
      <c r="R134" s="39"/>
      <c r="S134" s="39"/>
      <c r="T134" s="39"/>
      <c r="U134" s="39"/>
      <c r="V134" s="39"/>
      <c r="W134" s="39"/>
      <c r="X134" s="39"/>
      <c r="Y134" s="39"/>
      <c r="Z134" s="39"/>
      <c r="AA134" s="39"/>
      <c r="AB134" s="39"/>
      <c r="AC134" s="35">
        <f t="shared" si="38"/>
        <v>0</v>
      </c>
      <c r="AD134" s="40"/>
      <c r="AE134" s="40"/>
      <c r="AF134" s="40"/>
      <c r="AG134" s="40"/>
      <c r="AH134" s="40"/>
      <c r="AI134" s="40"/>
      <c r="AJ134" s="40"/>
      <c r="AK134" s="40"/>
      <c r="AL134" s="40"/>
      <c r="AM134" s="40"/>
      <c r="AN134" s="40"/>
      <c r="AO134" s="40"/>
      <c r="AP134" s="40"/>
      <c r="AQ134" s="40"/>
      <c r="AR134" s="40"/>
      <c r="AS134" s="40"/>
      <c r="AT134" s="41"/>
      <c r="AU134" s="1806"/>
      <c r="AV134" s="1517">
        <f t="shared" si="62"/>
        <v>0</v>
      </c>
      <c r="AW134" s="1517">
        <f t="shared" si="63"/>
        <v>0</v>
      </c>
      <c r="AX134" s="1517">
        <f t="shared" si="64"/>
        <v>0</v>
      </c>
      <c r="AY134" s="42">
        <f t="shared" si="39"/>
        <v>0</v>
      </c>
      <c r="AZ134" s="35">
        <f t="shared" si="40"/>
        <v>0</v>
      </c>
      <c r="BA134" s="35">
        <f t="shared" si="41"/>
        <v>0</v>
      </c>
      <c r="BB134" s="35">
        <f t="shared" si="42"/>
        <v>0</v>
      </c>
      <c r="BC134" s="35">
        <f t="shared" si="43"/>
        <v>0</v>
      </c>
      <c r="BD134" s="35">
        <f t="shared" si="44"/>
        <v>0</v>
      </c>
      <c r="BE134" s="35">
        <f t="shared" si="45"/>
        <v>0</v>
      </c>
      <c r="BF134" s="35">
        <f t="shared" si="46"/>
        <v>0</v>
      </c>
      <c r="BG134" s="35">
        <f t="shared" si="47"/>
        <v>0</v>
      </c>
      <c r="BH134" s="35">
        <f t="shared" si="48"/>
        <v>0</v>
      </c>
      <c r="BI134" s="35">
        <f t="shared" si="49"/>
        <v>0</v>
      </c>
      <c r="BJ134" s="35">
        <f t="shared" si="50"/>
        <v>0</v>
      </c>
      <c r="BK134" s="35">
        <f t="shared" si="51"/>
        <v>0</v>
      </c>
      <c r="BL134" s="35">
        <f t="shared" si="52"/>
        <v>0</v>
      </c>
      <c r="BM134" s="35">
        <f t="shared" si="53"/>
        <v>0</v>
      </c>
      <c r="BN134" s="35">
        <f t="shared" si="54"/>
        <v>0</v>
      </c>
      <c r="BO134" s="35">
        <f t="shared" si="55"/>
        <v>0</v>
      </c>
      <c r="BP134" s="35">
        <f t="shared" si="56"/>
        <v>0</v>
      </c>
      <c r="BQ134" s="35">
        <f t="shared" si="57"/>
        <v>0</v>
      </c>
      <c r="BR134" s="35">
        <f t="shared" si="58"/>
        <v>0</v>
      </c>
      <c r="BS134" s="35">
        <f t="shared" si="59"/>
        <v>0</v>
      </c>
      <c r="BT134" s="43">
        <f t="shared" si="60"/>
        <v>0</v>
      </c>
    </row>
    <row r="135" spans="1:72">
      <c r="A135" s="9"/>
      <c r="B135" s="34"/>
      <c r="C135" s="34"/>
      <c r="D135" s="1805"/>
      <c r="E135" s="35">
        <f t="shared" si="61"/>
        <v>0</v>
      </c>
      <c r="F135" s="36"/>
      <c r="G135" s="37">
        <f t="shared" si="36"/>
        <v>0</v>
      </c>
      <c r="H135" s="38">
        <f t="shared" si="37"/>
        <v>0</v>
      </c>
      <c r="I135" s="39"/>
      <c r="J135" s="39"/>
      <c r="K135" s="39"/>
      <c r="L135" s="39"/>
      <c r="M135" s="39"/>
      <c r="N135" s="39"/>
      <c r="O135" s="39"/>
      <c r="P135" s="39"/>
      <c r="Q135" s="39"/>
      <c r="R135" s="39"/>
      <c r="S135" s="39"/>
      <c r="T135" s="39"/>
      <c r="U135" s="39"/>
      <c r="V135" s="39"/>
      <c r="W135" s="39"/>
      <c r="X135" s="39"/>
      <c r="Y135" s="39"/>
      <c r="Z135" s="39"/>
      <c r="AA135" s="39"/>
      <c r="AB135" s="39"/>
      <c r="AC135" s="35">
        <f t="shared" si="38"/>
        <v>0</v>
      </c>
      <c r="AD135" s="40"/>
      <c r="AE135" s="40"/>
      <c r="AF135" s="40"/>
      <c r="AG135" s="40"/>
      <c r="AH135" s="40"/>
      <c r="AI135" s="40"/>
      <c r="AJ135" s="40"/>
      <c r="AK135" s="40"/>
      <c r="AL135" s="40"/>
      <c r="AM135" s="40"/>
      <c r="AN135" s="40"/>
      <c r="AO135" s="40"/>
      <c r="AP135" s="40"/>
      <c r="AQ135" s="40"/>
      <c r="AR135" s="40"/>
      <c r="AS135" s="40"/>
      <c r="AT135" s="41"/>
      <c r="AU135" s="1806"/>
      <c r="AV135" s="1517">
        <f t="shared" si="62"/>
        <v>0</v>
      </c>
      <c r="AW135" s="1517">
        <f t="shared" si="63"/>
        <v>0</v>
      </c>
      <c r="AX135" s="1517">
        <f t="shared" si="64"/>
        <v>0</v>
      </c>
      <c r="AY135" s="42">
        <f t="shared" si="39"/>
        <v>0</v>
      </c>
      <c r="AZ135" s="35">
        <f t="shared" si="40"/>
        <v>0</v>
      </c>
      <c r="BA135" s="35">
        <f t="shared" si="41"/>
        <v>0</v>
      </c>
      <c r="BB135" s="35">
        <f t="shared" si="42"/>
        <v>0</v>
      </c>
      <c r="BC135" s="35">
        <f t="shared" si="43"/>
        <v>0</v>
      </c>
      <c r="BD135" s="35">
        <f t="shared" si="44"/>
        <v>0</v>
      </c>
      <c r="BE135" s="35">
        <f t="shared" si="45"/>
        <v>0</v>
      </c>
      <c r="BF135" s="35">
        <f t="shared" si="46"/>
        <v>0</v>
      </c>
      <c r="BG135" s="35">
        <f t="shared" si="47"/>
        <v>0</v>
      </c>
      <c r="BH135" s="35">
        <f t="shared" si="48"/>
        <v>0</v>
      </c>
      <c r="BI135" s="35">
        <f t="shared" si="49"/>
        <v>0</v>
      </c>
      <c r="BJ135" s="35">
        <f t="shared" si="50"/>
        <v>0</v>
      </c>
      <c r="BK135" s="35">
        <f t="shared" si="51"/>
        <v>0</v>
      </c>
      <c r="BL135" s="35">
        <f t="shared" si="52"/>
        <v>0</v>
      </c>
      <c r="BM135" s="35">
        <f t="shared" si="53"/>
        <v>0</v>
      </c>
      <c r="BN135" s="35">
        <f t="shared" si="54"/>
        <v>0</v>
      </c>
      <c r="BO135" s="35">
        <f t="shared" si="55"/>
        <v>0</v>
      </c>
      <c r="BP135" s="35">
        <f t="shared" si="56"/>
        <v>0</v>
      </c>
      <c r="BQ135" s="35">
        <f t="shared" si="57"/>
        <v>0</v>
      </c>
      <c r="BR135" s="35">
        <f t="shared" si="58"/>
        <v>0</v>
      </c>
      <c r="BS135" s="35">
        <f t="shared" si="59"/>
        <v>0</v>
      </c>
      <c r="BT135" s="43">
        <f t="shared" si="60"/>
        <v>0</v>
      </c>
    </row>
    <row r="136" spans="1:72">
      <c r="A136" s="9"/>
      <c r="B136" s="34"/>
      <c r="C136" s="34"/>
      <c r="D136" s="1805"/>
      <c r="E136" s="35">
        <f t="shared" si="61"/>
        <v>0</v>
      </c>
      <c r="F136" s="36"/>
      <c r="G136" s="37">
        <f t="shared" si="36"/>
        <v>0</v>
      </c>
      <c r="H136" s="38">
        <f t="shared" si="37"/>
        <v>0</v>
      </c>
      <c r="I136" s="39"/>
      <c r="J136" s="39"/>
      <c r="K136" s="39"/>
      <c r="L136" s="39"/>
      <c r="M136" s="39"/>
      <c r="N136" s="39"/>
      <c r="O136" s="39"/>
      <c r="P136" s="39"/>
      <c r="Q136" s="39"/>
      <c r="R136" s="39"/>
      <c r="S136" s="39"/>
      <c r="T136" s="39"/>
      <c r="U136" s="39"/>
      <c r="V136" s="39"/>
      <c r="W136" s="39"/>
      <c r="X136" s="39"/>
      <c r="Y136" s="39"/>
      <c r="Z136" s="39"/>
      <c r="AA136" s="39"/>
      <c r="AB136" s="39"/>
      <c r="AC136" s="35">
        <f t="shared" si="38"/>
        <v>0</v>
      </c>
      <c r="AD136" s="40"/>
      <c r="AE136" s="40"/>
      <c r="AF136" s="40"/>
      <c r="AG136" s="40"/>
      <c r="AH136" s="40"/>
      <c r="AI136" s="40"/>
      <c r="AJ136" s="40"/>
      <c r="AK136" s="40"/>
      <c r="AL136" s="40"/>
      <c r="AM136" s="40"/>
      <c r="AN136" s="40"/>
      <c r="AO136" s="40"/>
      <c r="AP136" s="40"/>
      <c r="AQ136" s="40"/>
      <c r="AR136" s="40"/>
      <c r="AS136" s="40"/>
      <c r="AT136" s="41"/>
      <c r="AU136" s="1806"/>
      <c r="AV136" s="1517">
        <f t="shared" si="62"/>
        <v>0</v>
      </c>
      <c r="AW136" s="1517">
        <f t="shared" si="63"/>
        <v>0</v>
      </c>
      <c r="AX136" s="1517">
        <f t="shared" si="64"/>
        <v>0</v>
      </c>
      <c r="AY136" s="42">
        <f t="shared" si="39"/>
        <v>0</v>
      </c>
      <c r="AZ136" s="35">
        <f t="shared" si="40"/>
        <v>0</v>
      </c>
      <c r="BA136" s="35">
        <f t="shared" si="41"/>
        <v>0</v>
      </c>
      <c r="BB136" s="35">
        <f t="shared" si="42"/>
        <v>0</v>
      </c>
      <c r="BC136" s="35">
        <f t="shared" si="43"/>
        <v>0</v>
      </c>
      <c r="BD136" s="35">
        <f t="shared" si="44"/>
        <v>0</v>
      </c>
      <c r="BE136" s="35">
        <f t="shared" si="45"/>
        <v>0</v>
      </c>
      <c r="BF136" s="35">
        <f t="shared" si="46"/>
        <v>0</v>
      </c>
      <c r="BG136" s="35">
        <f t="shared" si="47"/>
        <v>0</v>
      </c>
      <c r="BH136" s="35">
        <f t="shared" si="48"/>
        <v>0</v>
      </c>
      <c r="BI136" s="35">
        <f t="shared" si="49"/>
        <v>0</v>
      </c>
      <c r="BJ136" s="35">
        <f t="shared" si="50"/>
        <v>0</v>
      </c>
      <c r="BK136" s="35">
        <f t="shared" si="51"/>
        <v>0</v>
      </c>
      <c r="BL136" s="35">
        <f t="shared" si="52"/>
        <v>0</v>
      </c>
      <c r="BM136" s="35">
        <f t="shared" si="53"/>
        <v>0</v>
      </c>
      <c r="BN136" s="35">
        <f t="shared" si="54"/>
        <v>0</v>
      </c>
      <c r="BO136" s="35">
        <f t="shared" si="55"/>
        <v>0</v>
      </c>
      <c r="BP136" s="35">
        <f t="shared" si="56"/>
        <v>0</v>
      </c>
      <c r="BQ136" s="35">
        <f t="shared" si="57"/>
        <v>0</v>
      </c>
      <c r="BR136" s="35">
        <f t="shared" si="58"/>
        <v>0</v>
      </c>
      <c r="BS136" s="35">
        <f t="shared" si="59"/>
        <v>0</v>
      </c>
      <c r="BT136" s="43">
        <f t="shared" si="60"/>
        <v>0</v>
      </c>
    </row>
    <row r="137" spans="1:72">
      <c r="A137" s="9"/>
      <c r="B137" s="34"/>
      <c r="C137" s="34"/>
      <c r="D137" s="1805"/>
      <c r="E137" s="35">
        <f t="shared" si="61"/>
        <v>0</v>
      </c>
      <c r="F137" s="36"/>
      <c r="G137" s="37">
        <f t="shared" si="36"/>
        <v>0</v>
      </c>
      <c r="H137" s="38">
        <f t="shared" si="37"/>
        <v>0</v>
      </c>
      <c r="I137" s="39"/>
      <c r="J137" s="39"/>
      <c r="K137" s="39"/>
      <c r="L137" s="39"/>
      <c r="M137" s="39"/>
      <c r="N137" s="39"/>
      <c r="O137" s="39"/>
      <c r="P137" s="39"/>
      <c r="Q137" s="39"/>
      <c r="R137" s="39"/>
      <c r="S137" s="39"/>
      <c r="T137" s="39"/>
      <c r="U137" s="39"/>
      <c r="V137" s="39"/>
      <c r="W137" s="39"/>
      <c r="X137" s="39"/>
      <c r="Y137" s="39"/>
      <c r="Z137" s="39"/>
      <c r="AA137" s="39"/>
      <c r="AB137" s="39"/>
      <c r="AC137" s="35">
        <f t="shared" si="38"/>
        <v>0</v>
      </c>
      <c r="AD137" s="40"/>
      <c r="AE137" s="40"/>
      <c r="AF137" s="40"/>
      <c r="AG137" s="40"/>
      <c r="AH137" s="40"/>
      <c r="AI137" s="40"/>
      <c r="AJ137" s="40"/>
      <c r="AK137" s="40"/>
      <c r="AL137" s="40"/>
      <c r="AM137" s="40"/>
      <c r="AN137" s="40"/>
      <c r="AO137" s="40"/>
      <c r="AP137" s="40"/>
      <c r="AQ137" s="40"/>
      <c r="AR137" s="40"/>
      <c r="AS137" s="40"/>
      <c r="AT137" s="41"/>
      <c r="AU137" s="1806"/>
      <c r="AV137" s="1517">
        <f t="shared" si="62"/>
        <v>0</v>
      </c>
      <c r="AW137" s="1517">
        <f t="shared" si="63"/>
        <v>0</v>
      </c>
      <c r="AX137" s="1517">
        <f t="shared" si="64"/>
        <v>0</v>
      </c>
      <c r="AY137" s="42">
        <f t="shared" si="39"/>
        <v>0</v>
      </c>
      <c r="AZ137" s="35">
        <f t="shared" si="40"/>
        <v>0</v>
      </c>
      <c r="BA137" s="35">
        <f t="shared" si="41"/>
        <v>0</v>
      </c>
      <c r="BB137" s="35">
        <f t="shared" si="42"/>
        <v>0</v>
      </c>
      <c r="BC137" s="35">
        <f t="shared" si="43"/>
        <v>0</v>
      </c>
      <c r="BD137" s="35">
        <f t="shared" si="44"/>
        <v>0</v>
      </c>
      <c r="BE137" s="35">
        <f t="shared" si="45"/>
        <v>0</v>
      </c>
      <c r="BF137" s="35">
        <f t="shared" si="46"/>
        <v>0</v>
      </c>
      <c r="BG137" s="35">
        <f t="shared" si="47"/>
        <v>0</v>
      </c>
      <c r="BH137" s="35">
        <f t="shared" si="48"/>
        <v>0</v>
      </c>
      <c r="BI137" s="35">
        <f t="shared" si="49"/>
        <v>0</v>
      </c>
      <c r="BJ137" s="35">
        <f t="shared" si="50"/>
        <v>0</v>
      </c>
      <c r="BK137" s="35">
        <f t="shared" si="51"/>
        <v>0</v>
      </c>
      <c r="BL137" s="35">
        <f t="shared" si="52"/>
        <v>0</v>
      </c>
      <c r="BM137" s="35">
        <f t="shared" si="53"/>
        <v>0</v>
      </c>
      <c r="BN137" s="35">
        <f t="shared" si="54"/>
        <v>0</v>
      </c>
      <c r="BO137" s="35">
        <f t="shared" si="55"/>
        <v>0</v>
      </c>
      <c r="BP137" s="35">
        <f t="shared" si="56"/>
        <v>0</v>
      </c>
      <c r="BQ137" s="35">
        <f t="shared" si="57"/>
        <v>0</v>
      </c>
      <c r="BR137" s="35">
        <f t="shared" si="58"/>
        <v>0</v>
      </c>
      <c r="BS137" s="35">
        <f t="shared" si="59"/>
        <v>0</v>
      </c>
      <c r="BT137" s="43">
        <f t="shared" si="60"/>
        <v>0</v>
      </c>
    </row>
    <row r="138" spans="1:72">
      <c r="A138" s="9"/>
      <c r="B138" s="34"/>
      <c r="C138" s="34"/>
      <c r="D138" s="1805"/>
      <c r="E138" s="35">
        <f t="shared" si="61"/>
        <v>0</v>
      </c>
      <c r="F138" s="36"/>
      <c r="G138" s="37">
        <f t="shared" si="36"/>
        <v>0</v>
      </c>
      <c r="H138" s="38">
        <f t="shared" si="37"/>
        <v>0</v>
      </c>
      <c r="I138" s="39"/>
      <c r="J138" s="39"/>
      <c r="K138" s="39"/>
      <c r="L138" s="39"/>
      <c r="M138" s="39"/>
      <c r="N138" s="39"/>
      <c r="O138" s="39"/>
      <c r="P138" s="39"/>
      <c r="Q138" s="39"/>
      <c r="R138" s="39"/>
      <c r="S138" s="39"/>
      <c r="T138" s="39"/>
      <c r="U138" s="39"/>
      <c r="V138" s="39"/>
      <c r="W138" s="39"/>
      <c r="X138" s="39"/>
      <c r="Y138" s="39"/>
      <c r="Z138" s="39"/>
      <c r="AA138" s="39"/>
      <c r="AB138" s="39"/>
      <c r="AC138" s="35">
        <f t="shared" si="38"/>
        <v>0</v>
      </c>
      <c r="AD138" s="40"/>
      <c r="AE138" s="40"/>
      <c r="AF138" s="40"/>
      <c r="AG138" s="40"/>
      <c r="AH138" s="40"/>
      <c r="AI138" s="40"/>
      <c r="AJ138" s="40"/>
      <c r="AK138" s="40"/>
      <c r="AL138" s="40"/>
      <c r="AM138" s="40"/>
      <c r="AN138" s="40"/>
      <c r="AO138" s="40"/>
      <c r="AP138" s="40"/>
      <c r="AQ138" s="40"/>
      <c r="AR138" s="40"/>
      <c r="AS138" s="40"/>
      <c r="AT138" s="41"/>
      <c r="AU138" s="1806"/>
      <c r="AV138" s="1517">
        <f t="shared" si="62"/>
        <v>0</v>
      </c>
      <c r="AW138" s="1517">
        <f t="shared" si="63"/>
        <v>0</v>
      </c>
      <c r="AX138" s="1517">
        <f t="shared" si="64"/>
        <v>0</v>
      </c>
      <c r="AY138" s="42">
        <f t="shared" si="39"/>
        <v>0</v>
      </c>
      <c r="AZ138" s="35">
        <f t="shared" si="40"/>
        <v>0</v>
      </c>
      <c r="BA138" s="35">
        <f t="shared" si="41"/>
        <v>0</v>
      </c>
      <c r="BB138" s="35">
        <f t="shared" si="42"/>
        <v>0</v>
      </c>
      <c r="BC138" s="35">
        <f t="shared" si="43"/>
        <v>0</v>
      </c>
      <c r="BD138" s="35">
        <f t="shared" si="44"/>
        <v>0</v>
      </c>
      <c r="BE138" s="35">
        <f t="shared" si="45"/>
        <v>0</v>
      </c>
      <c r="BF138" s="35">
        <f t="shared" si="46"/>
        <v>0</v>
      </c>
      <c r="BG138" s="35">
        <f t="shared" si="47"/>
        <v>0</v>
      </c>
      <c r="BH138" s="35">
        <f t="shared" si="48"/>
        <v>0</v>
      </c>
      <c r="BI138" s="35">
        <f t="shared" si="49"/>
        <v>0</v>
      </c>
      <c r="BJ138" s="35">
        <f t="shared" si="50"/>
        <v>0</v>
      </c>
      <c r="BK138" s="35">
        <f t="shared" si="51"/>
        <v>0</v>
      </c>
      <c r="BL138" s="35">
        <f t="shared" si="52"/>
        <v>0</v>
      </c>
      <c r="BM138" s="35">
        <f t="shared" si="53"/>
        <v>0</v>
      </c>
      <c r="BN138" s="35">
        <f t="shared" si="54"/>
        <v>0</v>
      </c>
      <c r="BO138" s="35">
        <f t="shared" si="55"/>
        <v>0</v>
      </c>
      <c r="BP138" s="35">
        <f t="shared" si="56"/>
        <v>0</v>
      </c>
      <c r="BQ138" s="35">
        <f t="shared" si="57"/>
        <v>0</v>
      </c>
      <c r="BR138" s="35">
        <f t="shared" si="58"/>
        <v>0</v>
      </c>
      <c r="BS138" s="35">
        <f t="shared" si="59"/>
        <v>0</v>
      </c>
      <c r="BT138" s="43">
        <f t="shared" si="60"/>
        <v>0</v>
      </c>
    </row>
    <row r="139" spans="1:72">
      <c r="A139" s="9"/>
      <c r="B139" s="34"/>
      <c r="C139" s="34"/>
      <c r="D139" s="1805"/>
      <c r="E139" s="35">
        <f t="shared" si="61"/>
        <v>0</v>
      </c>
      <c r="F139" s="36"/>
      <c r="G139" s="37">
        <f t="shared" si="36"/>
        <v>0</v>
      </c>
      <c r="H139" s="38">
        <f t="shared" si="37"/>
        <v>0</v>
      </c>
      <c r="I139" s="39"/>
      <c r="J139" s="39"/>
      <c r="K139" s="39"/>
      <c r="L139" s="39"/>
      <c r="M139" s="39"/>
      <c r="N139" s="39"/>
      <c r="O139" s="39"/>
      <c r="P139" s="39"/>
      <c r="Q139" s="39"/>
      <c r="R139" s="39"/>
      <c r="S139" s="39"/>
      <c r="T139" s="39"/>
      <c r="U139" s="39"/>
      <c r="V139" s="39"/>
      <c r="W139" s="39"/>
      <c r="X139" s="39"/>
      <c r="Y139" s="39"/>
      <c r="Z139" s="39"/>
      <c r="AA139" s="39"/>
      <c r="AB139" s="39"/>
      <c r="AC139" s="35">
        <f t="shared" si="38"/>
        <v>0</v>
      </c>
      <c r="AD139" s="40"/>
      <c r="AE139" s="40"/>
      <c r="AF139" s="40"/>
      <c r="AG139" s="40"/>
      <c r="AH139" s="40"/>
      <c r="AI139" s="40"/>
      <c r="AJ139" s="40"/>
      <c r="AK139" s="40"/>
      <c r="AL139" s="40"/>
      <c r="AM139" s="40"/>
      <c r="AN139" s="40"/>
      <c r="AO139" s="40"/>
      <c r="AP139" s="40"/>
      <c r="AQ139" s="40"/>
      <c r="AR139" s="40"/>
      <c r="AS139" s="40"/>
      <c r="AT139" s="41"/>
      <c r="AU139" s="1806"/>
      <c r="AV139" s="1517">
        <f t="shared" si="62"/>
        <v>0</v>
      </c>
      <c r="AW139" s="1517">
        <f t="shared" si="63"/>
        <v>0</v>
      </c>
      <c r="AX139" s="1517">
        <f t="shared" si="64"/>
        <v>0</v>
      </c>
      <c r="AY139" s="42">
        <f t="shared" si="39"/>
        <v>0</v>
      </c>
      <c r="AZ139" s="35">
        <f t="shared" si="40"/>
        <v>0</v>
      </c>
      <c r="BA139" s="35">
        <f t="shared" si="41"/>
        <v>0</v>
      </c>
      <c r="BB139" s="35">
        <f t="shared" si="42"/>
        <v>0</v>
      </c>
      <c r="BC139" s="35">
        <f t="shared" si="43"/>
        <v>0</v>
      </c>
      <c r="BD139" s="35">
        <f t="shared" si="44"/>
        <v>0</v>
      </c>
      <c r="BE139" s="35">
        <f t="shared" si="45"/>
        <v>0</v>
      </c>
      <c r="BF139" s="35">
        <f t="shared" si="46"/>
        <v>0</v>
      </c>
      <c r="BG139" s="35">
        <f t="shared" si="47"/>
        <v>0</v>
      </c>
      <c r="BH139" s="35">
        <f t="shared" si="48"/>
        <v>0</v>
      </c>
      <c r="BI139" s="35">
        <f t="shared" si="49"/>
        <v>0</v>
      </c>
      <c r="BJ139" s="35">
        <f t="shared" si="50"/>
        <v>0</v>
      </c>
      <c r="BK139" s="35">
        <f t="shared" si="51"/>
        <v>0</v>
      </c>
      <c r="BL139" s="35">
        <f t="shared" si="52"/>
        <v>0</v>
      </c>
      <c r="BM139" s="35">
        <f t="shared" si="53"/>
        <v>0</v>
      </c>
      <c r="BN139" s="35">
        <f t="shared" si="54"/>
        <v>0</v>
      </c>
      <c r="BO139" s="35">
        <f t="shared" si="55"/>
        <v>0</v>
      </c>
      <c r="BP139" s="35">
        <f t="shared" si="56"/>
        <v>0</v>
      </c>
      <c r="BQ139" s="35">
        <f t="shared" si="57"/>
        <v>0</v>
      </c>
      <c r="BR139" s="35">
        <f t="shared" si="58"/>
        <v>0</v>
      </c>
      <c r="BS139" s="35">
        <f t="shared" si="59"/>
        <v>0</v>
      </c>
      <c r="BT139" s="43">
        <f t="shared" si="60"/>
        <v>0</v>
      </c>
    </row>
    <row r="140" spans="1:72">
      <c r="A140" s="9"/>
      <c r="B140" s="34"/>
      <c r="C140" s="34"/>
      <c r="D140" s="1805"/>
      <c r="E140" s="35">
        <f t="shared" si="61"/>
        <v>0</v>
      </c>
      <c r="F140" s="36"/>
      <c r="G140" s="37">
        <f t="shared" si="36"/>
        <v>0</v>
      </c>
      <c r="H140" s="38">
        <f t="shared" si="37"/>
        <v>0</v>
      </c>
      <c r="I140" s="39"/>
      <c r="J140" s="39"/>
      <c r="K140" s="39"/>
      <c r="L140" s="39"/>
      <c r="M140" s="39"/>
      <c r="N140" s="39"/>
      <c r="O140" s="39"/>
      <c r="P140" s="39"/>
      <c r="Q140" s="39"/>
      <c r="R140" s="39"/>
      <c r="S140" s="39"/>
      <c r="T140" s="39"/>
      <c r="U140" s="39"/>
      <c r="V140" s="39"/>
      <c r="W140" s="39"/>
      <c r="X140" s="39"/>
      <c r="Y140" s="39"/>
      <c r="Z140" s="39"/>
      <c r="AA140" s="39"/>
      <c r="AB140" s="39"/>
      <c r="AC140" s="35">
        <f t="shared" si="38"/>
        <v>0</v>
      </c>
      <c r="AD140" s="40"/>
      <c r="AE140" s="40"/>
      <c r="AF140" s="40"/>
      <c r="AG140" s="40"/>
      <c r="AH140" s="40"/>
      <c r="AI140" s="40"/>
      <c r="AJ140" s="40"/>
      <c r="AK140" s="40"/>
      <c r="AL140" s="40"/>
      <c r="AM140" s="40"/>
      <c r="AN140" s="40"/>
      <c r="AO140" s="40"/>
      <c r="AP140" s="40"/>
      <c r="AQ140" s="40"/>
      <c r="AR140" s="40"/>
      <c r="AS140" s="40"/>
      <c r="AT140" s="41"/>
      <c r="AU140" s="1806"/>
      <c r="AV140" s="1517">
        <f t="shared" si="62"/>
        <v>0</v>
      </c>
      <c r="AW140" s="1517">
        <f t="shared" si="63"/>
        <v>0</v>
      </c>
      <c r="AX140" s="1517">
        <f t="shared" si="64"/>
        <v>0</v>
      </c>
      <c r="AY140" s="42">
        <f t="shared" si="39"/>
        <v>0</v>
      </c>
      <c r="AZ140" s="35">
        <f t="shared" si="40"/>
        <v>0</v>
      </c>
      <c r="BA140" s="35">
        <f t="shared" si="41"/>
        <v>0</v>
      </c>
      <c r="BB140" s="35">
        <f t="shared" si="42"/>
        <v>0</v>
      </c>
      <c r="BC140" s="35">
        <f t="shared" si="43"/>
        <v>0</v>
      </c>
      <c r="BD140" s="35">
        <f t="shared" si="44"/>
        <v>0</v>
      </c>
      <c r="BE140" s="35">
        <f t="shared" si="45"/>
        <v>0</v>
      </c>
      <c r="BF140" s="35">
        <f t="shared" si="46"/>
        <v>0</v>
      </c>
      <c r="BG140" s="35">
        <f t="shared" si="47"/>
        <v>0</v>
      </c>
      <c r="BH140" s="35">
        <f t="shared" si="48"/>
        <v>0</v>
      </c>
      <c r="BI140" s="35">
        <f t="shared" si="49"/>
        <v>0</v>
      </c>
      <c r="BJ140" s="35">
        <f t="shared" si="50"/>
        <v>0</v>
      </c>
      <c r="BK140" s="35">
        <f t="shared" si="51"/>
        <v>0</v>
      </c>
      <c r="BL140" s="35">
        <f t="shared" si="52"/>
        <v>0</v>
      </c>
      <c r="BM140" s="35">
        <f t="shared" si="53"/>
        <v>0</v>
      </c>
      <c r="BN140" s="35">
        <f t="shared" si="54"/>
        <v>0</v>
      </c>
      <c r="BO140" s="35">
        <f t="shared" si="55"/>
        <v>0</v>
      </c>
      <c r="BP140" s="35">
        <f t="shared" si="56"/>
        <v>0</v>
      </c>
      <c r="BQ140" s="35">
        <f t="shared" si="57"/>
        <v>0</v>
      </c>
      <c r="BR140" s="35">
        <f t="shared" si="58"/>
        <v>0</v>
      </c>
      <c r="BS140" s="35">
        <f t="shared" si="59"/>
        <v>0</v>
      </c>
      <c r="BT140" s="43">
        <f t="shared" si="60"/>
        <v>0</v>
      </c>
    </row>
    <row r="141" spans="1:72">
      <c r="A141" s="9"/>
      <c r="B141" s="34"/>
      <c r="C141" s="34"/>
      <c r="D141" s="1805"/>
      <c r="E141" s="35">
        <f t="shared" si="61"/>
        <v>0</v>
      </c>
      <c r="F141" s="36"/>
      <c r="G141" s="37">
        <f t="shared" si="36"/>
        <v>0</v>
      </c>
      <c r="H141" s="38">
        <f t="shared" si="37"/>
        <v>0</v>
      </c>
      <c r="I141" s="39"/>
      <c r="J141" s="39"/>
      <c r="K141" s="39"/>
      <c r="L141" s="39"/>
      <c r="M141" s="39"/>
      <c r="N141" s="39"/>
      <c r="O141" s="39"/>
      <c r="P141" s="39"/>
      <c r="Q141" s="39"/>
      <c r="R141" s="39"/>
      <c r="S141" s="39"/>
      <c r="T141" s="39"/>
      <c r="U141" s="39"/>
      <c r="V141" s="39"/>
      <c r="W141" s="39"/>
      <c r="X141" s="39"/>
      <c r="Y141" s="39"/>
      <c r="Z141" s="39"/>
      <c r="AA141" s="39"/>
      <c r="AB141" s="39"/>
      <c r="AC141" s="35">
        <f t="shared" si="38"/>
        <v>0</v>
      </c>
      <c r="AD141" s="40"/>
      <c r="AE141" s="40"/>
      <c r="AF141" s="40"/>
      <c r="AG141" s="40"/>
      <c r="AH141" s="40"/>
      <c r="AI141" s="40"/>
      <c r="AJ141" s="40"/>
      <c r="AK141" s="40"/>
      <c r="AL141" s="40"/>
      <c r="AM141" s="40"/>
      <c r="AN141" s="40"/>
      <c r="AO141" s="40"/>
      <c r="AP141" s="40"/>
      <c r="AQ141" s="40"/>
      <c r="AR141" s="40"/>
      <c r="AS141" s="40"/>
      <c r="AT141" s="41"/>
      <c r="AU141" s="1806"/>
      <c r="AV141" s="1517">
        <f t="shared" si="62"/>
        <v>0</v>
      </c>
      <c r="AW141" s="1517">
        <f t="shared" si="63"/>
        <v>0</v>
      </c>
      <c r="AX141" s="1517">
        <f t="shared" si="64"/>
        <v>0</v>
      </c>
      <c r="AY141" s="42">
        <f t="shared" si="39"/>
        <v>0</v>
      </c>
      <c r="AZ141" s="35">
        <f t="shared" si="40"/>
        <v>0</v>
      </c>
      <c r="BA141" s="35">
        <f t="shared" si="41"/>
        <v>0</v>
      </c>
      <c r="BB141" s="35">
        <f t="shared" si="42"/>
        <v>0</v>
      </c>
      <c r="BC141" s="35">
        <f t="shared" si="43"/>
        <v>0</v>
      </c>
      <c r="BD141" s="35">
        <f t="shared" si="44"/>
        <v>0</v>
      </c>
      <c r="BE141" s="35">
        <f t="shared" si="45"/>
        <v>0</v>
      </c>
      <c r="BF141" s="35">
        <f t="shared" si="46"/>
        <v>0</v>
      </c>
      <c r="BG141" s="35">
        <f t="shared" si="47"/>
        <v>0</v>
      </c>
      <c r="BH141" s="35">
        <f t="shared" si="48"/>
        <v>0</v>
      </c>
      <c r="BI141" s="35">
        <f t="shared" si="49"/>
        <v>0</v>
      </c>
      <c r="BJ141" s="35">
        <f t="shared" si="50"/>
        <v>0</v>
      </c>
      <c r="BK141" s="35">
        <f t="shared" si="51"/>
        <v>0</v>
      </c>
      <c r="BL141" s="35">
        <f t="shared" si="52"/>
        <v>0</v>
      </c>
      <c r="BM141" s="35">
        <f t="shared" si="53"/>
        <v>0</v>
      </c>
      <c r="BN141" s="35">
        <f t="shared" si="54"/>
        <v>0</v>
      </c>
      <c r="BO141" s="35">
        <f t="shared" si="55"/>
        <v>0</v>
      </c>
      <c r="BP141" s="35">
        <f t="shared" si="56"/>
        <v>0</v>
      </c>
      <c r="BQ141" s="35">
        <f t="shared" si="57"/>
        <v>0</v>
      </c>
      <c r="BR141" s="35">
        <f t="shared" si="58"/>
        <v>0</v>
      </c>
      <c r="BS141" s="35">
        <f t="shared" si="59"/>
        <v>0</v>
      </c>
      <c r="BT141" s="43">
        <f t="shared" si="60"/>
        <v>0</v>
      </c>
    </row>
    <row r="142" spans="1:72">
      <c r="A142" s="9"/>
      <c r="B142" s="34"/>
      <c r="C142" s="34"/>
      <c r="D142" s="1805"/>
      <c r="E142" s="35">
        <f t="shared" si="61"/>
        <v>0</v>
      </c>
      <c r="F142" s="36"/>
      <c r="G142" s="37">
        <f t="shared" ref="G142:G173" si="65">H142+AC142+AT142</f>
        <v>0</v>
      </c>
      <c r="H142" s="38">
        <f t="shared" ref="H142:H173" si="66">SUMIF(I$12:AB$12,"总值",I142:AB142)</f>
        <v>0</v>
      </c>
      <c r="I142" s="39"/>
      <c r="J142" s="39"/>
      <c r="K142" s="39"/>
      <c r="L142" s="39"/>
      <c r="M142" s="39"/>
      <c r="N142" s="39"/>
      <c r="O142" s="39"/>
      <c r="P142" s="39"/>
      <c r="Q142" s="39"/>
      <c r="R142" s="39"/>
      <c r="S142" s="39"/>
      <c r="T142" s="39"/>
      <c r="U142" s="39"/>
      <c r="V142" s="39"/>
      <c r="W142" s="39"/>
      <c r="X142" s="39"/>
      <c r="Y142" s="39"/>
      <c r="Z142" s="39"/>
      <c r="AA142" s="39"/>
      <c r="AB142" s="39"/>
      <c r="AC142" s="35">
        <f t="shared" ref="AC142:AC173" si="67">SUMIF(AD$12:AS$12,"总值",AD142:AS142)</f>
        <v>0</v>
      </c>
      <c r="AD142" s="40"/>
      <c r="AE142" s="40"/>
      <c r="AF142" s="40"/>
      <c r="AG142" s="40"/>
      <c r="AH142" s="40"/>
      <c r="AI142" s="40"/>
      <c r="AJ142" s="40"/>
      <c r="AK142" s="40"/>
      <c r="AL142" s="40"/>
      <c r="AM142" s="40"/>
      <c r="AN142" s="40"/>
      <c r="AO142" s="40"/>
      <c r="AP142" s="40"/>
      <c r="AQ142" s="40"/>
      <c r="AR142" s="40"/>
      <c r="AS142" s="40"/>
      <c r="AT142" s="41"/>
      <c r="AU142" s="1806"/>
      <c r="AV142" s="1517">
        <f t="shared" si="62"/>
        <v>0</v>
      </c>
      <c r="AW142" s="1517">
        <f t="shared" si="63"/>
        <v>0</v>
      </c>
      <c r="AX142" s="1517">
        <f t="shared" si="64"/>
        <v>0</v>
      </c>
      <c r="AY142" s="42">
        <f t="shared" ref="AY142:AY173" si="68">ROUND($AY$6*AZ142/$AZ$5,2)</f>
        <v>0</v>
      </c>
      <c r="AZ142" s="35">
        <f t="shared" ref="AZ142:AZ173" si="69">BA142+BL142</f>
        <v>0</v>
      </c>
      <c r="BA142" s="35">
        <f t="shared" ref="BA142:BA173" si="70">SUM(BB142:BK142)</f>
        <v>0</v>
      </c>
      <c r="BB142" s="35">
        <f t="shared" ref="BB142:BB173" si="71">IF($D142="是",I142-J142,0)</f>
        <v>0</v>
      </c>
      <c r="BC142" s="35">
        <f t="shared" ref="BC142:BC173" si="72">IF($D142="是",K142-L142,0)</f>
        <v>0</v>
      </c>
      <c r="BD142" s="35">
        <f t="shared" ref="BD142:BD173" si="73">IF($D142="是",M142-N142,0)</f>
        <v>0</v>
      </c>
      <c r="BE142" s="35">
        <f t="shared" ref="BE142:BE173" si="74">IF($D142="是",O142-P142,0)</f>
        <v>0</v>
      </c>
      <c r="BF142" s="35">
        <f t="shared" ref="BF142:BF173" si="75">IF($D142="是",Q142-R142,0)</f>
        <v>0</v>
      </c>
      <c r="BG142" s="35">
        <f t="shared" ref="BG142:BG173" si="76">IF($D142="是",S142-T142,0)</f>
        <v>0</v>
      </c>
      <c r="BH142" s="35">
        <f t="shared" ref="BH142:BH173" si="77">IF($D142="是",U142-V142,0)</f>
        <v>0</v>
      </c>
      <c r="BI142" s="35">
        <f t="shared" ref="BI142:BI173" si="78">IF($D142="是",W142-X142,0)</f>
        <v>0</v>
      </c>
      <c r="BJ142" s="35">
        <f t="shared" ref="BJ142:BJ173" si="79">IF($D142="是",Y142-Z142,0)</f>
        <v>0</v>
      </c>
      <c r="BK142" s="35">
        <f t="shared" ref="BK142:BK173" si="80">IF($D142="是",AA142-AB142,0)</f>
        <v>0</v>
      </c>
      <c r="BL142" s="35">
        <f t="shared" ref="BL142:BL173" si="81">SUM(BM142:BT142)</f>
        <v>0</v>
      </c>
      <c r="BM142" s="35">
        <f t="shared" ref="BM142:BM173" si="82">IF($D142="是",AD142-AE142,0)</f>
        <v>0</v>
      </c>
      <c r="BN142" s="35">
        <f t="shared" ref="BN142:BN173" si="83">IF($D142="是",AF142-AG142,0)</f>
        <v>0</v>
      </c>
      <c r="BO142" s="35">
        <f t="shared" ref="BO142:BO173" si="84">IF($D142="是",AH142-AI142,0)</f>
        <v>0</v>
      </c>
      <c r="BP142" s="35">
        <f t="shared" ref="BP142:BP173" si="85">IF($D142="是",AJ142-AK142,0)</f>
        <v>0</v>
      </c>
      <c r="BQ142" s="35">
        <f t="shared" ref="BQ142:BQ173" si="86">IF($D142="是",AL142-AM142,0)</f>
        <v>0</v>
      </c>
      <c r="BR142" s="35">
        <f t="shared" ref="BR142:BR173" si="87">IF($D142="是",AN142-AO142,0)</f>
        <v>0</v>
      </c>
      <c r="BS142" s="35">
        <f t="shared" ref="BS142:BS173" si="88">IF($D142="是",AP142-AQ142,0)</f>
        <v>0</v>
      </c>
      <c r="BT142" s="43">
        <f t="shared" ref="BT142:BT173" si="89">IF($D142="是",AR142-AS142,0)</f>
        <v>0</v>
      </c>
    </row>
    <row r="143" spans="1:72">
      <c r="A143" s="9"/>
      <c r="B143" s="34"/>
      <c r="C143" s="34"/>
      <c r="D143" s="1805"/>
      <c r="E143" s="35">
        <f t="shared" si="61"/>
        <v>0</v>
      </c>
      <c r="F143" s="36"/>
      <c r="G143" s="37">
        <f t="shared" si="65"/>
        <v>0</v>
      </c>
      <c r="H143" s="38">
        <f t="shared" si="66"/>
        <v>0</v>
      </c>
      <c r="I143" s="39"/>
      <c r="J143" s="39"/>
      <c r="K143" s="39"/>
      <c r="L143" s="39"/>
      <c r="M143" s="39"/>
      <c r="N143" s="39"/>
      <c r="O143" s="39"/>
      <c r="P143" s="39"/>
      <c r="Q143" s="39"/>
      <c r="R143" s="39"/>
      <c r="S143" s="39"/>
      <c r="T143" s="39"/>
      <c r="U143" s="39"/>
      <c r="V143" s="39"/>
      <c r="W143" s="39"/>
      <c r="X143" s="39"/>
      <c r="Y143" s="39"/>
      <c r="Z143" s="39"/>
      <c r="AA143" s="39"/>
      <c r="AB143" s="39"/>
      <c r="AC143" s="35">
        <f t="shared" si="67"/>
        <v>0</v>
      </c>
      <c r="AD143" s="40"/>
      <c r="AE143" s="40"/>
      <c r="AF143" s="40"/>
      <c r="AG143" s="40"/>
      <c r="AH143" s="40"/>
      <c r="AI143" s="40"/>
      <c r="AJ143" s="40"/>
      <c r="AK143" s="40"/>
      <c r="AL143" s="40"/>
      <c r="AM143" s="40"/>
      <c r="AN143" s="40"/>
      <c r="AO143" s="40"/>
      <c r="AP143" s="40"/>
      <c r="AQ143" s="40"/>
      <c r="AR143" s="40"/>
      <c r="AS143" s="40"/>
      <c r="AT143" s="41"/>
      <c r="AU143" s="1806"/>
      <c r="AV143" s="1517">
        <f t="shared" si="62"/>
        <v>0</v>
      </c>
      <c r="AW143" s="1517">
        <f t="shared" si="63"/>
        <v>0</v>
      </c>
      <c r="AX143" s="1517">
        <f t="shared" si="64"/>
        <v>0</v>
      </c>
      <c r="AY143" s="42">
        <f t="shared" si="68"/>
        <v>0</v>
      </c>
      <c r="AZ143" s="35">
        <f t="shared" si="69"/>
        <v>0</v>
      </c>
      <c r="BA143" s="35">
        <f t="shared" si="70"/>
        <v>0</v>
      </c>
      <c r="BB143" s="35">
        <f t="shared" si="71"/>
        <v>0</v>
      </c>
      <c r="BC143" s="35">
        <f t="shared" si="72"/>
        <v>0</v>
      </c>
      <c r="BD143" s="35">
        <f t="shared" si="73"/>
        <v>0</v>
      </c>
      <c r="BE143" s="35">
        <f t="shared" si="74"/>
        <v>0</v>
      </c>
      <c r="BF143" s="35">
        <f t="shared" si="75"/>
        <v>0</v>
      </c>
      <c r="BG143" s="35">
        <f t="shared" si="76"/>
        <v>0</v>
      </c>
      <c r="BH143" s="35">
        <f t="shared" si="77"/>
        <v>0</v>
      </c>
      <c r="BI143" s="35">
        <f t="shared" si="78"/>
        <v>0</v>
      </c>
      <c r="BJ143" s="35">
        <f t="shared" si="79"/>
        <v>0</v>
      </c>
      <c r="BK143" s="35">
        <f t="shared" si="80"/>
        <v>0</v>
      </c>
      <c r="BL143" s="35">
        <f t="shared" si="81"/>
        <v>0</v>
      </c>
      <c r="BM143" s="35">
        <f t="shared" si="82"/>
        <v>0</v>
      </c>
      <c r="BN143" s="35">
        <f t="shared" si="83"/>
        <v>0</v>
      </c>
      <c r="BO143" s="35">
        <f t="shared" si="84"/>
        <v>0</v>
      </c>
      <c r="BP143" s="35">
        <f t="shared" si="85"/>
        <v>0</v>
      </c>
      <c r="BQ143" s="35">
        <f t="shared" si="86"/>
        <v>0</v>
      </c>
      <c r="BR143" s="35">
        <f t="shared" si="87"/>
        <v>0</v>
      </c>
      <c r="BS143" s="35">
        <f t="shared" si="88"/>
        <v>0</v>
      </c>
      <c r="BT143" s="43">
        <f t="shared" si="89"/>
        <v>0</v>
      </c>
    </row>
    <row r="144" spans="1:72">
      <c r="A144" s="9"/>
      <c r="B144" s="34"/>
      <c r="C144" s="34"/>
      <c r="D144" s="1805"/>
      <c r="E144" s="35">
        <f t="shared" si="61"/>
        <v>0</v>
      </c>
      <c r="F144" s="36"/>
      <c r="G144" s="37">
        <f t="shared" si="65"/>
        <v>0</v>
      </c>
      <c r="H144" s="38">
        <f t="shared" si="66"/>
        <v>0</v>
      </c>
      <c r="I144" s="39"/>
      <c r="J144" s="39"/>
      <c r="K144" s="39"/>
      <c r="L144" s="39"/>
      <c r="M144" s="39"/>
      <c r="N144" s="39"/>
      <c r="O144" s="39"/>
      <c r="P144" s="39"/>
      <c r="Q144" s="39"/>
      <c r="R144" s="39"/>
      <c r="S144" s="39"/>
      <c r="T144" s="39"/>
      <c r="U144" s="39"/>
      <c r="V144" s="39"/>
      <c r="W144" s="39"/>
      <c r="X144" s="39"/>
      <c r="Y144" s="39"/>
      <c r="Z144" s="39"/>
      <c r="AA144" s="39"/>
      <c r="AB144" s="39"/>
      <c r="AC144" s="35">
        <f t="shared" si="67"/>
        <v>0</v>
      </c>
      <c r="AD144" s="40"/>
      <c r="AE144" s="40"/>
      <c r="AF144" s="40"/>
      <c r="AG144" s="40"/>
      <c r="AH144" s="40"/>
      <c r="AI144" s="40"/>
      <c r="AJ144" s="40"/>
      <c r="AK144" s="40"/>
      <c r="AL144" s="40"/>
      <c r="AM144" s="40"/>
      <c r="AN144" s="40"/>
      <c r="AO144" s="40"/>
      <c r="AP144" s="40"/>
      <c r="AQ144" s="40"/>
      <c r="AR144" s="40"/>
      <c r="AS144" s="40"/>
      <c r="AT144" s="41"/>
      <c r="AU144" s="1806"/>
      <c r="AV144" s="1517">
        <f t="shared" si="62"/>
        <v>0</v>
      </c>
      <c r="AW144" s="1517">
        <f t="shared" si="63"/>
        <v>0</v>
      </c>
      <c r="AX144" s="1517">
        <f t="shared" si="64"/>
        <v>0</v>
      </c>
      <c r="AY144" s="42">
        <f t="shared" si="68"/>
        <v>0</v>
      </c>
      <c r="AZ144" s="35">
        <f t="shared" si="69"/>
        <v>0</v>
      </c>
      <c r="BA144" s="35">
        <f t="shared" si="70"/>
        <v>0</v>
      </c>
      <c r="BB144" s="35">
        <f t="shared" si="71"/>
        <v>0</v>
      </c>
      <c r="BC144" s="35">
        <f t="shared" si="72"/>
        <v>0</v>
      </c>
      <c r="BD144" s="35">
        <f t="shared" si="73"/>
        <v>0</v>
      </c>
      <c r="BE144" s="35">
        <f t="shared" si="74"/>
        <v>0</v>
      </c>
      <c r="BF144" s="35">
        <f t="shared" si="75"/>
        <v>0</v>
      </c>
      <c r="BG144" s="35">
        <f t="shared" si="76"/>
        <v>0</v>
      </c>
      <c r="BH144" s="35">
        <f t="shared" si="77"/>
        <v>0</v>
      </c>
      <c r="BI144" s="35">
        <f t="shared" si="78"/>
        <v>0</v>
      </c>
      <c r="BJ144" s="35">
        <f t="shared" si="79"/>
        <v>0</v>
      </c>
      <c r="BK144" s="35">
        <f t="shared" si="80"/>
        <v>0</v>
      </c>
      <c r="BL144" s="35">
        <f t="shared" si="81"/>
        <v>0</v>
      </c>
      <c r="BM144" s="35">
        <f t="shared" si="82"/>
        <v>0</v>
      </c>
      <c r="BN144" s="35">
        <f t="shared" si="83"/>
        <v>0</v>
      </c>
      <c r="BO144" s="35">
        <f t="shared" si="84"/>
        <v>0</v>
      </c>
      <c r="BP144" s="35">
        <f t="shared" si="85"/>
        <v>0</v>
      </c>
      <c r="BQ144" s="35">
        <f t="shared" si="86"/>
        <v>0</v>
      </c>
      <c r="BR144" s="35">
        <f t="shared" si="87"/>
        <v>0</v>
      </c>
      <c r="BS144" s="35">
        <f t="shared" si="88"/>
        <v>0</v>
      </c>
      <c r="BT144" s="43">
        <f t="shared" si="89"/>
        <v>0</v>
      </c>
    </row>
    <row r="145" spans="1:72">
      <c r="A145" s="9"/>
      <c r="B145" s="34"/>
      <c r="C145" s="34"/>
      <c r="D145" s="1805"/>
      <c r="E145" s="35">
        <f t="shared" ref="E145:E176" si="90">IF($C$3="是",ROUND($A$3*G145/$B$3,2),ROUND($A$3*(G145-AT145)/$B$3,2))</f>
        <v>0</v>
      </c>
      <c r="F145" s="36"/>
      <c r="G145" s="37">
        <f t="shared" si="65"/>
        <v>0</v>
      </c>
      <c r="H145" s="38">
        <f t="shared" si="66"/>
        <v>0</v>
      </c>
      <c r="I145" s="39"/>
      <c r="J145" s="39"/>
      <c r="K145" s="39"/>
      <c r="L145" s="39"/>
      <c r="M145" s="39"/>
      <c r="N145" s="39"/>
      <c r="O145" s="39"/>
      <c r="P145" s="39"/>
      <c r="Q145" s="39"/>
      <c r="R145" s="39"/>
      <c r="S145" s="39"/>
      <c r="T145" s="39"/>
      <c r="U145" s="39"/>
      <c r="V145" s="39"/>
      <c r="W145" s="39"/>
      <c r="X145" s="39"/>
      <c r="Y145" s="39"/>
      <c r="Z145" s="39"/>
      <c r="AA145" s="39"/>
      <c r="AB145" s="39"/>
      <c r="AC145" s="35">
        <f t="shared" si="67"/>
        <v>0</v>
      </c>
      <c r="AD145" s="40"/>
      <c r="AE145" s="40"/>
      <c r="AF145" s="40"/>
      <c r="AG145" s="40"/>
      <c r="AH145" s="40"/>
      <c r="AI145" s="40"/>
      <c r="AJ145" s="40"/>
      <c r="AK145" s="40"/>
      <c r="AL145" s="40"/>
      <c r="AM145" s="40"/>
      <c r="AN145" s="40"/>
      <c r="AO145" s="40"/>
      <c r="AP145" s="40"/>
      <c r="AQ145" s="40"/>
      <c r="AR145" s="40"/>
      <c r="AS145" s="40"/>
      <c r="AT145" s="41"/>
      <c r="AU145" s="1806"/>
      <c r="AV145" s="1517">
        <f t="shared" ref="AV145:AV176" si="91">A145</f>
        <v>0</v>
      </c>
      <c r="AW145" s="1517">
        <f t="shared" ref="AW145:AW176" si="92">B145</f>
        <v>0</v>
      </c>
      <c r="AX145" s="1517">
        <f t="shared" ref="AX145:AX176" si="93">C145</f>
        <v>0</v>
      </c>
      <c r="AY145" s="42">
        <f t="shared" si="68"/>
        <v>0</v>
      </c>
      <c r="AZ145" s="35">
        <f t="shared" si="69"/>
        <v>0</v>
      </c>
      <c r="BA145" s="35">
        <f t="shared" si="70"/>
        <v>0</v>
      </c>
      <c r="BB145" s="35">
        <f t="shared" si="71"/>
        <v>0</v>
      </c>
      <c r="BC145" s="35">
        <f t="shared" si="72"/>
        <v>0</v>
      </c>
      <c r="BD145" s="35">
        <f t="shared" si="73"/>
        <v>0</v>
      </c>
      <c r="BE145" s="35">
        <f t="shared" si="74"/>
        <v>0</v>
      </c>
      <c r="BF145" s="35">
        <f t="shared" si="75"/>
        <v>0</v>
      </c>
      <c r="BG145" s="35">
        <f t="shared" si="76"/>
        <v>0</v>
      </c>
      <c r="BH145" s="35">
        <f t="shared" si="77"/>
        <v>0</v>
      </c>
      <c r="BI145" s="35">
        <f t="shared" si="78"/>
        <v>0</v>
      </c>
      <c r="BJ145" s="35">
        <f t="shared" si="79"/>
        <v>0</v>
      </c>
      <c r="BK145" s="35">
        <f t="shared" si="80"/>
        <v>0</v>
      </c>
      <c r="BL145" s="35">
        <f t="shared" si="81"/>
        <v>0</v>
      </c>
      <c r="BM145" s="35">
        <f t="shared" si="82"/>
        <v>0</v>
      </c>
      <c r="BN145" s="35">
        <f t="shared" si="83"/>
        <v>0</v>
      </c>
      <c r="BO145" s="35">
        <f t="shared" si="84"/>
        <v>0</v>
      </c>
      <c r="BP145" s="35">
        <f t="shared" si="85"/>
        <v>0</v>
      </c>
      <c r="BQ145" s="35">
        <f t="shared" si="86"/>
        <v>0</v>
      </c>
      <c r="BR145" s="35">
        <f t="shared" si="87"/>
        <v>0</v>
      </c>
      <c r="BS145" s="35">
        <f t="shared" si="88"/>
        <v>0</v>
      </c>
      <c r="BT145" s="43">
        <f t="shared" si="89"/>
        <v>0</v>
      </c>
    </row>
    <row r="146" spans="1:72">
      <c r="A146" s="9"/>
      <c r="B146" s="34"/>
      <c r="C146" s="34"/>
      <c r="D146" s="1805"/>
      <c r="E146" s="35">
        <f t="shared" si="90"/>
        <v>0</v>
      </c>
      <c r="F146" s="36"/>
      <c r="G146" s="37">
        <f t="shared" si="65"/>
        <v>0</v>
      </c>
      <c r="H146" s="38">
        <f t="shared" si="66"/>
        <v>0</v>
      </c>
      <c r="I146" s="39"/>
      <c r="J146" s="39"/>
      <c r="K146" s="39"/>
      <c r="L146" s="39"/>
      <c r="M146" s="39"/>
      <c r="N146" s="39"/>
      <c r="O146" s="39"/>
      <c r="P146" s="39"/>
      <c r="Q146" s="39"/>
      <c r="R146" s="39"/>
      <c r="S146" s="39"/>
      <c r="T146" s="39"/>
      <c r="U146" s="39"/>
      <c r="V146" s="39"/>
      <c r="W146" s="39"/>
      <c r="X146" s="39"/>
      <c r="Y146" s="39"/>
      <c r="Z146" s="39"/>
      <c r="AA146" s="39"/>
      <c r="AB146" s="39"/>
      <c r="AC146" s="35">
        <f t="shared" si="67"/>
        <v>0</v>
      </c>
      <c r="AD146" s="40"/>
      <c r="AE146" s="40"/>
      <c r="AF146" s="40"/>
      <c r="AG146" s="40"/>
      <c r="AH146" s="40"/>
      <c r="AI146" s="40"/>
      <c r="AJ146" s="40"/>
      <c r="AK146" s="40"/>
      <c r="AL146" s="40"/>
      <c r="AM146" s="40"/>
      <c r="AN146" s="40"/>
      <c r="AO146" s="40"/>
      <c r="AP146" s="40"/>
      <c r="AQ146" s="40"/>
      <c r="AR146" s="40"/>
      <c r="AS146" s="40"/>
      <c r="AT146" s="41"/>
      <c r="AU146" s="1806"/>
      <c r="AV146" s="1517">
        <f t="shared" si="91"/>
        <v>0</v>
      </c>
      <c r="AW146" s="1517">
        <f t="shared" si="92"/>
        <v>0</v>
      </c>
      <c r="AX146" s="1517">
        <f t="shared" si="93"/>
        <v>0</v>
      </c>
      <c r="AY146" s="42">
        <f t="shared" si="68"/>
        <v>0</v>
      </c>
      <c r="AZ146" s="35">
        <f t="shared" si="69"/>
        <v>0</v>
      </c>
      <c r="BA146" s="35">
        <f t="shared" si="70"/>
        <v>0</v>
      </c>
      <c r="BB146" s="35">
        <f t="shared" si="71"/>
        <v>0</v>
      </c>
      <c r="BC146" s="35">
        <f t="shared" si="72"/>
        <v>0</v>
      </c>
      <c r="BD146" s="35">
        <f t="shared" si="73"/>
        <v>0</v>
      </c>
      <c r="BE146" s="35">
        <f t="shared" si="74"/>
        <v>0</v>
      </c>
      <c r="BF146" s="35">
        <f t="shared" si="75"/>
        <v>0</v>
      </c>
      <c r="BG146" s="35">
        <f t="shared" si="76"/>
        <v>0</v>
      </c>
      <c r="BH146" s="35">
        <f t="shared" si="77"/>
        <v>0</v>
      </c>
      <c r="BI146" s="35">
        <f t="shared" si="78"/>
        <v>0</v>
      </c>
      <c r="BJ146" s="35">
        <f t="shared" si="79"/>
        <v>0</v>
      </c>
      <c r="BK146" s="35">
        <f t="shared" si="80"/>
        <v>0</v>
      </c>
      <c r="BL146" s="35">
        <f t="shared" si="81"/>
        <v>0</v>
      </c>
      <c r="BM146" s="35">
        <f t="shared" si="82"/>
        <v>0</v>
      </c>
      <c r="BN146" s="35">
        <f t="shared" si="83"/>
        <v>0</v>
      </c>
      <c r="BO146" s="35">
        <f t="shared" si="84"/>
        <v>0</v>
      </c>
      <c r="BP146" s="35">
        <f t="shared" si="85"/>
        <v>0</v>
      </c>
      <c r="BQ146" s="35">
        <f t="shared" si="86"/>
        <v>0</v>
      </c>
      <c r="BR146" s="35">
        <f t="shared" si="87"/>
        <v>0</v>
      </c>
      <c r="BS146" s="35">
        <f t="shared" si="88"/>
        <v>0</v>
      </c>
      <c r="BT146" s="43">
        <f t="shared" si="89"/>
        <v>0</v>
      </c>
    </row>
    <row r="147" spans="1:72">
      <c r="A147" s="9"/>
      <c r="B147" s="34"/>
      <c r="C147" s="34"/>
      <c r="D147" s="1805"/>
      <c r="E147" s="35">
        <f t="shared" si="90"/>
        <v>0</v>
      </c>
      <c r="F147" s="36"/>
      <c r="G147" s="37">
        <f t="shared" si="65"/>
        <v>0</v>
      </c>
      <c r="H147" s="38">
        <f t="shared" si="66"/>
        <v>0</v>
      </c>
      <c r="I147" s="39"/>
      <c r="J147" s="39"/>
      <c r="K147" s="39"/>
      <c r="L147" s="39"/>
      <c r="M147" s="39"/>
      <c r="N147" s="39"/>
      <c r="O147" s="39"/>
      <c r="P147" s="39"/>
      <c r="Q147" s="39"/>
      <c r="R147" s="39"/>
      <c r="S147" s="39"/>
      <c r="T147" s="39"/>
      <c r="U147" s="39"/>
      <c r="V147" s="39"/>
      <c r="W147" s="39"/>
      <c r="X147" s="39"/>
      <c r="Y147" s="39"/>
      <c r="Z147" s="39"/>
      <c r="AA147" s="39"/>
      <c r="AB147" s="39"/>
      <c r="AC147" s="35">
        <f t="shared" si="67"/>
        <v>0</v>
      </c>
      <c r="AD147" s="40"/>
      <c r="AE147" s="40"/>
      <c r="AF147" s="40"/>
      <c r="AG147" s="40"/>
      <c r="AH147" s="40"/>
      <c r="AI147" s="40"/>
      <c r="AJ147" s="40"/>
      <c r="AK147" s="40"/>
      <c r="AL147" s="40"/>
      <c r="AM147" s="40"/>
      <c r="AN147" s="40"/>
      <c r="AO147" s="40"/>
      <c r="AP147" s="40"/>
      <c r="AQ147" s="40"/>
      <c r="AR147" s="40"/>
      <c r="AS147" s="40"/>
      <c r="AT147" s="41"/>
      <c r="AU147" s="1806"/>
      <c r="AV147" s="1517">
        <f t="shared" si="91"/>
        <v>0</v>
      </c>
      <c r="AW147" s="1517">
        <f t="shared" si="92"/>
        <v>0</v>
      </c>
      <c r="AX147" s="1517">
        <f t="shared" si="93"/>
        <v>0</v>
      </c>
      <c r="AY147" s="42">
        <f t="shared" si="68"/>
        <v>0</v>
      </c>
      <c r="AZ147" s="35">
        <f t="shared" si="69"/>
        <v>0</v>
      </c>
      <c r="BA147" s="35">
        <f t="shared" si="70"/>
        <v>0</v>
      </c>
      <c r="BB147" s="35">
        <f t="shared" si="71"/>
        <v>0</v>
      </c>
      <c r="BC147" s="35">
        <f t="shared" si="72"/>
        <v>0</v>
      </c>
      <c r="BD147" s="35">
        <f t="shared" si="73"/>
        <v>0</v>
      </c>
      <c r="BE147" s="35">
        <f t="shared" si="74"/>
        <v>0</v>
      </c>
      <c r="BF147" s="35">
        <f t="shared" si="75"/>
        <v>0</v>
      </c>
      <c r="BG147" s="35">
        <f t="shared" si="76"/>
        <v>0</v>
      </c>
      <c r="BH147" s="35">
        <f t="shared" si="77"/>
        <v>0</v>
      </c>
      <c r="BI147" s="35">
        <f t="shared" si="78"/>
        <v>0</v>
      </c>
      <c r="BJ147" s="35">
        <f t="shared" si="79"/>
        <v>0</v>
      </c>
      <c r="BK147" s="35">
        <f t="shared" si="80"/>
        <v>0</v>
      </c>
      <c r="BL147" s="35">
        <f t="shared" si="81"/>
        <v>0</v>
      </c>
      <c r="BM147" s="35">
        <f t="shared" si="82"/>
        <v>0</v>
      </c>
      <c r="BN147" s="35">
        <f t="shared" si="83"/>
        <v>0</v>
      </c>
      <c r="BO147" s="35">
        <f t="shared" si="84"/>
        <v>0</v>
      </c>
      <c r="BP147" s="35">
        <f t="shared" si="85"/>
        <v>0</v>
      </c>
      <c r="BQ147" s="35">
        <f t="shared" si="86"/>
        <v>0</v>
      </c>
      <c r="BR147" s="35">
        <f t="shared" si="87"/>
        <v>0</v>
      </c>
      <c r="BS147" s="35">
        <f t="shared" si="88"/>
        <v>0</v>
      </c>
      <c r="BT147" s="43">
        <f t="shared" si="89"/>
        <v>0</v>
      </c>
    </row>
    <row r="148" spans="1:72">
      <c r="A148" s="9"/>
      <c r="B148" s="34"/>
      <c r="C148" s="34"/>
      <c r="D148" s="1805"/>
      <c r="E148" s="35">
        <f t="shared" si="90"/>
        <v>0</v>
      </c>
      <c r="F148" s="36"/>
      <c r="G148" s="37">
        <f t="shared" si="65"/>
        <v>0</v>
      </c>
      <c r="H148" s="38">
        <f t="shared" si="66"/>
        <v>0</v>
      </c>
      <c r="I148" s="39"/>
      <c r="J148" s="39"/>
      <c r="K148" s="39"/>
      <c r="L148" s="39"/>
      <c r="M148" s="39"/>
      <c r="N148" s="39"/>
      <c r="O148" s="39"/>
      <c r="P148" s="39"/>
      <c r="Q148" s="39"/>
      <c r="R148" s="39"/>
      <c r="S148" s="39"/>
      <c r="T148" s="39"/>
      <c r="U148" s="39"/>
      <c r="V148" s="39"/>
      <c r="W148" s="39"/>
      <c r="X148" s="39"/>
      <c r="Y148" s="39"/>
      <c r="Z148" s="39"/>
      <c r="AA148" s="39"/>
      <c r="AB148" s="39"/>
      <c r="AC148" s="35">
        <f t="shared" si="67"/>
        <v>0</v>
      </c>
      <c r="AD148" s="40"/>
      <c r="AE148" s="40"/>
      <c r="AF148" s="40"/>
      <c r="AG148" s="40"/>
      <c r="AH148" s="40"/>
      <c r="AI148" s="40"/>
      <c r="AJ148" s="40"/>
      <c r="AK148" s="40"/>
      <c r="AL148" s="40"/>
      <c r="AM148" s="40"/>
      <c r="AN148" s="40"/>
      <c r="AO148" s="40"/>
      <c r="AP148" s="40"/>
      <c r="AQ148" s="40"/>
      <c r="AR148" s="40"/>
      <c r="AS148" s="40"/>
      <c r="AT148" s="41"/>
      <c r="AU148" s="1806"/>
      <c r="AV148" s="1517">
        <f t="shared" si="91"/>
        <v>0</v>
      </c>
      <c r="AW148" s="1517">
        <f t="shared" si="92"/>
        <v>0</v>
      </c>
      <c r="AX148" s="1517">
        <f t="shared" si="93"/>
        <v>0</v>
      </c>
      <c r="AY148" s="42">
        <f t="shared" si="68"/>
        <v>0</v>
      </c>
      <c r="AZ148" s="35">
        <f t="shared" si="69"/>
        <v>0</v>
      </c>
      <c r="BA148" s="35">
        <f t="shared" si="70"/>
        <v>0</v>
      </c>
      <c r="BB148" s="35">
        <f t="shared" si="71"/>
        <v>0</v>
      </c>
      <c r="BC148" s="35">
        <f t="shared" si="72"/>
        <v>0</v>
      </c>
      <c r="BD148" s="35">
        <f t="shared" si="73"/>
        <v>0</v>
      </c>
      <c r="BE148" s="35">
        <f t="shared" si="74"/>
        <v>0</v>
      </c>
      <c r="BF148" s="35">
        <f t="shared" si="75"/>
        <v>0</v>
      </c>
      <c r="BG148" s="35">
        <f t="shared" si="76"/>
        <v>0</v>
      </c>
      <c r="BH148" s="35">
        <f t="shared" si="77"/>
        <v>0</v>
      </c>
      <c r="BI148" s="35">
        <f t="shared" si="78"/>
        <v>0</v>
      </c>
      <c r="BJ148" s="35">
        <f t="shared" si="79"/>
        <v>0</v>
      </c>
      <c r="BK148" s="35">
        <f t="shared" si="80"/>
        <v>0</v>
      </c>
      <c r="BL148" s="35">
        <f t="shared" si="81"/>
        <v>0</v>
      </c>
      <c r="BM148" s="35">
        <f t="shared" si="82"/>
        <v>0</v>
      </c>
      <c r="BN148" s="35">
        <f t="shared" si="83"/>
        <v>0</v>
      </c>
      <c r="BO148" s="35">
        <f t="shared" si="84"/>
        <v>0</v>
      </c>
      <c r="BP148" s="35">
        <f t="shared" si="85"/>
        <v>0</v>
      </c>
      <c r="BQ148" s="35">
        <f t="shared" si="86"/>
        <v>0</v>
      </c>
      <c r="BR148" s="35">
        <f t="shared" si="87"/>
        <v>0</v>
      </c>
      <c r="BS148" s="35">
        <f t="shared" si="88"/>
        <v>0</v>
      </c>
      <c r="BT148" s="43">
        <f t="shared" si="89"/>
        <v>0</v>
      </c>
    </row>
    <row r="149" spans="1:72">
      <c r="A149" s="9"/>
      <c r="B149" s="34"/>
      <c r="C149" s="34"/>
      <c r="D149" s="1805"/>
      <c r="E149" s="35">
        <f t="shared" si="90"/>
        <v>0</v>
      </c>
      <c r="F149" s="36"/>
      <c r="G149" s="37">
        <f t="shared" si="65"/>
        <v>0</v>
      </c>
      <c r="H149" s="38">
        <f t="shared" si="66"/>
        <v>0</v>
      </c>
      <c r="I149" s="39"/>
      <c r="J149" s="39"/>
      <c r="K149" s="39"/>
      <c r="L149" s="39"/>
      <c r="M149" s="39"/>
      <c r="N149" s="39"/>
      <c r="O149" s="39"/>
      <c r="P149" s="39"/>
      <c r="Q149" s="39"/>
      <c r="R149" s="39"/>
      <c r="S149" s="39"/>
      <c r="T149" s="39"/>
      <c r="U149" s="39"/>
      <c r="V149" s="39"/>
      <c r="W149" s="39"/>
      <c r="X149" s="39"/>
      <c r="Y149" s="39"/>
      <c r="Z149" s="39"/>
      <c r="AA149" s="39"/>
      <c r="AB149" s="39"/>
      <c r="AC149" s="35">
        <f t="shared" si="67"/>
        <v>0</v>
      </c>
      <c r="AD149" s="40"/>
      <c r="AE149" s="40"/>
      <c r="AF149" s="40"/>
      <c r="AG149" s="40"/>
      <c r="AH149" s="40"/>
      <c r="AI149" s="40"/>
      <c r="AJ149" s="40"/>
      <c r="AK149" s="40"/>
      <c r="AL149" s="40"/>
      <c r="AM149" s="40"/>
      <c r="AN149" s="40"/>
      <c r="AO149" s="40"/>
      <c r="AP149" s="40"/>
      <c r="AQ149" s="40"/>
      <c r="AR149" s="40"/>
      <c r="AS149" s="40"/>
      <c r="AT149" s="41"/>
      <c r="AU149" s="1806"/>
      <c r="AV149" s="1517">
        <f t="shared" si="91"/>
        <v>0</v>
      </c>
      <c r="AW149" s="1517">
        <f t="shared" si="92"/>
        <v>0</v>
      </c>
      <c r="AX149" s="1517">
        <f t="shared" si="93"/>
        <v>0</v>
      </c>
      <c r="AY149" s="42">
        <f t="shared" si="68"/>
        <v>0</v>
      </c>
      <c r="AZ149" s="35">
        <f t="shared" si="69"/>
        <v>0</v>
      </c>
      <c r="BA149" s="35">
        <f t="shared" si="70"/>
        <v>0</v>
      </c>
      <c r="BB149" s="35">
        <f t="shared" si="71"/>
        <v>0</v>
      </c>
      <c r="BC149" s="35">
        <f t="shared" si="72"/>
        <v>0</v>
      </c>
      <c r="BD149" s="35">
        <f t="shared" si="73"/>
        <v>0</v>
      </c>
      <c r="BE149" s="35">
        <f t="shared" si="74"/>
        <v>0</v>
      </c>
      <c r="BF149" s="35">
        <f t="shared" si="75"/>
        <v>0</v>
      </c>
      <c r="BG149" s="35">
        <f t="shared" si="76"/>
        <v>0</v>
      </c>
      <c r="BH149" s="35">
        <f t="shared" si="77"/>
        <v>0</v>
      </c>
      <c r="BI149" s="35">
        <f t="shared" si="78"/>
        <v>0</v>
      </c>
      <c r="BJ149" s="35">
        <f t="shared" si="79"/>
        <v>0</v>
      </c>
      <c r="BK149" s="35">
        <f t="shared" si="80"/>
        <v>0</v>
      </c>
      <c r="BL149" s="35">
        <f t="shared" si="81"/>
        <v>0</v>
      </c>
      <c r="BM149" s="35">
        <f t="shared" si="82"/>
        <v>0</v>
      </c>
      <c r="BN149" s="35">
        <f t="shared" si="83"/>
        <v>0</v>
      </c>
      <c r="BO149" s="35">
        <f t="shared" si="84"/>
        <v>0</v>
      </c>
      <c r="BP149" s="35">
        <f t="shared" si="85"/>
        <v>0</v>
      </c>
      <c r="BQ149" s="35">
        <f t="shared" si="86"/>
        <v>0</v>
      </c>
      <c r="BR149" s="35">
        <f t="shared" si="87"/>
        <v>0</v>
      </c>
      <c r="BS149" s="35">
        <f t="shared" si="88"/>
        <v>0</v>
      </c>
      <c r="BT149" s="43">
        <f t="shared" si="89"/>
        <v>0</v>
      </c>
    </row>
    <row r="150" spans="1:72">
      <c r="A150" s="9"/>
      <c r="B150" s="34"/>
      <c r="C150" s="34"/>
      <c r="D150" s="1805"/>
      <c r="E150" s="35">
        <f t="shared" si="90"/>
        <v>0</v>
      </c>
      <c r="F150" s="36"/>
      <c r="G150" s="37">
        <f t="shared" si="65"/>
        <v>0</v>
      </c>
      <c r="H150" s="38">
        <f t="shared" si="66"/>
        <v>0</v>
      </c>
      <c r="I150" s="39"/>
      <c r="J150" s="39"/>
      <c r="K150" s="39"/>
      <c r="L150" s="39"/>
      <c r="M150" s="39"/>
      <c r="N150" s="39"/>
      <c r="O150" s="39"/>
      <c r="P150" s="39"/>
      <c r="Q150" s="39"/>
      <c r="R150" s="39"/>
      <c r="S150" s="39"/>
      <c r="T150" s="39"/>
      <c r="U150" s="39"/>
      <c r="V150" s="39"/>
      <c r="W150" s="39"/>
      <c r="X150" s="39"/>
      <c r="Y150" s="39"/>
      <c r="Z150" s="39"/>
      <c r="AA150" s="39"/>
      <c r="AB150" s="39"/>
      <c r="AC150" s="35">
        <f t="shared" si="67"/>
        <v>0</v>
      </c>
      <c r="AD150" s="40"/>
      <c r="AE150" s="40"/>
      <c r="AF150" s="40"/>
      <c r="AG150" s="40"/>
      <c r="AH150" s="40"/>
      <c r="AI150" s="40"/>
      <c r="AJ150" s="40"/>
      <c r="AK150" s="40"/>
      <c r="AL150" s="40"/>
      <c r="AM150" s="40"/>
      <c r="AN150" s="40"/>
      <c r="AO150" s="40"/>
      <c r="AP150" s="40"/>
      <c r="AQ150" s="40"/>
      <c r="AR150" s="40"/>
      <c r="AS150" s="40"/>
      <c r="AT150" s="41"/>
      <c r="AU150" s="1806"/>
      <c r="AV150" s="1517">
        <f t="shared" si="91"/>
        <v>0</v>
      </c>
      <c r="AW150" s="1517">
        <f t="shared" si="92"/>
        <v>0</v>
      </c>
      <c r="AX150" s="1517">
        <f t="shared" si="93"/>
        <v>0</v>
      </c>
      <c r="AY150" s="42">
        <f t="shared" si="68"/>
        <v>0</v>
      </c>
      <c r="AZ150" s="35">
        <f t="shared" si="69"/>
        <v>0</v>
      </c>
      <c r="BA150" s="35">
        <f t="shared" si="70"/>
        <v>0</v>
      </c>
      <c r="BB150" s="35">
        <f t="shared" si="71"/>
        <v>0</v>
      </c>
      <c r="BC150" s="35">
        <f t="shared" si="72"/>
        <v>0</v>
      </c>
      <c r="BD150" s="35">
        <f t="shared" si="73"/>
        <v>0</v>
      </c>
      <c r="BE150" s="35">
        <f t="shared" si="74"/>
        <v>0</v>
      </c>
      <c r="BF150" s="35">
        <f t="shared" si="75"/>
        <v>0</v>
      </c>
      <c r="BG150" s="35">
        <f t="shared" si="76"/>
        <v>0</v>
      </c>
      <c r="BH150" s="35">
        <f t="shared" si="77"/>
        <v>0</v>
      </c>
      <c r="BI150" s="35">
        <f t="shared" si="78"/>
        <v>0</v>
      </c>
      <c r="BJ150" s="35">
        <f t="shared" si="79"/>
        <v>0</v>
      </c>
      <c r="BK150" s="35">
        <f t="shared" si="80"/>
        <v>0</v>
      </c>
      <c r="BL150" s="35">
        <f t="shared" si="81"/>
        <v>0</v>
      </c>
      <c r="BM150" s="35">
        <f t="shared" si="82"/>
        <v>0</v>
      </c>
      <c r="BN150" s="35">
        <f t="shared" si="83"/>
        <v>0</v>
      </c>
      <c r="BO150" s="35">
        <f t="shared" si="84"/>
        <v>0</v>
      </c>
      <c r="BP150" s="35">
        <f t="shared" si="85"/>
        <v>0</v>
      </c>
      <c r="BQ150" s="35">
        <f t="shared" si="86"/>
        <v>0</v>
      </c>
      <c r="BR150" s="35">
        <f t="shared" si="87"/>
        <v>0</v>
      </c>
      <c r="BS150" s="35">
        <f t="shared" si="88"/>
        <v>0</v>
      </c>
      <c r="BT150" s="43">
        <f t="shared" si="89"/>
        <v>0</v>
      </c>
    </row>
    <row r="151" spans="1:72">
      <c r="A151" s="9"/>
      <c r="B151" s="34"/>
      <c r="C151" s="34"/>
      <c r="D151" s="1805"/>
      <c r="E151" s="35">
        <f t="shared" si="90"/>
        <v>0</v>
      </c>
      <c r="F151" s="36"/>
      <c r="G151" s="37">
        <f t="shared" si="65"/>
        <v>0</v>
      </c>
      <c r="H151" s="38">
        <f t="shared" si="66"/>
        <v>0</v>
      </c>
      <c r="I151" s="39"/>
      <c r="J151" s="39"/>
      <c r="K151" s="39"/>
      <c r="L151" s="39"/>
      <c r="M151" s="39"/>
      <c r="N151" s="39"/>
      <c r="O151" s="39"/>
      <c r="P151" s="39"/>
      <c r="Q151" s="39"/>
      <c r="R151" s="39"/>
      <c r="S151" s="39"/>
      <c r="T151" s="39"/>
      <c r="U151" s="39"/>
      <c r="V151" s="39"/>
      <c r="W151" s="39"/>
      <c r="X151" s="39"/>
      <c r="Y151" s="39"/>
      <c r="Z151" s="39"/>
      <c r="AA151" s="39"/>
      <c r="AB151" s="39"/>
      <c r="AC151" s="35">
        <f t="shared" si="67"/>
        <v>0</v>
      </c>
      <c r="AD151" s="40"/>
      <c r="AE151" s="40"/>
      <c r="AF151" s="40"/>
      <c r="AG151" s="40"/>
      <c r="AH151" s="40"/>
      <c r="AI151" s="40"/>
      <c r="AJ151" s="40"/>
      <c r="AK151" s="40"/>
      <c r="AL151" s="40"/>
      <c r="AM151" s="40"/>
      <c r="AN151" s="40"/>
      <c r="AO151" s="40"/>
      <c r="AP151" s="40"/>
      <c r="AQ151" s="40"/>
      <c r="AR151" s="40"/>
      <c r="AS151" s="40"/>
      <c r="AT151" s="41"/>
      <c r="AU151" s="1806"/>
      <c r="AV151" s="1517">
        <f t="shared" si="91"/>
        <v>0</v>
      </c>
      <c r="AW151" s="1517">
        <f t="shared" si="92"/>
        <v>0</v>
      </c>
      <c r="AX151" s="1517">
        <f t="shared" si="93"/>
        <v>0</v>
      </c>
      <c r="AY151" s="42">
        <f t="shared" si="68"/>
        <v>0</v>
      </c>
      <c r="AZ151" s="35">
        <f t="shared" si="69"/>
        <v>0</v>
      </c>
      <c r="BA151" s="35">
        <f t="shared" si="70"/>
        <v>0</v>
      </c>
      <c r="BB151" s="35">
        <f t="shared" si="71"/>
        <v>0</v>
      </c>
      <c r="BC151" s="35">
        <f t="shared" si="72"/>
        <v>0</v>
      </c>
      <c r="BD151" s="35">
        <f t="shared" si="73"/>
        <v>0</v>
      </c>
      <c r="BE151" s="35">
        <f t="shared" si="74"/>
        <v>0</v>
      </c>
      <c r="BF151" s="35">
        <f t="shared" si="75"/>
        <v>0</v>
      </c>
      <c r="BG151" s="35">
        <f t="shared" si="76"/>
        <v>0</v>
      </c>
      <c r="BH151" s="35">
        <f t="shared" si="77"/>
        <v>0</v>
      </c>
      <c r="BI151" s="35">
        <f t="shared" si="78"/>
        <v>0</v>
      </c>
      <c r="BJ151" s="35">
        <f t="shared" si="79"/>
        <v>0</v>
      </c>
      <c r="BK151" s="35">
        <f t="shared" si="80"/>
        <v>0</v>
      </c>
      <c r="BL151" s="35">
        <f t="shared" si="81"/>
        <v>0</v>
      </c>
      <c r="BM151" s="35">
        <f t="shared" si="82"/>
        <v>0</v>
      </c>
      <c r="BN151" s="35">
        <f t="shared" si="83"/>
        <v>0</v>
      </c>
      <c r="BO151" s="35">
        <f t="shared" si="84"/>
        <v>0</v>
      </c>
      <c r="BP151" s="35">
        <f t="shared" si="85"/>
        <v>0</v>
      </c>
      <c r="BQ151" s="35">
        <f t="shared" si="86"/>
        <v>0</v>
      </c>
      <c r="BR151" s="35">
        <f t="shared" si="87"/>
        <v>0</v>
      </c>
      <c r="BS151" s="35">
        <f t="shared" si="88"/>
        <v>0</v>
      </c>
      <c r="BT151" s="43">
        <f t="shared" si="89"/>
        <v>0</v>
      </c>
    </row>
    <row r="152" spans="1:72">
      <c r="A152" s="9"/>
      <c r="B152" s="34"/>
      <c r="C152" s="34"/>
      <c r="D152" s="1805"/>
      <c r="E152" s="35">
        <f t="shared" si="90"/>
        <v>0</v>
      </c>
      <c r="F152" s="36"/>
      <c r="G152" s="37">
        <f t="shared" si="65"/>
        <v>0</v>
      </c>
      <c r="H152" s="38">
        <f t="shared" si="66"/>
        <v>0</v>
      </c>
      <c r="I152" s="39"/>
      <c r="J152" s="39"/>
      <c r="K152" s="39"/>
      <c r="L152" s="39"/>
      <c r="M152" s="39"/>
      <c r="N152" s="39"/>
      <c r="O152" s="39"/>
      <c r="P152" s="39"/>
      <c r="Q152" s="39"/>
      <c r="R152" s="39"/>
      <c r="S152" s="39"/>
      <c r="T152" s="39"/>
      <c r="U152" s="39"/>
      <c r="V152" s="39"/>
      <c r="W152" s="39"/>
      <c r="X152" s="39"/>
      <c r="Y152" s="39"/>
      <c r="Z152" s="39"/>
      <c r="AA152" s="39"/>
      <c r="AB152" s="39"/>
      <c r="AC152" s="35">
        <f t="shared" si="67"/>
        <v>0</v>
      </c>
      <c r="AD152" s="40"/>
      <c r="AE152" s="40"/>
      <c r="AF152" s="40"/>
      <c r="AG152" s="40"/>
      <c r="AH152" s="40"/>
      <c r="AI152" s="40"/>
      <c r="AJ152" s="40"/>
      <c r="AK152" s="40"/>
      <c r="AL152" s="40"/>
      <c r="AM152" s="40"/>
      <c r="AN152" s="40"/>
      <c r="AO152" s="40"/>
      <c r="AP152" s="40"/>
      <c r="AQ152" s="40"/>
      <c r="AR152" s="40"/>
      <c r="AS152" s="40"/>
      <c r="AT152" s="41"/>
      <c r="AU152" s="1806"/>
      <c r="AV152" s="1517">
        <f t="shared" si="91"/>
        <v>0</v>
      </c>
      <c r="AW152" s="1517">
        <f t="shared" si="92"/>
        <v>0</v>
      </c>
      <c r="AX152" s="1517">
        <f t="shared" si="93"/>
        <v>0</v>
      </c>
      <c r="AY152" s="42">
        <f t="shared" si="68"/>
        <v>0</v>
      </c>
      <c r="AZ152" s="35">
        <f t="shared" si="69"/>
        <v>0</v>
      </c>
      <c r="BA152" s="35">
        <f t="shared" si="70"/>
        <v>0</v>
      </c>
      <c r="BB152" s="35">
        <f t="shared" si="71"/>
        <v>0</v>
      </c>
      <c r="BC152" s="35">
        <f t="shared" si="72"/>
        <v>0</v>
      </c>
      <c r="BD152" s="35">
        <f t="shared" si="73"/>
        <v>0</v>
      </c>
      <c r="BE152" s="35">
        <f t="shared" si="74"/>
        <v>0</v>
      </c>
      <c r="BF152" s="35">
        <f t="shared" si="75"/>
        <v>0</v>
      </c>
      <c r="BG152" s="35">
        <f t="shared" si="76"/>
        <v>0</v>
      </c>
      <c r="BH152" s="35">
        <f t="shared" si="77"/>
        <v>0</v>
      </c>
      <c r="BI152" s="35">
        <f t="shared" si="78"/>
        <v>0</v>
      </c>
      <c r="BJ152" s="35">
        <f t="shared" si="79"/>
        <v>0</v>
      </c>
      <c r="BK152" s="35">
        <f t="shared" si="80"/>
        <v>0</v>
      </c>
      <c r="BL152" s="35">
        <f t="shared" si="81"/>
        <v>0</v>
      </c>
      <c r="BM152" s="35">
        <f t="shared" si="82"/>
        <v>0</v>
      </c>
      <c r="BN152" s="35">
        <f t="shared" si="83"/>
        <v>0</v>
      </c>
      <c r="BO152" s="35">
        <f t="shared" si="84"/>
        <v>0</v>
      </c>
      <c r="BP152" s="35">
        <f t="shared" si="85"/>
        <v>0</v>
      </c>
      <c r="BQ152" s="35">
        <f t="shared" si="86"/>
        <v>0</v>
      </c>
      <c r="BR152" s="35">
        <f t="shared" si="87"/>
        <v>0</v>
      </c>
      <c r="BS152" s="35">
        <f t="shared" si="88"/>
        <v>0</v>
      </c>
      <c r="BT152" s="43">
        <f t="shared" si="89"/>
        <v>0</v>
      </c>
    </row>
    <row r="153" spans="1:72">
      <c r="A153" s="9"/>
      <c r="B153" s="34"/>
      <c r="C153" s="34"/>
      <c r="D153" s="1805"/>
      <c r="E153" s="35">
        <f t="shared" si="90"/>
        <v>0</v>
      </c>
      <c r="F153" s="36"/>
      <c r="G153" s="37">
        <f t="shared" si="65"/>
        <v>0</v>
      </c>
      <c r="H153" s="38">
        <f t="shared" si="66"/>
        <v>0</v>
      </c>
      <c r="I153" s="39"/>
      <c r="J153" s="39"/>
      <c r="K153" s="39"/>
      <c r="L153" s="39"/>
      <c r="M153" s="39"/>
      <c r="N153" s="39"/>
      <c r="O153" s="39"/>
      <c r="P153" s="39"/>
      <c r="Q153" s="39"/>
      <c r="R153" s="39"/>
      <c r="S153" s="39"/>
      <c r="T153" s="39"/>
      <c r="U153" s="39"/>
      <c r="V153" s="39"/>
      <c r="W153" s="39"/>
      <c r="X153" s="39"/>
      <c r="Y153" s="39"/>
      <c r="Z153" s="39"/>
      <c r="AA153" s="39"/>
      <c r="AB153" s="39"/>
      <c r="AC153" s="35">
        <f t="shared" si="67"/>
        <v>0</v>
      </c>
      <c r="AD153" s="40"/>
      <c r="AE153" s="40"/>
      <c r="AF153" s="40"/>
      <c r="AG153" s="40"/>
      <c r="AH153" s="40"/>
      <c r="AI153" s="40"/>
      <c r="AJ153" s="40"/>
      <c r="AK153" s="40"/>
      <c r="AL153" s="40"/>
      <c r="AM153" s="40"/>
      <c r="AN153" s="40"/>
      <c r="AO153" s="40"/>
      <c r="AP153" s="40"/>
      <c r="AQ153" s="40"/>
      <c r="AR153" s="40"/>
      <c r="AS153" s="40"/>
      <c r="AT153" s="41"/>
      <c r="AU153" s="1806"/>
      <c r="AV153" s="1517">
        <f t="shared" si="91"/>
        <v>0</v>
      </c>
      <c r="AW153" s="1517">
        <f t="shared" si="92"/>
        <v>0</v>
      </c>
      <c r="AX153" s="1517">
        <f t="shared" si="93"/>
        <v>0</v>
      </c>
      <c r="AY153" s="42">
        <f t="shared" si="68"/>
        <v>0</v>
      </c>
      <c r="AZ153" s="35">
        <f t="shared" si="69"/>
        <v>0</v>
      </c>
      <c r="BA153" s="35">
        <f t="shared" si="70"/>
        <v>0</v>
      </c>
      <c r="BB153" s="35">
        <f t="shared" si="71"/>
        <v>0</v>
      </c>
      <c r="BC153" s="35">
        <f t="shared" si="72"/>
        <v>0</v>
      </c>
      <c r="BD153" s="35">
        <f t="shared" si="73"/>
        <v>0</v>
      </c>
      <c r="BE153" s="35">
        <f t="shared" si="74"/>
        <v>0</v>
      </c>
      <c r="BF153" s="35">
        <f t="shared" si="75"/>
        <v>0</v>
      </c>
      <c r="BG153" s="35">
        <f t="shared" si="76"/>
        <v>0</v>
      </c>
      <c r="BH153" s="35">
        <f t="shared" si="77"/>
        <v>0</v>
      </c>
      <c r="BI153" s="35">
        <f t="shared" si="78"/>
        <v>0</v>
      </c>
      <c r="BJ153" s="35">
        <f t="shared" si="79"/>
        <v>0</v>
      </c>
      <c r="BK153" s="35">
        <f t="shared" si="80"/>
        <v>0</v>
      </c>
      <c r="BL153" s="35">
        <f t="shared" si="81"/>
        <v>0</v>
      </c>
      <c r="BM153" s="35">
        <f t="shared" si="82"/>
        <v>0</v>
      </c>
      <c r="BN153" s="35">
        <f t="shared" si="83"/>
        <v>0</v>
      </c>
      <c r="BO153" s="35">
        <f t="shared" si="84"/>
        <v>0</v>
      </c>
      <c r="BP153" s="35">
        <f t="shared" si="85"/>
        <v>0</v>
      </c>
      <c r="BQ153" s="35">
        <f t="shared" si="86"/>
        <v>0</v>
      </c>
      <c r="BR153" s="35">
        <f t="shared" si="87"/>
        <v>0</v>
      </c>
      <c r="BS153" s="35">
        <f t="shared" si="88"/>
        <v>0</v>
      </c>
      <c r="BT153" s="43">
        <f t="shared" si="89"/>
        <v>0</v>
      </c>
    </row>
    <row r="154" spans="1:72">
      <c r="A154" s="9"/>
      <c r="B154" s="34"/>
      <c r="C154" s="34"/>
      <c r="D154" s="1805"/>
      <c r="E154" s="35">
        <f t="shared" si="90"/>
        <v>0</v>
      </c>
      <c r="F154" s="36"/>
      <c r="G154" s="37">
        <f t="shared" si="65"/>
        <v>0</v>
      </c>
      <c r="H154" s="38">
        <f t="shared" si="66"/>
        <v>0</v>
      </c>
      <c r="I154" s="39"/>
      <c r="J154" s="39"/>
      <c r="K154" s="39"/>
      <c r="L154" s="39"/>
      <c r="M154" s="39"/>
      <c r="N154" s="39"/>
      <c r="O154" s="39"/>
      <c r="P154" s="39"/>
      <c r="Q154" s="39"/>
      <c r="R154" s="39"/>
      <c r="S154" s="39"/>
      <c r="T154" s="39"/>
      <c r="U154" s="39"/>
      <c r="V154" s="39"/>
      <c r="W154" s="39"/>
      <c r="X154" s="39"/>
      <c r="Y154" s="39"/>
      <c r="Z154" s="39"/>
      <c r="AA154" s="39"/>
      <c r="AB154" s="39"/>
      <c r="AC154" s="35">
        <f t="shared" si="67"/>
        <v>0</v>
      </c>
      <c r="AD154" s="40"/>
      <c r="AE154" s="40"/>
      <c r="AF154" s="40"/>
      <c r="AG154" s="40"/>
      <c r="AH154" s="40"/>
      <c r="AI154" s="40"/>
      <c r="AJ154" s="40"/>
      <c r="AK154" s="40"/>
      <c r="AL154" s="40"/>
      <c r="AM154" s="40"/>
      <c r="AN154" s="40"/>
      <c r="AO154" s="40"/>
      <c r="AP154" s="40"/>
      <c r="AQ154" s="40"/>
      <c r="AR154" s="40"/>
      <c r="AS154" s="40"/>
      <c r="AT154" s="41"/>
      <c r="AU154" s="1806"/>
      <c r="AV154" s="1517">
        <f t="shared" si="91"/>
        <v>0</v>
      </c>
      <c r="AW154" s="1517">
        <f t="shared" si="92"/>
        <v>0</v>
      </c>
      <c r="AX154" s="1517">
        <f t="shared" si="93"/>
        <v>0</v>
      </c>
      <c r="AY154" s="42">
        <f t="shared" si="68"/>
        <v>0</v>
      </c>
      <c r="AZ154" s="35">
        <f t="shared" si="69"/>
        <v>0</v>
      </c>
      <c r="BA154" s="35">
        <f t="shared" si="70"/>
        <v>0</v>
      </c>
      <c r="BB154" s="35">
        <f t="shared" si="71"/>
        <v>0</v>
      </c>
      <c r="BC154" s="35">
        <f t="shared" si="72"/>
        <v>0</v>
      </c>
      <c r="BD154" s="35">
        <f t="shared" si="73"/>
        <v>0</v>
      </c>
      <c r="BE154" s="35">
        <f t="shared" si="74"/>
        <v>0</v>
      </c>
      <c r="BF154" s="35">
        <f t="shared" si="75"/>
        <v>0</v>
      </c>
      <c r="BG154" s="35">
        <f t="shared" si="76"/>
        <v>0</v>
      </c>
      <c r="BH154" s="35">
        <f t="shared" si="77"/>
        <v>0</v>
      </c>
      <c r="BI154" s="35">
        <f t="shared" si="78"/>
        <v>0</v>
      </c>
      <c r="BJ154" s="35">
        <f t="shared" si="79"/>
        <v>0</v>
      </c>
      <c r="BK154" s="35">
        <f t="shared" si="80"/>
        <v>0</v>
      </c>
      <c r="BL154" s="35">
        <f t="shared" si="81"/>
        <v>0</v>
      </c>
      <c r="BM154" s="35">
        <f t="shared" si="82"/>
        <v>0</v>
      </c>
      <c r="BN154" s="35">
        <f t="shared" si="83"/>
        <v>0</v>
      </c>
      <c r="BO154" s="35">
        <f t="shared" si="84"/>
        <v>0</v>
      </c>
      <c r="BP154" s="35">
        <f t="shared" si="85"/>
        <v>0</v>
      </c>
      <c r="BQ154" s="35">
        <f t="shared" si="86"/>
        <v>0</v>
      </c>
      <c r="BR154" s="35">
        <f t="shared" si="87"/>
        <v>0</v>
      </c>
      <c r="BS154" s="35">
        <f t="shared" si="88"/>
        <v>0</v>
      </c>
      <c r="BT154" s="43">
        <f t="shared" si="89"/>
        <v>0</v>
      </c>
    </row>
    <row r="155" spans="1:72">
      <c r="A155" s="9"/>
      <c r="B155" s="34"/>
      <c r="C155" s="34"/>
      <c r="D155" s="1805"/>
      <c r="E155" s="35">
        <f t="shared" si="90"/>
        <v>0</v>
      </c>
      <c r="F155" s="36"/>
      <c r="G155" s="37">
        <f t="shared" si="65"/>
        <v>0</v>
      </c>
      <c r="H155" s="38">
        <f t="shared" si="66"/>
        <v>0</v>
      </c>
      <c r="I155" s="39"/>
      <c r="J155" s="39"/>
      <c r="K155" s="39"/>
      <c r="L155" s="39"/>
      <c r="M155" s="39"/>
      <c r="N155" s="39"/>
      <c r="O155" s="39"/>
      <c r="P155" s="39"/>
      <c r="Q155" s="39"/>
      <c r="R155" s="39"/>
      <c r="S155" s="39"/>
      <c r="T155" s="39"/>
      <c r="U155" s="39"/>
      <c r="V155" s="39"/>
      <c r="W155" s="39"/>
      <c r="X155" s="39"/>
      <c r="Y155" s="39"/>
      <c r="Z155" s="39"/>
      <c r="AA155" s="39"/>
      <c r="AB155" s="39"/>
      <c r="AC155" s="35">
        <f t="shared" si="67"/>
        <v>0</v>
      </c>
      <c r="AD155" s="40"/>
      <c r="AE155" s="40"/>
      <c r="AF155" s="40"/>
      <c r="AG155" s="40"/>
      <c r="AH155" s="40"/>
      <c r="AI155" s="40"/>
      <c r="AJ155" s="40"/>
      <c r="AK155" s="40"/>
      <c r="AL155" s="40"/>
      <c r="AM155" s="40"/>
      <c r="AN155" s="40"/>
      <c r="AO155" s="40"/>
      <c r="AP155" s="40"/>
      <c r="AQ155" s="40"/>
      <c r="AR155" s="40"/>
      <c r="AS155" s="40"/>
      <c r="AT155" s="41"/>
      <c r="AU155" s="1806"/>
      <c r="AV155" s="1517">
        <f t="shared" si="91"/>
        <v>0</v>
      </c>
      <c r="AW155" s="1517">
        <f t="shared" si="92"/>
        <v>0</v>
      </c>
      <c r="AX155" s="1517">
        <f t="shared" si="93"/>
        <v>0</v>
      </c>
      <c r="AY155" s="42">
        <f t="shared" si="68"/>
        <v>0</v>
      </c>
      <c r="AZ155" s="35">
        <f t="shared" si="69"/>
        <v>0</v>
      </c>
      <c r="BA155" s="35">
        <f t="shared" si="70"/>
        <v>0</v>
      </c>
      <c r="BB155" s="35">
        <f t="shared" si="71"/>
        <v>0</v>
      </c>
      <c r="BC155" s="35">
        <f t="shared" si="72"/>
        <v>0</v>
      </c>
      <c r="BD155" s="35">
        <f t="shared" si="73"/>
        <v>0</v>
      </c>
      <c r="BE155" s="35">
        <f t="shared" si="74"/>
        <v>0</v>
      </c>
      <c r="BF155" s="35">
        <f t="shared" si="75"/>
        <v>0</v>
      </c>
      <c r="BG155" s="35">
        <f t="shared" si="76"/>
        <v>0</v>
      </c>
      <c r="BH155" s="35">
        <f t="shared" si="77"/>
        <v>0</v>
      </c>
      <c r="BI155" s="35">
        <f t="shared" si="78"/>
        <v>0</v>
      </c>
      <c r="BJ155" s="35">
        <f t="shared" si="79"/>
        <v>0</v>
      </c>
      <c r="BK155" s="35">
        <f t="shared" si="80"/>
        <v>0</v>
      </c>
      <c r="BL155" s="35">
        <f t="shared" si="81"/>
        <v>0</v>
      </c>
      <c r="BM155" s="35">
        <f t="shared" si="82"/>
        <v>0</v>
      </c>
      <c r="BN155" s="35">
        <f t="shared" si="83"/>
        <v>0</v>
      </c>
      <c r="BO155" s="35">
        <f t="shared" si="84"/>
        <v>0</v>
      </c>
      <c r="BP155" s="35">
        <f t="shared" si="85"/>
        <v>0</v>
      </c>
      <c r="BQ155" s="35">
        <f t="shared" si="86"/>
        <v>0</v>
      </c>
      <c r="BR155" s="35">
        <f t="shared" si="87"/>
        <v>0</v>
      </c>
      <c r="BS155" s="35">
        <f t="shared" si="88"/>
        <v>0</v>
      </c>
      <c r="BT155" s="43">
        <f t="shared" si="89"/>
        <v>0</v>
      </c>
    </row>
    <row r="156" spans="1:72">
      <c r="A156" s="9"/>
      <c r="B156" s="34"/>
      <c r="C156" s="34"/>
      <c r="D156" s="1805"/>
      <c r="E156" s="35">
        <f t="shared" si="90"/>
        <v>0</v>
      </c>
      <c r="F156" s="36"/>
      <c r="G156" s="37">
        <f t="shared" si="65"/>
        <v>0</v>
      </c>
      <c r="H156" s="38">
        <f t="shared" si="66"/>
        <v>0</v>
      </c>
      <c r="I156" s="39"/>
      <c r="J156" s="39"/>
      <c r="K156" s="39"/>
      <c r="L156" s="39"/>
      <c r="M156" s="39"/>
      <c r="N156" s="39"/>
      <c r="O156" s="39"/>
      <c r="P156" s="39"/>
      <c r="Q156" s="39"/>
      <c r="R156" s="39"/>
      <c r="S156" s="39"/>
      <c r="T156" s="39"/>
      <c r="U156" s="39"/>
      <c r="V156" s="39"/>
      <c r="W156" s="39"/>
      <c r="X156" s="39"/>
      <c r="Y156" s="39"/>
      <c r="Z156" s="39"/>
      <c r="AA156" s="39"/>
      <c r="AB156" s="39"/>
      <c r="AC156" s="35">
        <f t="shared" si="67"/>
        <v>0</v>
      </c>
      <c r="AD156" s="40"/>
      <c r="AE156" s="40"/>
      <c r="AF156" s="40"/>
      <c r="AG156" s="40"/>
      <c r="AH156" s="40"/>
      <c r="AI156" s="40"/>
      <c r="AJ156" s="40"/>
      <c r="AK156" s="40"/>
      <c r="AL156" s="40"/>
      <c r="AM156" s="40"/>
      <c r="AN156" s="40"/>
      <c r="AO156" s="40"/>
      <c r="AP156" s="40"/>
      <c r="AQ156" s="40"/>
      <c r="AR156" s="40"/>
      <c r="AS156" s="40"/>
      <c r="AT156" s="41"/>
      <c r="AU156" s="1806"/>
      <c r="AV156" s="1517">
        <f t="shared" si="91"/>
        <v>0</v>
      </c>
      <c r="AW156" s="1517">
        <f t="shared" si="92"/>
        <v>0</v>
      </c>
      <c r="AX156" s="1517">
        <f t="shared" si="93"/>
        <v>0</v>
      </c>
      <c r="AY156" s="42">
        <f t="shared" si="68"/>
        <v>0</v>
      </c>
      <c r="AZ156" s="35">
        <f t="shared" si="69"/>
        <v>0</v>
      </c>
      <c r="BA156" s="35">
        <f t="shared" si="70"/>
        <v>0</v>
      </c>
      <c r="BB156" s="35">
        <f t="shared" si="71"/>
        <v>0</v>
      </c>
      <c r="BC156" s="35">
        <f t="shared" si="72"/>
        <v>0</v>
      </c>
      <c r="BD156" s="35">
        <f t="shared" si="73"/>
        <v>0</v>
      </c>
      <c r="BE156" s="35">
        <f t="shared" si="74"/>
        <v>0</v>
      </c>
      <c r="BF156" s="35">
        <f t="shared" si="75"/>
        <v>0</v>
      </c>
      <c r="BG156" s="35">
        <f t="shared" si="76"/>
        <v>0</v>
      </c>
      <c r="BH156" s="35">
        <f t="shared" si="77"/>
        <v>0</v>
      </c>
      <c r="BI156" s="35">
        <f t="shared" si="78"/>
        <v>0</v>
      </c>
      <c r="BJ156" s="35">
        <f t="shared" si="79"/>
        <v>0</v>
      </c>
      <c r="BK156" s="35">
        <f t="shared" si="80"/>
        <v>0</v>
      </c>
      <c r="BL156" s="35">
        <f t="shared" si="81"/>
        <v>0</v>
      </c>
      <c r="BM156" s="35">
        <f t="shared" si="82"/>
        <v>0</v>
      </c>
      <c r="BN156" s="35">
        <f t="shared" si="83"/>
        <v>0</v>
      </c>
      <c r="BO156" s="35">
        <f t="shared" si="84"/>
        <v>0</v>
      </c>
      <c r="BP156" s="35">
        <f t="shared" si="85"/>
        <v>0</v>
      </c>
      <c r="BQ156" s="35">
        <f t="shared" si="86"/>
        <v>0</v>
      </c>
      <c r="BR156" s="35">
        <f t="shared" si="87"/>
        <v>0</v>
      </c>
      <c r="BS156" s="35">
        <f t="shared" si="88"/>
        <v>0</v>
      </c>
      <c r="BT156" s="43">
        <f t="shared" si="89"/>
        <v>0</v>
      </c>
    </row>
    <row r="157" spans="1:72">
      <c r="A157" s="9"/>
      <c r="B157" s="34"/>
      <c r="C157" s="34"/>
      <c r="D157" s="1805"/>
      <c r="E157" s="35">
        <f t="shared" si="90"/>
        <v>0</v>
      </c>
      <c r="F157" s="36"/>
      <c r="G157" s="37">
        <f t="shared" si="65"/>
        <v>0</v>
      </c>
      <c r="H157" s="38">
        <f t="shared" si="66"/>
        <v>0</v>
      </c>
      <c r="I157" s="39"/>
      <c r="J157" s="39"/>
      <c r="K157" s="39"/>
      <c r="L157" s="39"/>
      <c r="M157" s="39"/>
      <c r="N157" s="39"/>
      <c r="O157" s="39"/>
      <c r="P157" s="39"/>
      <c r="Q157" s="39"/>
      <c r="R157" s="39"/>
      <c r="S157" s="39"/>
      <c r="T157" s="39"/>
      <c r="U157" s="39"/>
      <c r="V157" s="39"/>
      <c r="W157" s="39"/>
      <c r="X157" s="39"/>
      <c r="Y157" s="39"/>
      <c r="Z157" s="39"/>
      <c r="AA157" s="39"/>
      <c r="AB157" s="39"/>
      <c r="AC157" s="35">
        <f t="shared" si="67"/>
        <v>0</v>
      </c>
      <c r="AD157" s="40"/>
      <c r="AE157" s="40"/>
      <c r="AF157" s="40"/>
      <c r="AG157" s="40"/>
      <c r="AH157" s="40"/>
      <c r="AI157" s="40"/>
      <c r="AJ157" s="40"/>
      <c r="AK157" s="40"/>
      <c r="AL157" s="40"/>
      <c r="AM157" s="40"/>
      <c r="AN157" s="40"/>
      <c r="AO157" s="40"/>
      <c r="AP157" s="40"/>
      <c r="AQ157" s="40"/>
      <c r="AR157" s="40"/>
      <c r="AS157" s="40"/>
      <c r="AT157" s="41"/>
      <c r="AU157" s="1806"/>
      <c r="AV157" s="1517">
        <f t="shared" si="91"/>
        <v>0</v>
      </c>
      <c r="AW157" s="1517">
        <f t="shared" si="92"/>
        <v>0</v>
      </c>
      <c r="AX157" s="1517">
        <f t="shared" si="93"/>
        <v>0</v>
      </c>
      <c r="AY157" s="42">
        <f t="shared" si="68"/>
        <v>0</v>
      </c>
      <c r="AZ157" s="35">
        <f t="shared" si="69"/>
        <v>0</v>
      </c>
      <c r="BA157" s="35">
        <f t="shared" si="70"/>
        <v>0</v>
      </c>
      <c r="BB157" s="35">
        <f t="shared" si="71"/>
        <v>0</v>
      </c>
      <c r="BC157" s="35">
        <f t="shared" si="72"/>
        <v>0</v>
      </c>
      <c r="BD157" s="35">
        <f t="shared" si="73"/>
        <v>0</v>
      </c>
      <c r="BE157" s="35">
        <f t="shared" si="74"/>
        <v>0</v>
      </c>
      <c r="BF157" s="35">
        <f t="shared" si="75"/>
        <v>0</v>
      </c>
      <c r="BG157" s="35">
        <f t="shared" si="76"/>
        <v>0</v>
      </c>
      <c r="BH157" s="35">
        <f t="shared" si="77"/>
        <v>0</v>
      </c>
      <c r="BI157" s="35">
        <f t="shared" si="78"/>
        <v>0</v>
      </c>
      <c r="BJ157" s="35">
        <f t="shared" si="79"/>
        <v>0</v>
      </c>
      <c r="BK157" s="35">
        <f t="shared" si="80"/>
        <v>0</v>
      </c>
      <c r="BL157" s="35">
        <f t="shared" si="81"/>
        <v>0</v>
      </c>
      <c r="BM157" s="35">
        <f t="shared" si="82"/>
        <v>0</v>
      </c>
      <c r="BN157" s="35">
        <f t="shared" si="83"/>
        <v>0</v>
      </c>
      <c r="BO157" s="35">
        <f t="shared" si="84"/>
        <v>0</v>
      </c>
      <c r="BP157" s="35">
        <f t="shared" si="85"/>
        <v>0</v>
      </c>
      <c r="BQ157" s="35">
        <f t="shared" si="86"/>
        <v>0</v>
      </c>
      <c r="BR157" s="35">
        <f t="shared" si="87"/>
        <v>0</v>
      </c>
      <c r="BS157" s="35">
        <f t="shared" si="88"/>
        <v>0</v>
      </c>
      <c r="BT157" s="43">
        <f t="shared" si="89"/>
        <v>0</v>
      </c>
    </row>
    <row r="158" spans="1:72">
      <c r="A158" s="9"/>
      <c r="B158" s="34"/>
      <c r="C158" s="34"/>
      <c r="D158" s="1805"/>
      <c r="E158" s="35">
        <f t="shared" si="90"/>
        <v>0</v>
      </c>
      <c r="F158" s="36"/>
      <c r="G158" s="37">
        <f t="shared" si="65"/>
        <v>0</v>
      </c>
      <c r="H158" s="38">
        <f t="shared" si="66"/>
        <v>0</v>
      </c>
      <c r="I158" s="39"/>
      <c r="J158" s="39"/>
      <c r="K158" s="39"/>
      <c r="L158" s="39"/>
      <c r="M158" s="39"/>
      <c r="N158" s="39"/>
      <c r="O158" s="39"/>
      <c r="P158" s="39"/>
      <c r="Q158" s="39"/>
      <c r="R158" s="39"/>
      <c r="S158" s="39"/>
      <c r="T158" s="39"/>
      <c r="U158" s="39"/>
      <c r="V158" s="39"/>
      <c r="W158" s="39"/>
      <c r="X158" s="39"/>
      <c r="Y158" s="39"/>
      <c r="Z158" s="39"/>
      <c r="AA158" s="39"/>
      <c r="AB158" s="39"/>
      <c r="AC158" s="35">
        <f t="shared" si="67"/>
        <v>0</v>
      </c>
      <c r="AD158" s="40"/>
      <c r="AE158" s="40"/>
      <c r="AF158" s="40"/>
      <c r="AG158" s="40"/>
      <c r="AH158" s="40"/>
      <c r="AI158" s="40"/>
      <c r="AJ158" s="40"/>
      <c r="AK158" s="40"/>
      <c r="AL158" s="40"/>
      <c r="AM158" s="40"/>
      <c r="AN158" s="40"/>
      <c r="AO158" s="40"/>
      <c r="AP158" s="40"/>
      <c r="AQ158" s="40"/>
      <c r="AR158" s="40"/>
      <c r="AS158" s="40"/>
      <c r="AT158" s="41"/>
      <c r="AU158" s="1806"/>
      <c r="AV158" s="1517">
        <f t="shared" si="91"/>
        <v>0</v>
      </c>
      <c r="AW158" s="1517">
        <f t="shared" si="92"/>
        <v>0</v>
      </c>
      <c r="AX158" s="1517">
        <f t="shared" si="93"/>
        <v>0</v>
      </c>
      <c r="AY158" s="42">
        <f t="shared" si="68"/>
        <v>0</v>
      </c>
      <c r="AZ158" s="35">
        <f t="shared" si="69"/>
        <v>0</v>
      </c>
      <c r="BA158" s="35">
        <f t="shared" si="70"/>
        <v>0</v>
      </c>
      <c r="BB158" s="35">
        <f t="shared" si="71"/>
        <v>0</v>
      </c>
      <c r="BC158" s="35">
        <f t="shared" si="72"/>
        <v>0</v>
      </c>
      <c r="BD158" s="35">
        <f t="shared" si="73"/>
        <v>0</v>
      </c>
      <c r="BE158" s="35">
        <f t="shared" si="74"/>
        <v>0</v>
      </c>
      <c r="BF158" s="35">
        <f t="shared" si="75"/>
        <v>0</v>
      </c>
      <c r="BG158" s="35">
        <f t="shared" si="76"/>
        <v>0</v>
      </c>
      <c r="BH158" s="35">
        <f t="shared" si="77"/>
        <v>0</v>
      </c>
      <c r="BI158" s="35">
        <f t="shared" si="78"/>
        <v>0</v>
      </c>
      <c r="BJ158" s="35">
        <f t="shared" si="79"/>
        <v>0</v>
      </c>
      <c r="BK158" s="35">
        <f t="shared" si="80"/>
        <v>0</v>
      </c>
      <c r="BL158" s="35">
        <f t="shared" si="81"/>
        <v>0</v>
      </c>
      <c r="BM158" s="35">
        <f t="shared" si="82"/>
        <v>0</v>
      </c>
      <c r="BN158" s="35">
        <f t="shared" si="83"/>
        <v>0</v>
      </c>
      <c r="BO158" s="35">
        <f t="shared" si="84"/>
        <v>0</v>
      </c>
      <c r="BP158" s="35">
        <f t="shared" si="85"/>
        <v>0</v>
      </c>
      <c r="BQ158" s="35">
        <f t="shared" si="86"/>
        <v>0</v>
      </c>
      <c r="BR158" s="35">
        <f t="shared" si="87"/>
        <v>0</v>
      </c>
      <c r="BS158" s="35">
        <f t="shared" si="88"/>
        <v>0</v>
      </c>
      <c r="BT158" s="43">
        <f t="shared" si="89"/>
        <v>0</v>
      </c>
    </row>
    <row r="159" spans="1:72">
      <c r="A159" s="9"/>
      <c r="B159" s="34"/>
      <c r="C159" s="34"/>
      <c r="D159" s="1805"/>
      <c r="E159" s="35">
        <f t="shared" si="90"/>
        <v>0</v>
      </c>
      <c r="F159" s="36"/>
      <c r="G159" s="37">
        <f t="shared" si="65"/>
        <v>0</v>
      </c>
      <c r="H159" s="38">
        <f t="shared" si="66"/>
        <v>0</v>
      </c>
      <c r="I159" s="39"/>
      <c r="J159" s="39"/>
      <c r="K159" s="39"/>
      <c r="L159" s="39"/>
      <c r="M159" s="39"/>
      <c r="N159" s="39"/>
      <c r="O159" s="39"/>
      <c r="P159" s="39"/>
      <c r="Q159" s="39"/>
      <c r="R159" s="39"/>
      <c r="S159" s="39"/>
      <c r="T159" s="39"/>
      <c r="U159" s="39"/>
      <c r="V159" s="39"/>
      <c r="W159" s="39"/>
      <c r="X159" s="39"/>
      <c r="Y159" s="39"/>
      <c r="Z159" s="39"/>
      <c r="AA159" s="39"/>
      <c r="AB159" s="39"/>
      <c r="AC159" s="35">
        <f t="shared" si="67"/>
        <v>0</v>
      </c>
      <c r="AD159" s="40"/>
      <c r="AE159" s="40"/>
      <c r="AF159" s="40"/>
      <c r="AG159" s="40"/>
      <c r="AH159" s="40"/>
      <c r="AI159" s="40"/>
      <c r="AJ159" s="40"/>
      <c r="AK159" s="40"/>
      <c r="AL159" s="40"/>
      <c r="AM159" s="40"/>
      <c r="AN159" s="40"/>
      <c r="AO159" s="40"/>
      <c r="AP159" s="40"/>
      <c r="AQ159" s="40"/>
      <c r="AR159" s="40"/>
      <c r="AS159" s="40"/>
      <c r="AT159" s="41"/>
      <c r="AU159" s="1806"/>
      <c r="AV159" s="1517">
        <f t="shared" si="91"/>
        <v>0</v>
      </c>
      <c r="AW159" s="1517">
        <f t="shared" si="92"/>
        <v>0</v>
      </c>
      <c r="AX159" s="1517">
        <f t="shared" si="93"/>
        <v>0</v>
      </c>
      <c r="AY159" s="42">
        <f t="shared" si="68"/>
        <v>0</v>
      </c>
      <c r="AZ159" s="35">
        <f t="shared" si="69"/>
        <v>0</v>
      </c>
      <c r="BA159" s="35">
        <f t="shared" si="70"/>
        <v>0</v>
      </c>
      <c r="BB159" s="35">
        <f t="shared" si="71"/>
        <v>0</v>
      </c>
      <c r="BC159" s="35">
        <f t="shared" si="72"/>
        <v>0</v>
      </c>
      <c r="BD159" s="35">
        <f t="shared" si="73"/>
        <v>0</v>
      </c>
      <c r="BE159" s="35">
        <f t="shared" si="74"/>
        <v>0</v>
      </c>
      <c r="BF159" s="35">
        <f t="shared" si="75"/>
        <v>0</v>
      </c>
      <c r="BG159" s="35">
        <f t="shared" si="76"/>
        <v>0</v>
      </c>
      <c r="BH159" s="35">
        <f t="shared" si="77"/>
        <v>0</v>
      </c>
      <c r="BI159" s="35">
        <f t="shared" si="78"/>
        <v>0</v>
      </c>
      <c r="BJ159" s="35">
        <f t="shared" si="79"/>
        <v>0</v>
      </c>
      <c r="BK159" s="35">
        <f t="shared" si="80"/>
        <v>0</v>
      </c>
      <c r="BL159" s="35">
        <f t="shared" si="81"/>
        <v>0</v>
      </c>
      <c r="BM159" s="35">
        <f t="shared" si="82"/>
        <v>0</v>
      </c>
      <c r="BN159" s="35">
        <f t="shared" si="83"/>
        <v>0</v>
      </c>
      <c r="BO159" s="35">
        <f t="shared" si="84"/>
        <v>0</v>
      </c>
      <c r="BP159" s="35">
        <f t="shared" si="85"/>
        <v>0</v>
      </c>
      <c r="BQ159" s="35">
        <f t="shared" si="86"/>
        <v>0</v>
      </c>
      <c r="BR159" s="35">
        <f t="shared" si="87"/>
        <v>0</v>
      </c>
      <c r="BS159" s="35">
        <f t="shared" si="88"/>
        <v>0</v>
      </c>
      <c r="BT159" s="43">
        <f t="shared" si="89"/>
        <v>0</v>
      </c>
    </row>
    <row r="160" spans="1:72">
      <c r="A160" s="9"/>
      <c r="B160" s="34"/>
      <c r="C160" s="34"/>
      <c r="D160" s="1805"/>
      <c r="E160" s="35">
        <f t="shared" si="90"/>
        <v>0</v>
      </c>
      <c r="F160" s="36"/>
      <c r="G160" s="37">
        <f t="shared" si="65"/>
        <v>0</v>
      </c>
      <c r="H160" s="38">
        <f t="shared" si="66"/>
        <v>0</v>
      </c>
      <c r="I160" s="39"/>
      <c r="J160" s="39"/>
      <c r="K160" s="39"/>
      <c r="L160" s="39"/>
      <c r="M160" s="39"/>
      <c r="N160" s="39"/>
      <c r="O160" s="39"/>
      <c r="P160" s="39"/>
      <c r="Q160" s="39"/>
      <c r="R160" s="39"/>
      <c r="S160" s="39"/>
      <c r="T160" s="39"/>
      <c r="U160" s="39"/>
      <c r="V160" s="39"/>
      <c r="W160" s="39"/>
      <c r="X160" s="39"/>
      <c r="Y160" s="39"/>
      <c r="Z160" s="39"/>
      <c r="AA160" s="39"/>
      <c r="AB160" s="39"/>
      <c r="AC160" s="35">
        <f t="shared" si="67"/>
        <v>0</v>
      </c>
      <c r="AD160" s="40"/>
      <c r="AE160" s="40"/>
      <c r="AF160" s="40"/>
      <c r="AG160" s="40"/>
      <c r="AH160" s="40"/>
      <c r="AI160" s="40"/>
      <c r="AJ160" s="40"/>
      <c r="AK160" s="40"/>
      <c r="AL160" s="40"/>
      <c r="AM160" s="40"/>
      <c r="AN160" s="40"/>
      <c r="AO160" s="40"/>
      <c r="AP160" s="40"/>
      <c r="AQ160" s="40"/>
      <c r="AR160" s="40"/>
      <c r="AS160" s="40"/>
      <c r="AT160" s="41"/>
      <c r="AU160" s="1806"/>
      <c r="AV160" s="1517">
        <f t="shared" si="91"/>
        <v>0</v>
      </c>
      <c r="AW160" s="1517">
        <f t="shared" si="92"/>
        <v>0</v>
      </c>
      <c r="AX160" s="1517">
        <f t="shared" si="93"/>
        <v>0</v>
      </c>
      <c r="AY160" s="42">
        <f t="shared" si="68"/>
        <v>0</v>
      </c>
      <c r="AZ160" s="35">
        <f t="shared" si="69"/>
        <v>0</v>
      </c>
      <c r="BA160" s="35">
        <f t="shared" si="70"/>
        <v>0</v>
      </c>
      <c r="BB160" s="35">
        <f t="shared" si="71"/>
        <v>0</v>
      </c>
      <c r="BC160" s="35">
        <f t="shared" si="72"/>
        <v>0</v>
      </c>
      <c r="BD160" s="35">
        <f t="shared" si="73"/>
        <v>0</v>
      </c>
      <c r="BE160" s="35">
        <f t="shared" si="74"/>
        <v>0</v>
      </c>
      <c r="BF160" s="35">
        <f t="shared" si="75"/>
        <v>0</v>
      </c>
      <c r="BG160" s="35">
        <f t="shared" si="76"/>
        <v>0</v>
      </c>
      <c r="BH160" s="35">
        <f t="shared" si="77"/>
        <v>0</v>
      </c>
      <c r="BI160" s="35">
        <f t="shared" si="78"/>
        <v>0</v>
      </c>
      <c r="BJ160" s="35">
        <f t="shared" si="79"/>
        <v>0</v>
      </c>
      <c r="BK160" s="35">
        <f t="shared" si="80"/>
        <v>0</v>
      </c>
      <c r="BL160" s="35">
        <f t="shared" si="81"/>
        <v>0</v>
      </c>
      <c r="BM160" s="35">
        <f t="shared" si="82"/>
        <v>0</v>
      </c>
      <c r="BN160" s="35">
        <f t="shared" si="83"/>
        <v>0</v>
      </c>
      <c r="BO160" s="35">
        <f t="shared" si="84"/>
        <v>0</v>
      </c>
      <c r="BP160" s="35">
        <f t="shared" si="85"/>
        <v>0</v>
      </c>
      <c r="BQ160" s="35">
        <f t="shared" si="86"/>
        <v>0</v>
      </c>
      <c r="BR160" s="35">
        <f t="shared" si="87"/>
        <v>0</v>
      </c>
      <c r="BS160" s="35">
        <f t="shared" si="88"/>
        <v>0</v>
      </c>
      <c r="BT160" s="43">
        <f t="shared" si="89"/>
        <v>0</v>
      </c>
    </row>
    <row r="161" spans="1:72">
      <c r="A161" s="9"/>
      <c r="B161" s="34"/>
      <c r="C161" s="34"/>
      <c r="D161" s="1805"/>
      <c r="E161" s="35">
        <f t="shared" si="90"/>
        <v>0</v>
      </c>
      <c r="F161" s="36"/>
      <c r="G161" s="37">
        <f t="shared" si="65"/>
        <v>0</v>
      </c>
      <c r="H161" s="38">
        <f t="shared" si="66"/>
        <v>0</v>
      </c>
      <c r="I161" s="39"/>
      <c r="J161" s="39"/>
      <c r="K161" s="39"/>
      <c r="L161" s="39"/>
      <c r="M161" s="39"/>
      <c r="N161" s="39"/>
      <c r="O161" s="39"/>
      <c r="P161" s="39"/>
      <c r="Q161" s="39"/>
      <c r="R161" s="39"/>
      <c r="S161" s="39"/>
      <c r="T161" s="39"/>
      <c r="U161" s="39"/>
      <c r="V161" s="39"/>
      <c r="W161" s="39"/>
      <c r="X161" s="39"/>
      <c r="Y161" s="39"/>
      <c r="Z161" s="39"/>
      <c r="AA161" s="39"/>
      <c r="AB161" s="39"/>
      <c r="AC161" s="35">
        <f t="shared" si="67"/>
        <v>0</v>
      </c>
      <c r="AD161" s="40"/>
      <c r="AE161" s="40"/>
      <c r="AF161" s="40"/>
      <c r="AG161" s="40"/>
      <c r="AH161" s="40"/>
      <c r="AI161" s="40"/>
      <c r="AJ161" s="40"/>
      <c r="AK161" s="40"/>
      <c r="AL161" s="40"/>
      <c r="AM161" s="40"/>
      <c r="AN161" s="40"/>
      <c r="AO161" s="40"/>
      <c r="AP161" s="40"/>
      <c r="AQ161" s="40"/>
      <c r="AR161" s="40"/>
      <c r="AS161" s="40"/>
      <c r="AT161" s="41"/>
      <c r="AU161" s="1806"/>
      <c r="AV161" s="1517">
        <f t="shared" si="91"/>
        <v>0</v>
      </c>
      <c r="AW161" s="1517">
        <f t="shared" si="92"/>
        <v>0</v>
      </c>
      <c r="AX161" s="1517">
        <f t="shared" si="93"/>
        <v>0</v>
      </c>
      <c r="AY161" s="42">
        <f t="shared" si="68"/>
        <v>0</v>
      </c>
      <c r="AZ161" s="35">
        <f t="shared" si="69"/>
        <v>0</v>
      </c>
      <c r="BA161" s="35">
        <f t="shared" si="70"/>
        <v>0</v>
      </c>
      <c r="BB161" s="35">
        <f t="shared" si="71"/>
        <v>0</v>
      </c>
      <c r="BC161" s="35">
        <f t="shared" si="72"/>
        <v>0</v>
      </c>
      <c r="BD161" s="35">
        <f t="shared" si="73"/>
        <v>0</v>
      </c>
      <c r="BE161" s="35">
        <f t="shared" si="74"/>
        <v>0</v>
      </c>
      <c r="BF161" s="35">
        <f t="shared" si="75"/>
        <v>0</v>
      </c>
      <c r="BG161" s="35">
        <f t="shared" si="76"/>
        <v>0</v>
      </c>
      <c r="BH161" s="35">
        <f t="shared" si="77"/>
        <v>0</v>
      </c>
      <c r="BI161" s="35">
        <f t="shared" si="78"/>
        <v>0</v>
      </c>
      <c r="BJ161" s="35">
        <f t="shared" si="79"/>
        <v>0</v>
      </c>
      <c r="BK161" s="35">
        <f t="shared" si="80"/>
        <v>0</v>
      </c>
      <c r="BL161" s="35">
        <f t="shared" si="81"/>
        <v>0</v>
      </c>
      <c r="BM161" s="35">
        <f t="shared" si="82"/>
        <v>0</v>
      </c>
      <c r="BN161" s="35">
        <f t="shared" si="83"/>
        <v>0</v>
      </c>
      <c r="BO161" s="35">
        <f t="shared" si="84"/>
        <v>0</v>
      </c>
      <c r="BP161" s="35">
        <f t="shared" si="85"/>
        <v>0</v>
      </c>
      <c r="BQ161" s="35">
        <f t="shared" si="86"/>
        <v>0</v>
      </c>
      <c r="BR161" s="35">
        <f t="shared" si="87"/>
        <v>0</v>
      </c>
      <c r="BS161" s="35">
        <f t="shared" si="88"/>
        <v>0</v>
      </c>
      <c r="BT161" s="43">
        <f t="shared" si="89"/>
        <v>0</v>
      </c>
    </row>
    <row r="162" spans="1:72">
      <c r="A162" s="9"/>
      <c r="B162" s="34"/>
      <c r="C162" s="34"/>
      <c r="D162" s="1805"/>
      <c r="E162" s="35">
        <f t="shared" si="90"/>
        <v>0</v>
      </c>
      <c r="F162" s="36"/>
      <c r="G162" s="37">
        <f t="shared" si="65"/>
        <v>0</v>
      </c>
      <c r="H162" s="38">
        <f t="shared" si="66"/>
        <v>0</v>
      </c>
      <c r="I162" s="39"/>
      <c r="J162" s="39"/>
      <c r="K162" s="39"/>
      <c r="L162" s="39"/>
      <c r="M162" s="39"/>
      <c r="N162" s="39"/>
      <c r="O162" s="39"/>
      <c r="P162" s="39"/>
      <c r="Q162" s="39"/>
      <c r="R162" s="39"/>
      <c r="S162" s="39"/>
      <c r="T162" s="39"/>
      <c r="U162" s="39"/>
      <c r="V162" s="39"/>
      <c r="W162" s="39"/>
      <c r="X162" s="39"/>
      <c r="Y162" s="39"/>
      <c r="Z162" s="39"/>
      <c r="AA162" s="39"/>
      <c r="AB162" s="39"/>
      <c r="AC162" s="35">
        <f t="shared" si="67"/>
        <v>0</v>
      </c>
      <c r="AD162" s="40"/>
      <c r="AE162" s="40"/>
      <c r="AF162" s="40"/>
      <c r="AG162" s="40"/>
      <c r="AH162" s="40"/>
      <c r="AI162" s="40"/>
      <c r="AJ162" s="40"/>
      <c r="AK162" s="40"/>
      <c r="AL162" s="40"/>
      <c r="AM162" s="40"/>
      <c r="AN162" s="40"/>
      <c r="AO162" s="40"/>
      <c r="AP162" s="40"/>
      <c r="AQ162" s="40"/>
      <c r="AR162" s="40"/>
      <c r="AS162" s="40"/>
      <c r="AT162" s="41"/>
      <c r="AU162" s="1806"/>
      <c r="AV162" s="1517">
        <f t="shared" si="91"/>
        <v>0</v>
      </c>
      <c r="AW162" s="1517">
        <f t="shared" si="92"/>
        <v>0</v>
      </c>
      <c r="AX162" s="1517">
        <f t="shared" si="93"/>
        <v>0</v>
      </c>
      <c r="AY162" s="42">
        <f t="shared" si="68"/>
        <v>0</v>
      </c>
      <c r="AZ162" s="35">
        <f t="shared" si="69"/>
        <v>0</v>
      </c>
      <c r="BA162" s="35">
        <f t="shared" si="70"/>
        <v>0</v>
      </c>
      <c r="BB162" s="35">
        <f t="shared" si="71"/>
        <v>0</v>
      </c>
      <c r="BC162" s="35">
        <f t="shared" si="72"/>
        <v>0</v>
      </c>
      <c r="BD162" s="35">
        <f t="shared" si="73"/>
        <v>0</v>
      </c>
      <c r="BE162" s="35">
        <f t="shared" si="74"/>
        <v>0</v>
      </c>
      <c r="BF162" s="35">
        <f t="shared" si="75"/>
        <v>0</v>
      </c>
      <c r="BG162" s="35">
        <f t="shared" si="76"/>
        <v>0</v>
      </c>
      <c r="BH162" s="35">
        <f t="shared" si="77"/>
        <v>0</v>
      </c>
      <c r="BI162" s="35">
        <f t="shared" si="78"/>
        <v>0</v>
      </c>
      <c r="BJ162" s="35">
        <f t="shared" si="79"/>
        <v>0</v>
      </c>
      <c r="BK162" s="35">
        <f t="shared" si="80"/>
        <v>0</v>
      </c>
      <c r="BL162" s="35">
        <f t="shared" si="81"/>
        <v>0</v>
      </c>
      <c r="BM162" s="35">
        <f t="shared" si="82"/>
        <v>0</v>
      </c>
      <c r="BN162" s="35">
        <f t="shared" si="83"/>
        <v>0</v>
      </c>
      <c r="BO162" s="35">
        <f t="shared" si="84"/>
        <v>0</v>
      </c>
      <c r="BP162" s="35">
        <f t="shared" si="85"/>
        <v>0</v>
      </c>
      <c r="BQ162" s="35">
        <f t="shared" si="86"/>
        <v>0</v>
      </c>
      <c r="BR162" s="35">
        <f t="shared" si="87"/>
        <v>0</v>
      </c>
      <c r="BS162" s="35">
        <f t="shared" si="88"/>
        <v>0</v>
      </c>
      <c r="BT162" s="43">
        <f t="shared" si="89"/>
        <v>0</v>
      </c>
    </row>
    <row r="163" spans="1:72">
      <c r="A163" s="9"/>
      <c r="B163" s="34"/>
      <c r="C163" s="34"/>
      <c r="D163" s="1805"/>
      <c r="E163" s="35">
        <f t="shared" si="90"/>
        <v>0</v>
      </c>
      <c r="F163" s="36"/>
      <c r="G163" s="37">
        <f t="shared" si="65"/>
        <v>0</v>
      </c>
      <c r="H163" s="38">
        <f t="shared" si="66"/>
        <v>0</v>
      </c>
      <c r="I163" s="39"/>
      <c r="J163" s="39"/>
      <c r="K163" s="39"/>
      <c r="L163" s="39"/>
      <c r="M163" s="39"/>
      <c r="N163" s="39"/>
      <c r="O163" s="39"/>
      <c r="P163" s="39"/>
      <c r="Q163" s="39"/>
      <c r="R163" s="39"/>
      <c r="S163" s="39"/>
      <c r="T163" s="39"/>
      <c r="U163" s="39"/>
      <c r="V163" s="39"/>
      <c r="W163" s="39"/>
      <c r="X163" s="39"/>
      <c r="Y163" s="39"/>
      <c r="Z163" s="39"/>
      <c r="AA163" s="39"/>
      <c r="AB163" s="39"/>
      <c r="AC163" s="35">
        <f t="shared" si="67"/>
        <v>0</v>
      </c>
      <c r="AD163" s="40"/>
      <c r="AE163" s="40"/>
      <c r="AF163" s="40"/>
      <c r="AG163" s="40"/>
      <c r="AH163" s="40"/>
      <c r="AI163" s="40"/>
      <c r="AJ163" s="40"/>
      <c r="AK163" s="40"/>
      <c r="AL163" s="40"/>
      <c r="AM163" s="40"/>
      <c r="AN163" s="40"/>
      <c r="AO163" s="40"/>
      <c r="AP163" s="40"/>
      <c r="AQ163" s="40"/>
      <c r="AR163" s="40"/>
      <c r="AS163" s="40"/>
      <c r="AT163" s="41"/>
      <c r="AU163" s="1806"/>
      <c r="AV163" s="1517">
        <f t="shared" si="91"/>
        <v>0</v>
      </c>
      <c r="AW163" s="1517">
        <f t="shared" si="92"/>
        <v>0</v>
      </c>
      <c r="AX163" s="1517">
        <f t="shared" si="93"/>
        <v>0</v>
      </c>
      <c r="AY163" s="42">
        <f t="shared" si="68"/>
        <v>0</v>
      </c>
      <c r="AZ163" s="35">
        <f t="shared" si="69"/>
        <v>0</v>
      </c>
      <c r="BA163" s="35">
        <f t="shared" si="70"/>
        <v>0</v>
      </c>
      <c r="BB163" s="35">
        <f t="shared" si="71"/>
        <v>0</v>
      </c>
      <c r="BC163" s="35">
        <f t="shared" si="72"/>
        <v>0</v>
      </c>
      <c r="BD163" s="35">
        <f t="shared" si="73"/>
        <v>0</v>
      </c>
      <c r="BE163" s="35">
        <f t="shared" si="74"/>
        <v>0</v>
      </c>
      <c r="BF163" s="35">
        <f t="shared" si="75"/>
        <v>0</v>
      </c>
      <c r="BG163" s="35">
        <f t="shared" si="76"/>
        <v>0</v>
      </c>
      <c r="BH163" s="35">
        <f t="shared" si="77"/>
        <v>0</v>
      </c>
      <c r="BI163" s="35">
        <f t="shared" si="78"/>
        <v>0</v>
      </c>
      <c r="BJ163" s="35">
        <f t="shared" si="79"/>
        <v>0</v>
      </c>
      <c r="BK163" s="35">
        <f t="shared" si="80"/>
        <v>0</v>
      </c>
      <c r="BL163" s="35">
        <f t="shared" si="81"/>
        <v>0</v>
      </c>
      <c r="BM163" s="35">
        <f t="shared" si="82"/>
        <v>0</v>
      </c>
      <c r="BN163" s="35">
        <f t="shared" si="83"/>
        <v>0</v>
      </c>
      <c r="BO163" s="35">
        <f t="shared" si="84"/>
        <v>0</v>
      </c>
      <c r="BP163" s="35">
        <f t="shared" si="85"/>
        <v>0</v>
      </c>
      <c r="BQ163" s="35">
        <f t="shared" si="86"/>
        <v>0</v>
      </c>
      <c r="BR163" s="35">
        <f t="shared" si="87"/>
        <v>0</v>
      </c>
      <c r="BS163" s="35">
        <f t="shared" si="88"/>
        <v>0</v>
      </c>
      <c r="BT163" s="43">
        <f t="shared" si="89"/>
        <v>0</v>
      </c>
    </row>
    <row r="164" spans="1:72">
      <c r="A164" s="9"/>
      <c r="B164" s="34"/>
      <c r="C164" s="34"/>
      <c r="D164" s="1805"/>
      <c r="E164" s="35">
        <f t="shared" si="90"/>
        <v>0</v>
      </c>
      <c r="F164" s="36"/>
      <c r="G164" s="37">
        <f t="shared" si="65"/>
        <v>0</v>
      </c>
      <c r="H164" s="38">
        <f t="shared" si="66"/>
        <v>0</v>
      </c>
      <c r="I164" s="39"/>
      <c r="J164" s="39"/>
      <c r="K164" s="39"/>
      <c r="L164" s="39"/>
      <c r="M164" s="39"/>
      <c r="N164" s="39"/>
      <c r="O164" s="39"/>
      <c r="P164" s="39"/>
      <c r="Q164" s="39"/>
      <c r="R164" s="39"/>
      <c r="S164" s="39"/>
      <c r="T164" s="39"/>
      <c r="U164" s="39"/>
      <c r="V164" s="39"/>
      <c r="W164" s="39"/>
      <c r="X164" s="39"/>
      <c r="Y164" s="39"/>
      <c r="Z164" s="39"/>
      <c r="AA164" s="39"/>
      <c r="AB164" s="39"/>
      <c r="AC164" s="35">
        <f t="shared" si="67"/>
        <v>0</v>
      </c>
      <c r="AD164" s="40"/>
      <c r="AE164" s="40"/>
      <c r="AF164" s="40"/>
      <c r="AG164" s="40"/>
      <c r="AH164" s="40"/>
      <c r="AI164" s="40"/>
      <c r="AJ164" s="40"/>
      <c r="AK164" s="40"/>
      <c r="AL164" s="40"/>
      <c r="AM164" s="40"/>
      <c r="AN164" s="40"/>
      <c r="AO164" s="40"/>
      <c r="AP164" s="40"/>
      <c r="AQ164" s="40"/>
      <c r="AR164" s="40"/>
      <c r="AS164" s="40"/>
      <c r="AT164" s="41"/>
      <c r="AU164" s="1806"/>
      <c r="AV164" s="1517">
        <f t="shared" si="91"/>
        <v>0</v>
      </c>
      <c r="AW164" s="1517">
        <f t="shared" si="92"/>
        <v>0</v>
      </c>
      <c r="AX164" s="1517">
        <f t="shared" si="93"/>
        <v>0</v>
      </c>
      <c r="AY164" s="42">
        <f t="shared" si="68"/>
        <v>0</v>
      </c>
      <c r="AZ164" s="35">
        <f t="shared" si="69"/>
        <v>0</v>
      </c>
      <c r="BA164" s="35">
        <f t="shared" si="70"/>
        <v>0</v>
      </c>
      <c r="BB164" s="35">
        <f t="shared" si="71"/>
        <v>0</v>
      </c>
      <c r="BC164" s="35">
        <f t="shared" si="72"/>
        <v>0</v>
      </c>
      <c r="BD164" s="35">
        <f t="shared" si="73"/>
        <v>0</v>
      </c>
      <c r="BE164" s="35">
        <f t="shared" si="74"/>
        <v>0</v>
      </c>
      <c r="BF164" s="35">
        <f t="shared" si="75"/>
        <v>0</v>
      </c>
      <c r="BG164" s="35">
        <f t="shared" si="76"/>
        <v>0</v>
      </c>
      <c r="BH164" s="35">
        <f t="shared" si="77"/>
        <v>0</v>
      </c>
      <c r="BI164" s="35">
        <f t="shared" si="78"/>
        <v>0</v>
      </c>
      <c r="BJ164" s="35">
        <f t="shared" si="79"/>
        <v>0</v>
      </c>
      <c r="BK164" s="35">
        <f t="shared" si="80"/>
        <v>0</v>
      </c>
      <c r="BL164" s="35">
        <f t="shared" si="81"/>
        <v>0</v>
      </c>
      <c r="BM164" s="35">
        <f t="shared" si="82"/>
        <v>0</v>
      </c>
      <c r="BN164" s="35">
        <f t="shared" si="83"/>
        <v>0</v>
      </c>
      <c r="BO164" s="35">
        <f t="shared" si="84"/>
        <v>0</v>
      </c>
      <c r="BP164" s="35">
        <f t="shared" si="85"/>
        <v>0</v>
      </c>
      <c r="BQ164" s="35">
        <f t="shared" si="86"/>
        <v>0</v>
      </c>
      <c r="BR164" s="35">
        <f t="shared" si="87"/>
        <v>0</v>
      </c>
      <c r="BS164" s="35">
        <f t="shared" si="88"/>
        <v>0</v>
      </c>
      <c r="BT164" s="43">
        <f t="shared" si="89"/>
        <v>0</v>
      </c>
    </row>
    <row r="165" spans="1:72">
      <c r="A165" s="9"/>
      <c r="B165" s="34"/>
      <c r="C165" s="34"/>
      <c r="D165" s="1805"/>
      <c r="E165" s="35">
        <f t="shared" si="90"/>
        <v>0</v>
      </c>
      <c r="F165" s="36"/>
      <c r="G165" s="37">
        <f t="shared" si="65"/>
        <v>0</v>
      </c>
      <c r="H165" s="38">
        <f t="shared" si="66"/>
        <v>0</v>
      </c>
      <c r="I165" s="39"/>
      <c r="J165" s="39"/>
      <c r="K165" s="39"/>
      <c r="L165" s="39"/>
      <c r="M165" s="39"/>
      <c r="N165" s="39"/>
      <c r="O165" s="39"/>
      <c r="P165" s="39"/>
      <c r="Q165" s="39"/>
      <c r="R165" s="39"/>
      <c r="S165" s="39"/>
      <c r="T165" s="39"/>
      <c r="U165" s="39"/>
      <c r="V165" s="39"/>
      <c r="W165" s="39"/>
      <c r="X165" s="39"/>
      <c r="Y165" s="39"/>
      <c r="Z165" s="39"/>
      <c r="AA165" s="39"/>
      <c r="AB165" s="39"/>
      <c r="AC165" s="35">
        <f t="shared" si="67"/>
        <v>0</v>
      </c>
      <c r="AD165" s="40"/>
      <c r="AE165" s="40"/>
      <c r="AF165" s="40"/>
      <c r="AG165" s="40"/>
      <c r="AH165" s="40"/>
      <c r="AI165" s="40"/>
      <c r="AJ165" s="40"/>
      <c r="AK165" s="40"/>
      <c r="AL165" s="40"/>
      <c r="AM165" s="40"/>
      <c r="AN165" s="40"/>
      <c r="AO165" s="40"/>
      <c r="AP165" s="40"/>
      <c r="AQ165" s="40"/>
      <c r="AR165" s="40"/>
      <c r="AS165" s="40"/>
      <c r="AT165" s="41"/>
      <c r="AU165" s="1806"/>
      <c r="AV165" s="1517">
        <f t="shared" si="91"/>
        <v>0</v>
      </c>
      <c r="AW165" s="1517">
        <f t="shared" si="92"/>
        <v>0</v>
      </c>
      <c r="AX165" s="1517">
        <f t="shared" si="93"/>
        <v>0</v>
      </c>
      <c r="AY165" s="42">
        <f t="shared" si="68"/>
        <v>0</v>
      </c>
      <c r="AZ165" s="35">
        <f t="shared" si="69"/>
        <v>0</v>
      </c>
      <c r="BA165" s="35">
        <f t="shared" si="70"/>
        <v>0</v>
      </c>
      <c r="BB165" s="35">
        <f t="shared" si="71"/>
        <v>0</v>
      </c>
      <c r="BC165" s="35">
        <f t="shared" si="72"/>
        <v>0</v>
      </c>
      <c r="BD165" s="35">
        <f t="shared" si="73"/>
        <v>0</v>
      </c>
      <c r="BE165" s="35">
        <f t="shared" si="74"/>
        <v>0</v>
      </c>
      <c r="BF165" s="35">
        <f t="shared" si="75"/>
        <v>0</v>
      </c>
      <c r="BG165" s="35">
        <f t="shared" si="76"/>
        <v>0</v>
      </c>
      <c r="BH165" s="35">
        <f t="shared" si="77"/>
        <v>0</v>
      </c>
      <c r="BI165" s="35">
        <f t="shared" si="78"/>
        <v>0</v>
      </c>
      <c r="BJ165" s="35">
        <f t="shared" si="79"/>
        <v>0</v>
      </c>
      <c r="BK165" s="35">
        <f t="shared" si="80"/>
        <v>0</v>
      </c>
      <c r="BL165" s="35">
        <f t="shared" si="81"/>
        <v>0</v>
      </c>
      <c r="BM165" s="35">
        <f t="shared" si="82"/>
        <v>0</v>
      </c>
      <c r="BN165" s="35">
        <f t="shared" si="83"/>
        <v>0</v>
      </c>
      <c r="BO165" s="35">
        <f t="shared" si="84"/>
        <v>0</v>
      </c>
      <c r="BP165" s="35">
        <f t="shared" si="85"/>
        <v>0</v>
      </c>
      <c r="BQ165" s="35">
        <f t="shared" si="86"/>
        <v>0</v>
      </c>
      <c r="BR165" s="35">
        <f t="shared" si="87"/>
        <v>0</v>
      </c>
      <c r="BS165" s="35">
        <f t="shared" si="88"/>
        <v>0</v>
      </c>
      <c r="BT165" s="43">
        <f t="shared" si="89"/>
        <v>0</v>
      </c>
    </row>
    <row r="166" spans="1:72">
      <c r="A166" s="9"/>
      <c r="B166" s="34"/>
      <c r="C166" s="34"/>
      <c r="D166" s="1805"/>
      <c r="E166" s="35">
        <f t="shared" si="90"/>
        <v>0</v>
      </c>
      <c r="F166" s="36"/>
      <c r="G166" s="37">
        <f t="shared" si="65"/>
        <v>0</v>
      </c>
      <c r="H166" s="38">
        <f t="shared" si="66"/>
        <v>0</v>
      </c>
      <c r="I166" s="39"/>
      <c r="J166" s="39"/>
      <c r="K166" s="39"/>
      <c r="L166" s="39"/>
      <c r="M166" s="39"/>
      <c r="N166" s="39"/>
      <c r="O166" s="39"/>
      <c r="P166" s="39"/>
      <c r="Q166" s="39"/>
      <c r="R166" s="39"/>
      <c r="S166" s="39"/>
      <c r="T166" s="39"/>
      <c r="U166" s="39"/>
      <c r="V166" s="39"/>
      <c r="W166" s="39"/>
      <c r="X166" s="39"/>
      <c r="Y166" s="39"/>
      <c r="Z166" s="39"/>
      <c r="AA166" s="39"/>
      <c r="AB166" s="39"/>
      <c r="AC166" s="35">
        <f t="shared" si="67"/>
        <v>0</v>
      </c>
      <c r="AD166" s="40"/>
      <c r="AE166" s="40"/>
      <c r="AF166" s="40"/>
      <c r="AG166" s="40"/>
      <c r="AH166" s="40"/>
      <c r="AI166" s="40"/>
      <c r="AJ166" s="40"/>
      <c r="AK166" s="40"/>
      <c r="AL166" s="40"/>
      <c r="AM166" s="40"/>
      <c r="AN166" s="40"/>
      <c r="AO166" s="40"/>
      <c r="AP166" s="40"/>
      <c r="AQ166" s="40"/>
      <c r="AR166" s="40"/>
      <c r="AS166" s="40"/>
      <c r="AT166" s="41"/>
      <c r="AU166" s="1806"/>
      <c r="AV166" s="1517">
        <f t="shared" si="91"/>
        <v>0</v>
      </c>
      <c r="AW166" s="1517">
        <f t="shared" si="92"/>
        <v>0</v>
      </c>
      <c r="AX166" s="1517">
        <f t="shared" si="93"/>
        <v>0</v>
      </c>
      <c r="AY166" s="42">
        <f t="shared" si="68"/>
        <v>0</v>
      </c>
      <c r="AZ166" s="35">
        <f t="shared" si="69"/>
        <v>0</v>
      </c>
      <c r="BA166" s="35">
        <f t="shared" si="70"/>
        <v>0</v>
      </c>
      <c r="BB166" s="35">
        <f t="shared" si="71"/>
        <v>0</v>
      </c>
      <c r="BC166" s="35">
        <f t="shared" si="72"/>
        <v>0</v>
      </c>
      <c r="BD166" s="35">
        <f t="shared" si="73"/>
        <v>0</v>
      </c>
      <c r="BE166" s="35">
        <f t="shared" si="74"/>
        <v>0</v>
      </c>
      <c r="BF166" s="35">
        <f t="shared" si="75"/>
        <v>0</v>
      </c>
      <c r="BG166" s="35">
        <f t="shared" si="76"/>
        <v>0</v>
      </c>
      <c r="BH166" s="35">
        <f t="shared" si="77"/>
        <v>0</v>
      </c>
      <c r="BI166" s="35">
        <f t="shared" si="78"/>
        <v>0</v>
      </c>
      <c r="BJ166" s="35">
        <f t="shared" si="79"/>
        <v>0</v>
      </c>
      <c r="BK166" s="35">
        <f t="shared" si="80"/>
        <v>0</v>
      </c>
      <c r="BL166" s="35">
        <f t="shared" si="81"/>
        <v>0</v>
      </c>
      <c r="BM166" s="35">
        <f t="shared" si="82"/>
        <v>0</v>
      </c>
      <c r="BN166" s="35">
        <f t="shared" si="83"/>
        <v>0</v>
      </c>
      <c r="BO166" s="35">
        <f t="shared" si="84"/>
        <v>0</v>
      </c>
      <c r="BP166" s="35">
        <f t="shared" si="85"/>
        <v>0</v>
      </c>
      <c r="BQ166" s="35">
        <f t="shared" si="86"/>
        <v>0</v>
      </c>
      <c r="BR166" s="35">
        <f t="shared" si="87"/>
        <v>0</v>
      </c>
      <c r="BS166" s="35">
        <f t="shared" si="88"/>
        <v>0</v>
      </c>
      <c r="BT166" s="43">
        <f t="shared" si="89"/>
        <v>0</v>
      </c>
    </row>
    <row r="167" spans="1:72">
      <c r="A167" s="9"/>
      <c r="B167" s="34"/>
      <c r="C167" s="34"/>
      <c r="D167" s="1805"/>
      <c r="E167" s="35">
        <f t="shared" si="90"/>
        <v>0</v>
      </c>
      <c r="F167" s="36"/>
      <c r="G167" s="37">
        <f t="shared" si="65"/>
        <v>0</v>
      </c>
      <c r="H167" s="38">
        <f t="shared" si="66"/>
        <v>0</v>
      </c>
      <c r="I167" s="39"/>
      <c r="J167" s="39"/>
      <c r="K167" s="39"/>
      <c r="L167" s="39"/>
      <c r="M167" s="39"/>
      <c r="N167" s="39"/>
      <c r="O167" s="39"/>
      <c r="P167" s="39"/>
      <c r="Q167" s="39"/>
      <c r="R167" s="39"/>
      <c r="S167" s="39"/>
      <c r="T167" s="39"/>
      <c r="U167" s="39"/>
      <c r="V167" s="39"/>
      <c r="W167" s="39"/>
      <c r="X167" s="39"/>
      <c r="Y167" s="39"/>
      <c r="Z167" s="39"/>
      <c r="AA167" s="39"/>
      <c r="AB167" s="39"/>
      <c r="AC167" s="35">
        <f t="shared" si="67"/>
        <v>0</v>
      </c>
      <c r="AD167" s="40"/>
      <c r="AE167" s="40"/>
      <c r="AF167" s="40"/>
      <c r="AG167" s="40"/>
      <c r="AH167" s="40"/>
      <c r="AI167" s="40"/>
      <c r="AJ167" s="40"/>
      <c r="AK167" s="40"/>
      <c r="AL167" s="40"/>
      <c r="AM167" s="40"/>
      <c r="AN167" s="40"/>
      <c r="AO167" s="40"/>
      <c r="AP167" s="40"/>
      <c r="AQ167" s="40"/>
      <c r="AR167" s="40"/>
      <c r="AS167" s="40"/>
      <c r="AT167" s="41"/>
      <c r="AU167" s="1806"/>
      <c r="AV167" s="1517">
        <f t="shared" si="91"/>
        <v>0</v>
      </c>
      <c r="AW167" s="1517">
        <f t="shared" si="92"/>
        <v>0</v>
      </c>
      <c r="AX167" s="1517">
        <f t="shared" si="93"/>
        <v>0</v>
      </c>
      <c r="AY167" s="42">
        <f t="shared" si="68"/>
        <v>0</v>
      </c>
      <c r="AZ167" s="35">
        <f t="shared" si="69"/>
        <v>0</v>
      </c>
      <c r="BA167" s="35">
        <f t="shared" si="70"/>
        <v>0</v>
      </c>
      <c r="BB167" s="35">
        <f t="shared" si="71"/>
        <v>0</v>
      </c>
      <c r="BC167" s="35">
        <f t="shared" si="72"/>
        <v>0</v>
      </c>
      <c r="BD167" s="35">
        <f t="shared" si="73"/>
        <v>0</v>
      </c>
      <c r="BE167" s="35">
        <f t="shared" si="74"/>
        <v>0</v>
      </c>
      <c r="BF167" s="35">
        <f t="shared" si="75"/>
        <v>0</v>
      </c>
      <c r="BG167" s="35">
        <f t="shared" si="76"/>
        <v>0</v>
      </c>
      <c r="BH167" s="35">
        <f t="shared" si="77"/>
        <v>0</v>
      </c>
      <c r="BI167" s="35">
        <f t="shared" si="78"/>
        <v>0</v>
      </c>
      <c r="BJ167" s="35">
        <f t="shared" si="79"/>
        <v>0</v>
      </c>
      <c r="BK167" s="35">
        <f t="shared" si="80"/>
        <v>0</v>
      </c>
      <c r="BL167" s="35">
        <f t="shared" si="81"/>
        <v>0</v>
      </c>
      <c r="BM167" s="35">
        <f t="shared" si="82"/>
        <v>0</v>
      </c>
      <c r="BN167" s="35">
        <f t="shared" si="83"/>
        <v>0</v>
      </c>
      <c r="BO167" s="35">
        <f t="shared" si="84"/>
        <v>0</v>
      </c>
      <c r="BP167" s="35">
        <f t="shared" si="85"/>
        <v>0</v>
      </c>
      <c r="BQ167" s="35">
        <f t="shared" si="86"/>
        <v>0</v>
      </c>
      <c r="BR167" s="35">
        <f t="shared" si="87"/>
        <v>0</v>
      </c>
      <c r="BS167" s="35">
        <f t="shared" si="88"/>
        <v>0</v>
      </c>
      <c r="BT167" s="43">
        <f t="shared" si="89"/>
        <v>0</v>
      </c>
    </row>
    <row r="168" spans="1:72">
      <c r="A168" s="9"/>
      <c r="B168" s="34"/>
      <c r="C168" s="34"/>
      <c r="D168" s="1805"/>
      <c r="E168" s="35">
        <f t="shared" si="90"/>
        <v>0</v>
      </c>
      <c r="F168" s="36"/>
      <c r="G168" s="37">
        <f t="shared" si="65"/>
        <v>0</v>
      </c>
      <c r="H168" s="38">
        <f t="shared" si="66"/>
        <v>0</v>
      </c>
      <c r="I168" s="39"/>
      <c r="J168" s="39"/>
      <c r="K168" s="39"/>
      <c r="L168" s="39"/>
      <c r="M168" s="39"/>
      <c r="N168" s="39"/>
      <c r="O168" s="39"/>
      <c r="P168" s="39"/>
      <c r="Q168" s="39"/>
      <c r="R168" s="39"/>
      <c r="S168" s="39"/>
      <c r="T168" s="39"/>
      <c r="U168" s="39"/>
      <c r="V168" s="39"/>
      <c r="W168" s="39"/>
      <c r="X168" s="39"/>
      <c r="Y168" s="39"/>
      <c r="Z168" s="39"/>
      <c r="AA168" s="39"/>
      <c r="AB168" s="39"/>
      <c r="AC168" s="35">
        <f t="shared" si="67"/>
        <v>0</v>
      </c>
      <c r="AD168" s="40"/>
      <c r="AE168" s="40"/>
      <c r="AF168" s="40"/>
      <c r="AG168" s="40"/>
      <c r="AH168" s="40"/>
      <c r="AI168" s="40"/>
      <c r="AJ168" s="40"/>
      <c r="AK168" s="40"/>
      <c r="AL168" s="40"/>
      <c r="AM168" s="40"/>
      <c r="AN168" s="40"/>
      <c r="AO168" s="40"/>
      <c r="AP168" s="40"/>
      <c r="AQ168" s="40"/>
      <c r="AR168" s="40"/>
      <c r="AS168" s="40"/>
      <c r="AT168" s="41"/>
      <c r="AU168" s="1806"/>
      <c r="AV168" s="1517">
        <f t="shared" si="91"/>
        <v>0</v>
      </c>
      <c r="AW168" s="1517">
        <f t="shared" si="92"/>
        <v>0</v>
      </c>
      <c r="AX168" s="1517">
        <f t="shared" si="93"/>
        <v>0</v>
      </c>
      <c r="AY168" s="42">
        <f t="shared" si="68"/>
        <v>0</v>
      </c>
      <c r="AZ168" s="35">
        <f t="shared" si="69"/>
        <v>0</v>
      </c>
      <c r="BA168" s="35">
        <f t="shared" si="70"/>
        <v>0</v>
      </c>
      <c r="BB168" s="35">
        <f t="shared" si="71"/>
        <v>0</v>
      </c>
      <c r="BC168" s="35">
        <f t="shared" si="72"/>
        <v>0</v>
      </c>
      <c r="BD168" s="35">
        <f t="shared" si="73"/>
        <v>0</v>
      </c>
      <c r="BE168" s="35">
        <f t="shared" si="74"/>
        <v>0</v>
      </c>
      <c r="BF168" s="35">
        <f t="shared" si="75"/>
        <v>0</v>
      </c>
      <c r="BG168" s="35">
        <f t="shared" si="76"/>
        <v>0</v>
      </c>
      <c r="BH168" s="35">
        <f t="shared" si="77"/>
        <v>0</v>
      </c>
      <c r="BI168" s="35">
        <f t="shared" si="78"/>
        <v>0</v>
      </c>
      <c r="BJ168" s="35">
        <f t="shared" si="79"/>
        <v>0</v>
      </c>
      <c r="BK168" s="35">
        <f t="shared" si="80"/>
        <v>0</v>
      </c>
      <c r="BL168" s="35">
        <f t="shared" si="81"/>
        <v>0</v>
      </c>
      <c r="BM168" s="35">
        <f t="shared" si="82"/>
        <v>0</v>
      </c>
      <c r="BN168" s="35">
        <f t="shared" si="83"/>
        <v>0</v>
      </c>
      <c r="BO168" s="35">
        <f t="shared" si="84"/>
        <v>0</v>
      </c>
      <c r="BP168" s="35">
        <f t="shared" si="85"/>
        <v>0</v>
      </c>
      <c r="BQ168" s="35">
        <f t="shared" si="86"/>
        <v>0</v>
      </c>
      <c r="BR168" s="35">
        <f t="shared" si="87"/>
        <v>0</v>
      </c>
      <c r="BS168" s="35">
        <f t="shared" si="88"/>
        <v>0</v>
      </c>
      <c r="BT168" s="43">
        <f t="shared" si="89"/>
        <v>0</v>
      </c>
    </row>
    <row r="169" spans="1:72">
      <c r="A169" s="9"/>
      <c r="B169" s="34"/>
      <c r="C169" s="34"/>
      <c r="D169" s="1805"/>
      <c r="E169" s="35">
        <f t="shared" si="90"/>
        <v>0</v>
      </c>
      <c r="F169" s="36"/>
      <c r="G169" s="37">
        <f t="shared" si="65"/>
        <v>0</v>
      </c>
      <c r="H169" s="38">
        <f t="shared" si="66"/>
        <v>0</v>
      </c>
      <c r="I169" s="39"/>
      <c r="J169" s="39"/>
      <c r="K169" s="39"/>
      <c r="L169" s="39"/>
      <c r="M169" s="39"/>
      <c r="N169" s="39"/>
      <c r="O169" s="39"/>
      <c r="P169" s="39"/>
      <c r="Q169" s="39"/>
      <c r="R169" s="39"/>
      <c r="S169" s="39"/>
      <c r="T169" s="39"/>
      <c r="U169" s="39"/>
      <c r="V169" s="39"/>
      <c r="W169" s="39"/>
      <c r="X169" s="39"/>
      <c r="Y169" s="39"/>
      <c r="Z169" s="39"/>
      <c r="AA169" s="39"/>
      <c r="AB169" s="39"/>
      <c r="AC169" s="35">
        <f t="shared" si="67"/>
        <v>0</v>
      </c>
      <c r="AD169" s="40"/>
      <c r="AE169" s="40"/>
      <c r="AF169" s="40"/>
      <c r="AG169" s="40"/>
      <c r="AH169" s="40"/>
      <c r="AI169" s="40"/>
      <c r="AJ169" s="40"/>
      <c r="AK169" s="40"/>
      <c r="AL169" s="40"/>
      <c r="AM169" s="40"/>
      <c r="AN169" s="40"/>
      <c r="AO169" s="40"/>
      <c r="AP169" s="40"/>
      <c r="AQ169" s="40"/>
      <c r="AR169" s="40"/>
      <c r="AS169" s="40"/>
      <c r="AT169" s="41"/>
      <c r="AU169" s="1806"/>
      <c r="AV169" s="1517">
        <f t="shared" si="91"/>
        <v>0</v>
      </c>
      <c r="AW169" s="1517">
        <f t="shared" si="92"/>
        <v>0</v>
      </c>
      <c r="AX169" s="1517">
        <f t="shared" si="93"/>
        <v>0</v>
      </c>
      <c r="AY169" s="42">
        <f t="shared" si="68"/>
        <v>0</v>
      </c>
      <c r="AZ169" s="35">
        <f t="shared" si="69"/>
        <v>0</v>
      </c>
      <c r="BA169" s="35">
        <f t="shared" si="70"/>
        <v>0</v>
      </c>
      <c r="BB169" s="35">
        <f t="shared" si="71"/>
        <v>0</v>
      </c>
      <c r="BC169" s="35">
        <f t="shared" si="72"/>
        <v>0</v>
      </c>
      <c r="BD169" s="35">
        <f t="shared" si="73"/>
        <v>0</v>
      </c>
      <c r="BE169" s="35">
        <f t="shared" si="74"/>
        <v>0</v>
      </c>
      <c r="BF169" s="35">
        <f t="shared" si="75"/>
        <v>0</v>
      </c>
      <c r="BG169" s="35">
        <f t="shared" si="76"/>
        <v>0</v>
      </c>
      <c r="BH169" s="35">
        <f t="shared" si="77"/>
        <v>0</v>
      </c>
      <c r="BI169" s="35">
        <f t="shared" si="78"/>
        <v>0</v>
      </c>
      <c r="BJ169" s="35">
        <f t="shared" si="79"/>
        <v>0</v>
      </c>
      <c r="BK169" s="35">
        <f t="shared" si="80"/>
        <v>0</v>
      </c>
      <c r="BL169" s="35">
        <f t="shared" si="81"/>
        <v>0</v>
      </c>
      <c r="BM169" s="35">
        <f t="shared" si="82"/>
        <v>0</v>
      </c>
      <c r="BN169" s="35">
        <f t="shared" si="83"/>
        <v>0</v>
      </c>
      <c r="BO169" s="35">
        <f t="shared" si="84"/>
        <v>0</v>
      </c>
      <c r="BP169" s="35">
        <f t="shared" si="85"/>
        <v>0</v>
      </c>
      <c r="BQ169" s="35">
        <f t="shared" si="86"/>
        <v>0</v>
      </c>
      <c r="BR169" s="35">
        <f t="shared" si="87"/>
        <v>0</v>
      </c>
      <c r="BS169" s="35">
        <f t="shared" si="88"/>
        <v>0</v>
      </c>
      <c r="BT169" s="43">
        <f t="shared" si="89"/>
        <v>0</v>
      </c>
    </row>
    <row r="170" spans="1:72">
      <c r="A170" s="9"/>
      <c r="B170" s="34"/>
      <c r="C170" s="34"/>
      <c r="D170" s="1805"/>
      <c r="E170" s="35">
        <f t="shared" si="90"/>
        <v>0</v>
      </c>
      <c r="F170" s="36"/>
      <c r="G170" s="37">
        <f t="shared" si="65"/>
        <v>0</v>
      </c>
      <c r="H170" s="38">
        <f t="shared" si="66"/>
        <v>0</v>
      </c>
      <c r="I170" s="39"/>
      <c r="J170" s="39"/>
      <c r="K170" s="39"/>
      <c r="L170" s="39"/>
      <c r="M170" s="39"/>
      <c r="N170" s="39"/>
      <c r="O170" s="39"/>
      <c r="P170" s="39"/>
      <c r="Q170" s="39"/>
      <c r="R170" s="39"/>
      <c r="S170" s="39"/>
      <c r="T170" s="39"/>
      <c r="U170" s="39"/>
      <c r="V170" s="39"/>
      <c r="W170" s="39"/>
      <c r="X170" s="39"/>
      <c r="Y170" s="39"/>
      <c r="Z170" s="39"/>
      <c r="AA170" s="39"/>
      <c r="AB170" s="39"/>
      <c r="AC170" s="35">
        <f t="shared" si="67"/>
        <v>0</v>
      </c>
      <c r="AD170" s="40"/>
      <c r="AE170" s="40"/>
      <c r="AF170" s="40"/>
      <c r="AG170" s="40"/>
      <c r="AH170" s="40"/>
      <c r="AI170" s="40"/>
      <c r="AJ170" s="40"/>
      <c r="AK170" s="40"/>
      <c r="AL170" s="40"/>
      <c r="AM170" s="40"/>
      <c r="AN170" s="40"/>
      <c r="AO170" s="40"/>
      <c r="AP170" s="40"/>
      <c r="AQ170" s="40"/>
      <c r="AR170" s="40"/>
      <c r="AS170" s="40"/>
      <c r="AT170" s="41"/>
      <c r="AU170" s="1806"/>
      <c r="AV170" s="1517">
        <f t="shared" si="91"/>
        <v>0</v>
      </c>
      <c r="AW170" s="1517">
        <f t="shared" si="92"/>
        <v>0</v>
      </c>
      <c r="AX170" s="1517">
        <f t="shared" si="93"/>
        <v>0</v>
      </c>
      <c r="AY170" s="42">
        <f t="shared" si="68"/>
        <v>0</v>
      </c>
      <c r="AZ170" s="35">
        <f t="shared" si="69"/>
        <v>0</v>
      </c>
      <c r="BA170" s="35">
        <f t="shared" si="70"/>
        <v>0</v>
      </c>
      <c r="BB170" s="35">
        <f t="shared" si="71"/>
        <v>0</v>
      </c>
      <c r="BC170" s="35">
        <f t="shared" si="72"/>
        <v>0</v>
      </c>
      <c r="BD170" s="35">
        <f t="shared" si="73"/>
        <v>0</v>
      </c>
      <c r="BE170" s="35">
        <f t="shared" si="74"/>
        <v>0</v>
      </c>
      <c r="BF170" s="35">
        <f t="shared" si="75"/>
        <v>0</v>
      </c>
      <c r="BG170" s="35">
        <f t="shared" si="76"/>
        <v>0</v>
      </c>
      <c r="BH170" s="35">
        <f t="shared" si="77"/>
        <v>0</v>
      </c>
      <c r="BI170" s="35">
        <f t="shared" si="78"/>
        <v>0</v>
      </c>
      <c r="BJ170" s="35">
        <f t="shared" si="79"/>
        <v>0</v>
      </c>
      <c r="BK170" s="35">
        <f t="shared" si="80"/>
        <v>0</v>
      </c>
      <c r="BL170" s="35">
        <f t="shared" si="81"/>
        <v>0</v>
      </c>
      <c r="BM170" s="35">
        <f t="shared" si="82"/>
        <v>0</v>
      </c>
      <c r="BN170" s="35">
        <f t="shared" si="83"/>
        <v>0</v>
      </c>
      <c r="BO170" s="35">
        <f t="shared" si="84"/>
        <v>0</v>
      </c>
      <c r="BP170" s="35">
        <f t="shared" si="85"/>
        <v>0</v>
      </c>
      <c r="BQ170" s="35">
        <f t="shared" si="86"/>
        <v>0</v>
      </c>
      <c r="BR170" s="35">
        <f t="shared" si="87"/>
        <v>0</v>
      </c>
      <c r="BS170" s="35">
        <f t="shared" si="88"/>
        <v>0</v>
      </c>
      <c r="BT170" s="43">
        <f t="shared" si="89"/>
        <v>0</v>
      </c>
    </row>
    <row r="171" spans="1:72">
      <c r="A171" s="9"/>
      <c r="B171" s="34"/>
      <c r="C171" s="34"/>
      <c r="D171" s="1805"/>
      <c r="E171" s="35">
        <f t="shared" si="90"/>
        <v>0</v>
      </c>
      <c r="F171" s="36"/>
      <c r="G171" s="37">
        <f t="shared" si="65"/>
        <v>0</v>
      </c>
      <c r="H171" s="38">
        <f t="shared" si="66"/>
        <v>0</v>
      </c>
      <c r="I171" s="39"/>
      <c r="J171" s="39"/>
      <c r="K171" s="39"/>
      <c r="L171" s="39"/>
      <c r="M171" s="39"/>
      <c r="N171" s="39"/>
      <c r="O171" s="39"/>
      <c r="P171" s="39"/>
      <c r="Q171" s="39"/>
      <c r="R171" s="39"/>
      <c r="S171" s="39"/>
      <c r="T171" s="39"/>
      <c r="U171" s="39"/>
      <c r="V171" s="39"/>
      <c r="W171" s="39"/>
      <c r="X171" s="39"/>
      <c r="Y171" s="39"/>
      <c r="Z171" s="39"/>
      <c r="AA171" s="39"/>
      <c r="AB171" s="39"/>
      <c r="AC171" s="35">
        <f t="shared" si="67"/>
        <v>0</v>
      </c>
      <c r="AD171" s="40"/>
      <c r="AE171" s="40"/>
      <c r="AF171" s="40"/>
      <c r="AG171" s="40"/>
      <c r="AH171" s="40"/>
      <c r="AI171" s="40"/>
      <c r="AJ171" s="40"/>
      <c r="AK171" s="40"/>
      <c r="AL171" s="40"/>
      <c r="AM171" s="40"/>
      <c r="AN171" s="40"/>
      <c r="AO171" s="40"/>
      <c r="AP171" s="40"/>
      <c r="AQ171" s="40"/>
      <c r="AR171" s="40"/>
      <c r="AS171" s="40"/>
      <c r="AT171" s="41"/>
      <c r="AU171" s="1806"/>
      <c r="AV171" s="1517">
        <f t="shared" si="91"/>
        <v>0</v>
      </c>
      <c r="AW171" s="1517">
        <f t="shared" si="92"/>
        <v>0</v>
      </c>
      <c r="AX171" s="1517">
        <f t="shared" si="93"/>
        <v>0</v>
      </c>
      <c r="AY171" s="42">
        <f t="shared" si="68"/>
        <v>0</v>
      </c>
      <c r="AZ171" s="35">
        <f t="shared" si="69"/>
        <v>0</v>
      </c>
      <c r="BA171" s="35">
        <f t="shared" si="70"/>
        <v>0</v>
      </c>
      <c r="BB171" s="35">
        <f t="shared" si="71"/>
        <v>0</v>
      </c>
      <c r="BC171" s="35">
        <f t="shared" si="72"/>
        <v>0</v>
      </c>
      <c r="BD171" s="35">
        <f t="shared" si="73"/>
        <v>0</v>
      </c>
      <c r="BE171" s="35">
        <f t="shared" si="74"/>
        <v>0</v>
      </c>
      <c r="BF171" s="35">
        <f t="shared" si="75"/>
        <v>0</v>
      </c>
      <c r="BG171" s="35">
        <f t="shared" si="76"/>
        <v>0</v>
      </c>
      <c r="BH171" s="35">
        <f t="shared" si="77"/>
        <v>0</v>
      </c>
      <c r="BI171" s="35">
        <f t="shared" si="78"/>
        <v>0</v>
      </c>
      <c r="BJ171" s="35">
        <f t="shared" si="79"/>
        <v>0</v>
      </c>
      <c r="BK171" s="35">
        <f t="shared" si="80"/>
        <v>0</v>
      </c>
      <c r="BL171" s="35">
        <f t="shared" si="81"/>
        <v>0</v>
      </c>
      <c r="BM171" s="35">
        <f t="shared" si="82"/>
        <v>0</v>
      </c>
      <c r="BN171" s="35">
        <f t="shared" si="83"/>
        <v>0</v>
      </c>
      <c r="BO171" s="35">
        <f t="shared" si="84"/>
        <v>0</v>
      </c>
      <c r="BP171" s="35">
        <f t="shared" si="85"/>
        <v>0</v>
      </c>
      <c r="BQ171" s="35">
        <f t="shared" si="86"/>
        <v>0</v>
      </c>
      <c r="BR171" s="35">
        <f t="shared" si="87"/>
        <v>0</v>
      </c>
      <c r="BS171" s="35">
        <f t="shared" si="88"/>
        <v>0</v>
      </c>
      <c r="BT171" s="43">
        <f t="shared" si="89"/>
        <v>0</v>
      </c>
    </row>
    <row r="172" spans="1:72">
      <c r="A172" s="9"/>
      <c r="B172" s="34"/>
      <c r="C172" s="34"/>
      <c r="D172" s="1805"/>
      <c r="E172" s="35">
        <f t="shared" si="90"/>
        <v>0</v>
      </c>
      <c r="F172" s="36"/>
      <c r="G172" s="37">
        <f t="shared" si="65"/>
        <v>0</v>
      </c>
      <c r="H172" s="38">
        <f t="shared" si="66"/>
        <v>0</v>
      </c>
      <c r="I172" s="39"/>
      <c r="J172" s="39"/>
      <c r="K172" s="39"/>
      <c r="L172" s="39"/>
      <c r="M172" s="39"/>
      <c r="N172" s="39"/>
      <c r="O172" s="39"/>
      <c r="P172" s="39"/>
      <c r="Q172" s="39"/>
      <c r="R172" s="39"/>
      <c r="S172" s="39"/>
      <c r="T172" s="39"/>
      <c r="U172" s="39"/>
      <c r="V172" s="39"/>
      <c r="W172" s="39"/>
      <c r="X172" s="39"/>
      <c r="Y172" s="39"/>
      <c r="Z172" s="39"/>
      <c r="AA172" s="39"/>
      <c r="AB172" s="39"/>
      <c r="AC172" s="35">
        <f t="shared" si="67"/>
        <v>0</v>
      </c>
      <c r="AD172" s="40"/>
      <c r="AE172" s="40"/>
      <c r="AF172" s="40"/>
      <c r="AG172" s="40"/>
      <c r="AH172" s="40"/>
      <c r="AI172" s="40"/>
      <c r="AJ172" s="40"/>
      <c r="AK172" s="40"/>
      <c r="AL172" s="40"/>
      <c r="AM172" s="40"/>
      <c r="AN172" s="40"/>
      <c r="AO172" s="40"/>
      <c r="AP172" s="40"/>
      <c r="AQ172" s="40"/>
      <c r="AR172" s="40"/>
      <c r="AS172" s="40"/>
      <c r="AT172" s="41"/>
      <c r="AU172" s="1806"/>
      <c r="AV172" s="1517">
        <f t="shared" si="91"/>
        <v>0</v>
      </c>
      <c r="AW172" s="1517">
        <f t="shared" si="92"/>
        <v>0</v>
      </c>
      <c r="AX172" s="1517">
        <f t="shared" si="93"/>
        <v>0</v>
      </c>
      <c r="AY172" s="42">
        <f t="shared" si="68"/>
        <v>0</v>
      </c>
      <c r="AZ172" s="35">
        <f t="shared" si="69"/>
        <v>0</v>
      </c>
      <c r="BA172" s="35">
        <f t="shared" si="70"/>
        <v>0</v>
      </c>
      <c r="BB172" s="35">
        <f t="shared" si="71"/>
        <v>0</v>
      </c>
      <c r="BC172" s="35">
        <f t="shared" si="72"/>
        <v>0</v>
      </c>
      <c r="BD172" s="35">
        <f t="shared" si="73"/>
        <v>0</v>
      </c>
      <c r="BE172" s="35">
        <f t="shared" si="74"/>
        <v>0</v>
      </c>
      <c r="BF172" s="35">
        <f t="shared" si="75"/>
        <v>0</v>
      </c>
      <c r="BG172" s="35">
        <f t="shared" si="76"/>
        <v>0</v>
      </c>
      <c r="BH172" s="35">
        <f t="shared" si="77"/>
        <v>0</v>
      </c>
      <c r="BI172" s="35">
        <f t="shared" si="78"/>
        <v>0</v>
      </c>
      <c r="BJ172" s="35">
        <f t="shared" si="79"/>
        <v>0</v>
      </c>
      <c r="BK172" s="35">
        <f t="shared" si="80"/>
        <v>0</v>
      </c>
      <c r="BL172" s="35">
        <f t="shared" si="81"/>
        <v>0</v>
      </c>
      <c r="BM172" s="35">
        <f t="shared" si="82"/>
        <v>0</v>
      </c>
      <c r="BN172" s="35">
        <f t="shared" si="83"/>
        <v>0</v>
      </c>
      <c r="BO172" s="35">
        <f t="shared" si="84"/>
        <v>0</v>
      </c>
      <c r="BP172" s="35">
        <f t="shared" si="85"/>
        <v>0</v>
      </c>
      <c r="BQ172" s="35">
        <f t="shared" si="86"/>
        <v>0</v>
      </c>
      <c r="BR172" s="35">
        <f t="shared" si="87"/>
        <v>0</v>
      </c>
      <c r="BS172" s="35">
        <f t="shared" si="88"/>
        <v>0</v>
      </c>
      <c r="BT172" s="43">
        <f t="shared" si="89"/>
        <v>0</v>
      </c>
    </row>
    <row r="173" spans="1:72">
      <c r="A173" s="9"/>
      <c r="B173" s="34"/>
      <c r="C173" s="34"/>
      <c r="D173" s="1805"/>
      <c r="E173" s="35">
        <f t="shared" si="90"/>
        <v>0</v>
      </c>
      <c r="F173" s="36"/>
      <c r="G173" s="37">
        <f t="shared" si="65"/>
        <v>0</v>
      </c>
      <c r="H173" s="38">
        <f t="shared" si="66"/>
        <v>0</v>
      </c>
      <c r="I173" s="39"/>
      <c r="J173" s="39"/>
      <c r="K173" s="39"/>
      <c r="L173" s="39"/>
      <c r="M173" s="39"/>
      <c r="N173" s="39"/>
      <c r="O173" s="39"/>
      <c r="P173" s="39"/>
      <c r="Q173" s="39"/>
      <c r="R173" s="39"/>
      <c r="S173" s="39"/>
      <c r="T173" s="39"/>
      <c r="U173" s="39"/>
      <c r="V173" s="39"/>
      <c r="W173" s="39"/>
      <c r="X173" s="39"/>
      <c r="Y173" s="39"/>
      <c r="Z173" s="39"/>
      <c r="AA173" s="39"/>
      <c r="AB173" s="39"/>
      <c r="AC173" s="35">
        <f t="shared" si="67"/>
        <v>0</v>
      </c>
      <c r="AD173" s="40"/>
      <c r="AE173" s="40"/>
      <c r="AF173" s="40"/>
      <c r="AG173" s="40"/>
      <c r="AH173" s="40"/>
      <c r="AI173" s="40"/>
      <c r="AJ173" s="40"/>
      <c r="AK173" s="40"/>
      <c r="AL173" s="40"/>
      <c r="AM173" s="40"/>
      <c r="AN173" s="40"/>
      <c r="AO173" s="40"/>
      <c r="AP173" s="40"/>
      <c r="AQ173" s="40"/>
      <c r="AR173" s="40"/>
      <c r="AS173" s="40"/>
      <c r="AT173" s="41"/>
      <c r="AU173" s="1806"/>
      <c r="AV173" s="1517">
        <f t="shared" si="91"/>
        <v>0</v>
      </c>
      <c r="AW173" s="1517">
        <f t="shared" si="92"/>
        <v>0</v>
      </c>
      <c r="AX173" s="1517">
        <f t="shared" si="93"/>
        <v>0</v>
      </c>
      <c r="AY173" s="42">
        <f t="shared" si="68"/>
        <v>0</v>
      </c>
      <c r="AZ173" s="35">
        <f t="shared" si="69"/>
        <v>0</v>
      </c>
      <c r="BA173" s="35">
        <f t="shared" si="70"/>
        <v>0</v>
      </c>
      <c r="BB173" s="35">
        <f t="shared" si="71"/>
        <v>0</v>
      </c>
      <c r="BC173" s="35">
        <f t="shared" si="72"/>
        <v>0</v>
      </c>
      <c r="BD173" s="35">
        <f t="shared" si="73"/>
        <v>0</v>
      </c>
      <c r="BE173" s="35">
        <f t="shared" si="74"/>
        <v>0</v>
      </c>
      <c r="BF173" s="35">
        <f t="shared" si="75"/>
        <v>0</v>
      </c>
      <c r="BG173" s="35">
        <f t="shared" si="76"/>
        <v>0</v>
      </c>
      <c r="BH173" s="35">
        <f t="shared" si="77"/>
        <v>0</v>
      </c>
      <c r="BI173" s="35">
        <f t="shared" si="78"/>
        <v>0</v>
      </c>
      <c r="BJ173" s="35">
        <f t="shared" si="79"/>
        <v>0</v>
      </c>
      <c r="BK173" s="35">
        <f t="shared" si="80"/>
        <v>0</v>
      </c>
      <c r="BL173" s="35">
        <f t="shared" si="81"/>
        <v>0</v>
      </c>
      <c r="BM173" s="35">
        <f t="shared" si="82"/>
        <v>0</v>
      </c>
      <c r="BN173" s="35">
        <f t="shared" si="83"/>
        <v>0</v>
      </c>
      <c r="BO173" s="35">
        <f t="shared" si="84"/>
        <v>0</v>
      </c>
      <c r="BP173" s="35">
        <f t="shared" si="85"/>
        <v>0</v>
      </c>
      <c r="BQ173" s="35">
        <f t="shared" si="86"/>
        <v>0</v>
      </c>
      <c r="BR173" s="35">
        <f t="shared" si="87"/>
        <v>0</v>
      </c>
      <c r="BS173" s="35">
        <f t="shared" si="88"/>
        <v>0</v>
      </c>
      <c r="BT173" s="43">
        <f t="shared" si="89"/>
        <v>0</v>
      </c>
    </row>
    <row r="174" spans="1:72">
      <c r="A174" s="9"/>
      <c r="B174" s="34"/>
      <c r="C174" s="34"/>
      <c r="D174" s="1805"/>
      <c r="E174" s="35">
        <f t="shared" si="90"/>
        <v>0</v>
      </c>
      <c r="F174" s="36"/>
      <c r="G174" s="37">
        <f t="shared" ref="G174:G205" si="94">H174+AC174+AT174</f>
        <v>0</v>
      </c>
      <c r="H174" s="38">
        <f t="shared" ref="H174:H205" si="95">SUMIF(I$12:AB$12,"总值",I174:AB174)</f>
        <v>0</v>
      </c>
      <c r="I174" s="39"/>
      <c r="J174" s="39"/>
      <c r="K174" s="39"/>
      <c r="L174" s="39"/>
      <c r="M174" s="39"/>
      <c r="N174" s="39"/>
      <c r="O174" s="39"/>
      <c r="P174" s="39"/>
      <c r="Q174" s="39"/>
      <c r="R174" s="39"/>
      <c r="S174" s="39"/>
      <c r="T174" s="39"/>
      <c r="U174" s="39"/>
      <c r="V174" s="39"/>
      <c r="W174" s="39"/>
      <c r="X174" s="39"/>
      <c r="Y174" s="39"/>
      <c r="Z174" s="39"/>
      <c r="AA174" s="39"/>
      <c r="AB174" s="39"/>
      <c r="AC174" s="35">
        <f t="shared" ref="AC174:AC205" si="96">SUMIF(AD$12:AS$12,"总值",AD174:AS174)</f>
        <v>0</v>
      </c>
      <c r="AD174" s="40"/>
      <c r="AE174" s="40"/>
      <c r="AF174" s="40"/>
      <c r="AG174" s="40"/>
      <c r="AH174" s="40"/>
      <c r="AI174" s="40"/>
      <c r="AJ174" s="40"/>
      <c r="AK174" s="40"/>
      <c r="AL174" s="40"/>
      <c r="AM174" s="40"/>
      <c r="AN174" s="40"/>
      <c r="AO174" s="40"/>
      <c r="AP174" s="40"/>
      <c r="AQ174" s="40"/>
      <c r="AR174" s="40"/>
      <c r="AS174" s="40"/>
      <c r="AT174" s="41"/>
      <c r="AU174" s="1806"/>
      <c r="AV174" s="1517">
        <f t="shared" si="91"/>
        <v>0</v>
      </c>
      <c r="AW174" s="1517">
        <f t="shared" si="92"/>
        <v>0</v>
      </c>
      <c r="AX174" s="1517">
        <f t="shared" si="93"/>
        <v>0</v>
      </c>
      <c r="AY174" s="42">
        <f t="shared" ref="AY174:AY205" si="97">ROUND($AY$6*AZ174/$AZ$5,2)</f>
        <v>0</v>
      </c>
      <c r="AZ174" s="35">
        <f t="shared" ref="AZ174:AZ205" si="98">BA174+BL174</f>
        <v>0</v>
      </c>
      <c r="BA174" s="35">
        <f t="shared" ref="BA174:BA205" si="99">SUM(BB174:BK174)</f>
        <v>0</v>
      </c>
      <c r="BB174" s="35">
        <f t="shared" ref="BB174:BB207" si="100">IF($D174="是",I174-J174,0)</f>
        <v>0</v>
      </c>
      <c r="BC174" s="35">
        <f t="shared" ref="BC174:BC207" si="101">IF($D174="是",K174-L174,0)</f>
        <v>0</v>
      </c>
      <c r="BD174" s="35">
        <f t="shared" ref="BD174:BD207" si="102">IF($D174="是",M174-N174,0)</f>
        <v>0</v>
      </c>
      <c r="BE174" s="35">
        <f t="shared" ref="BE174:BE207" si="103">IF($D174="是",O174-P174,0)</f>
        <v>0</v>
      </c>
      <c r="BF174" s="35">
        <f t="shared" ref="BF174:BF207" si="104">IF($D174="是",Q174-R174,0)</f>
        <v>0</v>
      </c>
      <c r="BG174" s="35">
        <f t="shared" ref="BG174:BG207" si="105">IF($D174="是",S174-T174,0)</f>
        <v>0</v>
      </c>
      <c r="BH174" s="35">
        <f t="shared" ref="BH174:BH207" si="106">IF($D174="是",U174-V174,0)</f>
        <v>0</v>
      </c>
      <c r="BI174" s="35">
        <f t="shared" ref="BI174:BI207" si="107">IF($D174="是",W174-X174,0)</f>
        <v>0</v>
      </c>
      <c r="BJ174" s="35">
        <f t="shared" ref="BJ174:BJ207" si="108">IF($D174="是",Y174-Z174,0)</f>
        <v>0</v>
      </c>
      <c r="BK174" s="35">
        <f t="shared" ref="BK174:BK207" si="109">IF($D174="是",AA174-AB174,0)</f>
        <v>0</v>
      </c>
      <c r="BL174" s="35">
        <f t="shared" ref="BL174:BL205" si="110">SUM(BM174:BT174)</f>
        <v>0</v>
      </c>
      <c r="BM174" s="35">
        <f t="shared" ref="BM174:BM207" si="111">IF($D174="是",AD174-AE174,0)</f>
        <v>0</v>
      </c>
      <c r="BN174" s="35">
        <f t="shared" ref="BN174:BN207" si="112">IF($D174="是",AF174-AG174,0)</f>
        <v>0</v>
      </c>
      <c r="BO174" s="35">
        <f t="shared" ref="BO174:BO207" si="113">IF($D174="是",AH174-AI174,0)</f>
        <v>0</v>
      </c>
      <c r="BP174" s="35">
        <f t="shared" ref="BP174:BP207" si="114">IF($D174="是",AJ174-AK174,0)</f>
        <v>0</v>
      </c>
      <c r="BQ174" s="35">
        <f t="shared" ref="BQ174:BQ207" si="115">IF($D174="是",AL174-AM174,0)</f>
        <v>0</v>
      </c>
      <c r="BR174" s="35">
        <f t="shared" ref="BR174:BR207" si="116">IF($D174="是",AN174-AO174,0)</f>
        <v>0</v>
      </c>
      <c r="BS174" s="35">
        <f t="shared" ref="BS174:BS207" si="117">IF($D174="是",AP174-AQ174,0)</f>
        <v>0</v>
      </c>
      <c r="BT174" s="43">
        <f t="shared" ref="BT174:BT207" si="118">IF($D174="是",AR174-AS174,0)</f>
        <v>0</v>
      </c>
    </row>
    <row r="175" spans="1:72">
      <c r="A175" s="9"/>
      <c r="B175" s="34"/>
      <c r="C175" s="34"/>
      <c r="D175" s="1805"/>
      <c r="E175" s="35">
        <f t="shared" si="90"/>
        <v>0</v>
      </c>
      <c r="F175" s="36"/>
      <c r="G175" s="37">
        <f t="shared" si="94"/>
        <v>0</v>
      </c>
      <c r="H175" s="38">
        <f t="shared" si="95"/>
        <v>0</v>
      </c>
      <c r="I175" s="39"/>
      <c r="J175" s="39"/>
      <c r="K175" s="39"/>
      <c r="L175" s="39"/>
      <c r="M175" s="39"/>
      <c r="N175" s="39"/>
      <c r="O175" s="39"/>
      <c r="P175" s="39"/>
      <c r="Q175" s="39"/>
      <c r="R175" s="39"/>
      <c r="S175" s="39"/>
      <c r="T175" s="39"/>
      <c r="U175" s="39"/>
      <c r="V175" s="39"/>
      <c r="W175" s="39"/>
      <c r="X175" s="39"/>
      <c r="Y175" s="39"/>
      <c r="Z175" s="39"/>
      <c r="AA175" s="39"/>
      <c r="AB175" s="39"/>
      <c r="AC175" s="35">
        <f t="shared" si="96"/>
        <v>0</v>
      </c>
      <c r="AD175" s="40"/>
      <c r="AE175" s="40"/>
      <c r="AF175" s="40"/>
      <c r="AG175" s="40"/>
      <c r="AH175" s="40"/>
      <c r="AI175" s="40"/>
      <c r="AJ175" s="40"/>
      <c r="AK175" s="40"/>
      <c r="AL175" s="40"/>
      <c r="AM175" s="40"/>
      <c r="AN175" s="40"/>
      <c r="AO175" s="40"/>
      <c r="AP175" s="40"/>
      <c r="AQ175" s="40"/>
      <c r="AR175" s="40"/>
      <c r="AS175" s="40"/>
      <c r="AT175" s="41"/>
      <c r="AU175" s="1806"/>
      <c r="AV175" s="1517">
        <f t="shared" si="91"/>
        <v>0</v>
      </c>
      <c r="AW175" s="1517">
        <f t="shared" si="92"/>
        <v>0</v>
      </c>
      <c r="AX175" s="1517">
        <f t="shared" si="93"/>
        <v>0</v>
      </c>
      <c r="AY175" s="42">
        <f t="shared" si="97"/>
        <v>0</v>
      </c>
      <c r="AZ175" s="35">
        <f t="shared" si="98"/>
        <v>0</v>
      </c>
      <c r="BA175" s="35">
        <f t="shared" si="99"/>
        <v>0</v>
      </c>
      <c r="BB175" s="35">
        <f t="shared" si="100"/>
        <v>0</v>
      </c>
      <c r="BC175" s="35">
        <f t="shared" si="101"/>
        <v>0</v>
      </c>
      <c r="BD175" s="35">
        <f t="shared" si="102"/>
        <v>0</v>
      </c>
      <c r="BE175" s="35">
        <f t="shared" si="103"/>
        <v>0</v>
      </c>
      <c r="BF175" s="35">
        <f t="shared" si="104"/>
        <v>0</v>
      </c>
      <c r="BG175" s="35">
        <f t="shared" si="105"/>
        <v>0</v>
      </c>
      <c r="BH175" s="35">
        <f t="shared" si="106"/>
        <v>0</v>
      </c>
      <c r="BI175" s="35">
        <f t="shared" si="107"/>
        <v>0</v>
      </c>
      <c r="BJ175" s="35">
        <f t="shared" si="108"/>
        <v>0</v>
      </c>
      <c r="BK175" s="35">
        <f t="shared" si="109"/>
        <v>0</v>
      </c>
      <c r="BL175" s="35">
        <f t="shared" si="110"/>
        <v>0</v>
      </c>
      <c r="BM175" s="35">
        <f t="shared" si="111"/>
        <v>0</v>
      </c>
      <c r="BN175" s="35">
        <f t="shared" si="112"/>
        <v>0</v>
      </c>
      <c r="BO175" s="35">
        <f t="shared" si="113"/>
        <v>0</v>
      </c>
      <c r="BP175" s="35">
        <f t="shared" si="114"/>
        <v>0</v>
      </c>
      <c r="BQ175" s="35">
        <f t="shared" si="115"/>
        <v>0</v>
      </c>
      <c r="BR175" s="35">
        <f t="shared" si="116"/>
        <v>0</v>
      </c>
      <c r="BS175" s="35">
        <f t="shared" si="117"/>
        <v>0</v>
      </c>
      <c r="BT175" s="43">
        <f t="shared" si="118"/>
        <v>0</v>
      </c>
    </row>
    <row r="176" spans="1:72">
      <c r="A176" s="9"/>
      <c r="B176" s="34"/>
      <c r="C176" s="34"/>
      <c r="D176" s="1805"/>
      <c r="E176" s="35">
        <f t="shared" si="90"/>
        <v>0</v>
      </c>
      <c r="F176" s="36"/>
      <c r="G176" s="37">
        <f t="shared" si="94"/>
        <v>0</v>
      </c>
      <c r="H176" s="38">
        <f t="shared" si="95"/>
        <v>0</v>
      </c>
      <c r="I176" s="39"/>
      <c r="J176" s="39"/>
      <c r="K176" s="39"/>
      <c r="L176" s="39"/>
      <c r="M176" s="39"/>
      <c r="N176" s="39"/>
      <c r="O176" s="39"/>
      <c r="P176" s="39"/>
      <c r="Q176" s="39"/>
      <c r="R176" s="39"/>
      <c r="S176" s="39"/>
      <c r="T176" s="39"/>
      <c r="U176" s="39"/>
      <c r="V176" s="39"/>
      <c r="W176" s="39"/>
      <c r="X176" s="39"/>
      <c r="Y176" s="39"/>
      <c r="Z176" s="39"/>
      <c r="AA176" s="39"/>
      <c r="AB176" s="39"/>
      <c r="AC176" s="35">
        <f t="shared" si="96"/>
        <v>0</v>
      </c>
      <c r="AD176" s="40"/>
      <c r="AE176" s="40"/>
      <c r="AF176" s="40"/>
      <c r="AG176" s="40"/>
      <c r="AH176" s="40"/>
      <c r="AI176" s="40"/>
      <c r="AJ176" s="40"/>
      <c r="AK176" s="40"/>
      <c r="AL176" s="40"/>
      <c r="AM176" s="40"/>
      <c r="AN176" s="40"/>
      <c r="AO176" s="40"/>
      <c r="AP176" s="40"/>
      <c r="AQ176" s="40"/>
      <c r="AR176" s="40"/>
      <c r="AS176" s="40"/>
      <c r="AT176" s="41"/>
      <c r="AU176" s="1806"/>
      <c r="AV176" s="1517">
        <f t="shared" si="91"/>
        <v>0</v>
      </c>
      <c r="AW176" s="1517">
        <f t="shared" si="92"/>
        <v>0</v>
      </c>
      <c r="AX176" s="1517">
        <f t="shared" si="93"/>
        <v>0</v>
      </c>
      <c r="AY176" s="42">
        <f t="shared" si="97"/>
        <v>0</v>
      </c>
      <c r="AZ176" s="35">
        <f t="shared" si="98"/>
        <v>0</v>
      </c>
      <c r="BA176" s="35">
        <f t="shared" si="99"/>
        <v>0</v>
      </c>
      <c r="BB176" s="35">
        <f t="shared" si="100"/>
        <v>0</v>
      </c>
      <c r="BC176" s="35">
        <f t="shared" si="101"/>
        <v>0</v>
      </c>
      <c r="BD176" s="35">
        <f t="shared" si="102"/>
        <v>0</v>
      </c>
      <c r="BE176" s="35">
        <f t="shared" si="103"/>
        <v>0</v>
      </c>
      <c r="BF176" s="35">
        <f t="shared" si="104"/>
        <v>0</v>
      </c>
      <c r="BG176" s="35">
        <f t="shared" si="105"/>
        <v>0</v>
      </c>
      <c r="BH176" s="35">
        <f t="shared" si="106"/>
        <v>0</v>
      </c>
      <c r="BI176" s="35">
        <f t="shared" si="107"/>
        <v>0</v>
      </c>
      <c r="BJ176" s="35">
        <f t="shared" si="108"/>
        <v>0</v>
      </c>
      <c r="BK176" s="35">
        <f t="shared" si="109"/>
        <v>0</v>
      </c>
      <c r="BL176" s="35">
        <f t="shared" si="110"/>
        <v>0</v>
      </c>
      <c r="BM176" s="35">
        <f t="shared" si="111"/>
        <v>0</v>
      </c>
      <c r="BN176" s="35">
        <f t="shared" si="112"/>
        <v>0</v>
      </c>
      <c r="BO176" s="35">
        <f t="shared" si="113"/>
        <v>0</v>
      </c>
      <c r="BP176" s="35">
        <f t="shared" si="114"/>
        <v>0</v>
      </c>
      <c r="BQ176" s="35">
        <f t="shared" si="115"/>
        <v>0</v>
      </c>
      <c r="BR176" s="35">
        <f t="shared" si="116"/>
        <v>0</v>
      </c>
      <c r="BS176" s="35">
        <f t="shared" si="117"/>
        <v>0</v>
      </c>
      <c r="BT176" s="43">
        <f t="shared" si="118"/>
        <v>0</v>
      </c>
    </row>
    <row r="177" spans="1:72">
      <c r="A177" s="9"/>
      <c r="B177" s="34"/>
      <c r="C177" s="34"/>
      <c r="D177" s="1805"/>
      <c r="E177" s="35">
        <f t="shared" ref="E177:E207" si="119">IF($C$3="是",ROUND($A$3*G177/$B$3,2),ROUND($A$3*(G177-AT177)/$B$3,2))</f>
        <v>0</v>
      </c>
      <c r="F177" s="36"/>
      <c r="G177" s="37">
        <f t="shared" si="94"/>
        <v>0</v>
      </c>
      <c r="H177" s="38">
        <f t="shared" si="95"/>
        <v>0</v>
      </c>
      <c r="I177" s="39"/>
      <c r="J177" s="39"/>
      <c r="K177" s="39"/>
      <c r="L177" s="39"/>
      <c r="M177" s="39"/>
      <c r="N177" s="39"/>
      <c r="O177" s="39"/>
      <c r="P177" s="39"/>
      <c r="Q177" s="39"/>
      <c r="R177" s="39"/>
      <c r="S177" s="39"/>
      <c r="T177" s="39"/>
      <c r="U177" s="39"/>
      <c r="V177" s="39"/>
      <c r="W177" s="39"/>
      <c r="X177" s="39"/>
      <c r="Y177" s="39"/>
      <c r="Z177" s="39"/>
      <c r="AA177" s="39"/>
      <c r="AB177" s="39"/>
      <c r="AC177" s="35">
        <f t="shared" si="96"/>
        <v>0</v>
      </c>
      <c r="AD177" s="40"/>
      <c r="AE177" s="40"/>
      <c r="AF177" s="40"/>
      <c r="AG177" s="40"/>
      <c r="AH177" s="40"/>
      <c r="AI177" s="40"/>
      <c r="AJ177" s="40"/>
      <c r="AK177" s="40"/>
      <c r="AL177" s="40"/>
      <c r="AM177" s="40"/>
      <c r="AN177" s="40"/>
      <c r="AO177" s="40"/>
      <c r="AP177" s="40"/>
      <c r="AQ177" s="40"/>
      <c r="AR177" s="40"/>
      <c r="AS177" s="40"/>
      <c r="AT177" s="41"/>
      <c r="AU177" s="1806"/>
      <c r="AV177" s="1517">
        <f t="shared" ref="AV177:AV207" si="120">A177</f>
        <v>0</v>
      </c>
      <c r="AW177" s="1517">
        <f t="shared" ref="AW177:AW207" si="121">B177</f>
        <v>0</v>
      </c>
      <c r="AX177" s="1517">
        <f t="shared" ref="AX177:AX207" si="122">C177</f>
        <v>0</v>
      </c>
      <c r="AY177" s="42">
        <f t="shared" si="97"/>
        <v>0</v>
      </c>
      <c r="AZ177" s="35">
        <f t="shared" si="98"/>
        <v>0</v>
      </c>
      <c r="BA177" s="35">
        <f t="shared" si="99"/>
        <v>0</v>
      </c>
      <c r="BB177" s="35">
        <f t="shared" si="100"/>
        <v>0</v>
      </c>
      <c r="BC177" s="35">
        <f t="shared" si="101"/>
        <v>0</v>
      </c>
      <c r="BD177" s="35">
        <f t="shared" si="102"/>
        <v>0</v>
      </c>
      <c r="BE177" s="35">
        <f t="shared" si="103"/>
        <v>0</v>
      </c>
      <c r="BF177" s="35">
        <f t="shared" si="104"/>
        <v>0</v>
      </c>
      <c r="BG177" s="35">
        <f t="shared" si="105"/>
        <v>0</v>
      </c>
      <c r="BH177" s="35">
        <f t="shared" si="106"/>
        <v>0</v>
      </c>
      <c r="BI177" s="35">
        <f t="shared" si="107"/>
        <v>0</v>
      </c>
      <c r="BJ177" s="35">
        <f t="shared" si="108"/>
        <v>0</v>
      </c>
      <c r="BK177" s="35">
        <f t="shared" si="109"/>
        <v>0</v>
      </c>
      <c r="BL177" s="35">
        <f t="shared" si="110"/>
        <v>0</v>
      </c>
      <c r="BM177" s="35">
        <f t="shared" si="111"/>
        <v>0</v>
      </c>
      <c r="BN177" s="35">
        <f t="shared" si="112"/>
        <v>0</v>
      </c>
      <c r="BO177" s="35">
        <f t="shared" si="113"/>
        <v>0</v>
      </c>
      <c r="BP177" s="35">
        <f t="shared" si="114"/>
        <v>0</v>
      </c>
      <c r="BQ177" s="35">
        <f t="shared" si="115"/>
        <v>0</v>
      </c>
      <c r="BR177" s="35">
        <f t="shared" si="116"/>
        <v>0</v>
      </c>
      <c r="BS177" s="35">
        <f t="shared" si="117"/>
        <v>0</v>
      </c>
      <c r="BT177" s="43">
        <f t="shared" si="118"/>
        <v>0</v>
      </c>
    </row>
    <row r="178" spans="1:72">
      <c r="A178" s="9"/>
      <c r="B178" s="34"/>
      <c r="C178" s="34"/>
      <c r="D178" s="1805"/>
      <c r="E178" s="35">
        <f t="shared" si="119"/>
        <v>0</v>
      </c>
      <c r="F178" s="36"/>
      <c r="G178" s="37">
        <f t="shared" si="94"/>
        <v>0</v>
      </c>
      <c r="H178" s="38">
        <f t="shared" si="95"/>
        <v>0</v>
      </c>
      <c r="I178" s="39"/>
      <c r="J178" s="39"/>
      <c r="K178" s="39"/>
      <c r="L178" s="39"/>
      <c r="M178" s="39"/>
      <c r="N178" s="39"/>
      <c r="O178" s="39"/>
      <c r="P178" s="39"/>
      <c r="Q178" s="39"/>
      <c r="R178" s="39"/>
      <c r="S178" s="39"/>
      <c r="T178" s="39"/>
      <c r="U178" s="39"/>
      <c r="V178" s="39"/>
      <c r="W178" s="39"/>
      <c r="X178" s="39"/>
      <c r="Y178" s="39"/>
      <c r="Z178" s="39"/>
      <c r="AA178" s="39"/>
      <c r="AB178" s="39"/>
      <c r="AC178" s="35">
        <f t="shared" si="96"/>
        <v>0</v>
      </c>
      <c r="AD178" s="40"/>
      <c r="AE178" s="40"/>
      <c r="AF178" s="40"/>
      <c r="AG178" s="40"/>
      <c r="AH178" s="40"/>
      <c r="AI178" s="40"/>
      <c r="AJ178" s="40"/>
      <c r="AK178" s="40"/>
      <c r="AL178" s="40"/>
      <c r="AM178" s="40"/>
      <c r="AN178" s="40"/>
      <c r="AO178" s="40"/>
      <c r="AP178" s="40"/>
      <c r="AQ178" s="40"/>
      <c r="AR178" s="40"/>
      <c r="AS178" s="40"/>
      <c r="AT178" s="41"/>
      <c r="AU178" s="1806"/>
      <c r="AV178" s="1517">
        <f t="shared" si="120"/>
        <v>0</v>
      </c>
      <c r="AW178" s="1517">
        <f t="shared" si="121"/>
        <v>0</v>
      </c>
      <c r="AX178" s="1517">
        <f t="shared" si="122"/>
        <v>0</v>
      </c>
      <c r="AY178" s="42">
        <f t="shared" si="97"/>
        <v>0</v>
      </c>
      <c r="AZ178" s="35">
        <f t="shared" si="98"/>
        <v>0</v>
      </c>
      <c r="BA178" s="35">
        <f t="shared" si="99"/>
        <v>0</v>
      </c>
      <c r="BB178" s="35">
        <f t="shared" si="100"/>
        <v>0</v>
      </c>
      <c r="BC178" s="35">
        <f t="shared" si="101"/>
        <v>0</v>
      </c>
      <c r="BD178" s="35">
        <f t="shared" si="102"/>
        <v>0</v>
      </c>
      <c r="BE178" s="35">
        <f t="shared" si="103"/>
        <v>0</v>
      </c>
      <c r="BF178" s="35">
        <f t="shared" si="104"/>
        <v>0</v>
      </c>
      <c r="BG178" s="35">
        <f t="shared" si="105"/>
        <v>0</v>
      </c>
      <c r="BH178" s="35">
        <f t="shared" si="106"/>
        <v>0</v>
      </c>
      <c r="BI178" s="35">
        <f t="shared" si="107"/>
        <v>0</v>
      </c>
      <c r="BJ178" s="35">
        <f t="shared" si="108"/>
        <v>0</v>
      </c>
      <c r="BK178" s="35">
        <f t="shared" si="109"/>
        <v>0</v>
      </c>
      <c r="BL178" s="35">
        <f t="shared" si="110"/>
        <v>0</v>
      </c>
      <c r="BM178" s="35">
        <f t="shared" si="111"/>
        <v>0</v>
      </c>
      <c r="BN178" s="35">
        <f t="shared" si="112"/>
        <v>0</v>
      </c>
      <c r="BO178" s="35">
        <f t="shared" si="113"/>
        <v>0</v>
      </c>
      <c r="BP178" s="35">
        <f t="shared" si="114"/>
        <v>0</v>
      </c>
      <c r="BQ178" s="35">
        <f t="shared" si="115"/>
        <v>0</v>
      </c>
      <c r="BR178" s="35">
        <f t="shared" si="116"/>
        <v>0</v>
      </c>
      <c r="BS178" s="35">
        <f t="shared" si="117"/>
        <v>0</v>
      </c>
      <c r="BT178" s="43">
        <f t="shared" si="118"/>
        <v>0</v>
      </c>
    </row>
    <row r="179" spans="1:72">
      <c r="A179" s="9"/>
      <c r="B179" s="34"/>
      <c r="C179" s="34"/>
      <c r="D179" s="1805"/>
      <c r="E179" s="35">
        <f t="shared" si="119"/>
        <v>0</v>
      </c>
      <c r="F179" s="36"/>
      <c r="G179" s="37">
        <f t="shared" si="94"/>
        <v>0</v>
      </c>
      <c r="H179" s="38">
        <f t="shared" si="95"/>
        <v>0</v>
      </c>
      <c r="I179" s="39"/>
      <c r="J179" s="39"/>
      <c r="K179" s="39"/>
      <c r="L179" s="39"/>
      <c r="M179" s="39"/>
      <c r="N179" s="39"/>
      <c r="O179" s="39"/>
      <c r="P179" s="39"/>
      <c r="Q179" s="39"/>
      <c r="R179" s="39"/>
      <c r="S179" s="39"/>
      <c r="T179" s="39"/>
      <c r="U179" s="39"/>
      <c r="V179" s="39"/>
      <c r="W179" s="39"/>
      <c r="X179" s="39"/>
      <c r="Y179" s="39"/>
      <c r="Z179" s="39"/>
      <c r="AA179" s="39"/>
      <c r="AB179" s="39"/>
      <c r="AC179" s="35">
        <f t="shared" si="96"/>
        <v>0</v>
      </c>
      <c r="AD179" s="40"/>
      <c r="AE179" s="40"/>
      <c r="AF179" s="40"/>
      <c r="AG179" s="40"/>
      <c r="AH179" s="40"/>
      <c r="AI179" s="40"/>
      <c r="AJ179" s="40"/>
      <c r="AK179" s="40"/>
      <c r="AL179" s="40"/>
      <c r="AM179" s="40"/>
      <c r="AN179" s="40"/>
      <c r="AO179" s="40"/>
      <c r="AP179" s="40"/>
      <c r="AQ179" s="40"/>
      <c r="AR179" s="40"/>
      <c r="AS179" s="40"/>
      <c r="AT179" s="41"/>
      <c r="AU179" s="1806"/>
      <c r="AV179" s="1517">
        <f t="shared" si="120"/>
        <v>0</v>
      </c>
      <c r="AW179" s="1517">
        <f t="shared" si="121"/>
        <v>0</v>
      </c>
      <c r="AX179" s="1517">
        <f t="shared" si="122"/>
        <v>0</v>
      </c>
      <c r="AY179" s="42">
        <f t="shared" si="97"/>
        <v>0</v>
      </c>
      <c r="AZ179" s="35">
        <f t="shared" si="98"/>
        <v>0</v>
      </c>
      <c r="BA179" s="35">
        <f t="shared" si="99"/>
        <v>0</v>
      </c>
      <c r="BB179" s="35">
        <f t="shared" si="100"/>
        <v>0</v>
      </c>
      <c r="BC179" s="35">
        <f t="shared" si="101"/>
        <v>0</v>
      </c>
      <c r="BD179" s="35">
        <f t="shared" si="102"/>
        <v>0</v>
      </c>
      <c r="BE179" s="35">
        <f t="shared" si="103"/>
        <v>0</v>
      </c>
      <c r="BF179" s="35">
        <f t="shared" si="104"/>
        <v>0</v>
      </c>
      <c r="BG179" s="35">
        <f t="shared" si="105"/>
        <v>0</v>
      </c>
      <c r="BH179" s="35">
        <f t="shared" si="106"/>
        <v>0</v>
      </c>
      <c r="BI179" s="35">
        <f t="shared" si="107"/>
        <v>0</v>
      </c>
      <c r="BJ179" s="35">
        <f t="shared" si="108"/>
        <v>0</v>
      </c>
      <c r="BK179" s="35">
        <f t="shared" si="109"/>
        <v>0</v>
      </c>
      <c r="BL179" s="35">
        <f t="shared" si="110"/>
        <v>0</v>
      </c>
      <c r="BM179" s="35">
        <f t="shared" si="111"/>
        <v>0</v>
      </c>
      <c r="BN179" s="35">
        <f t="shared" si="112"/>
        <v>0</v>
      </c>
      <c r="BO179" s="35">
        <f t="shared" si="113"/>
        <v>0</v>
      </c>
      <c r="BP179" s="35">
        <f t="shared" si="114"/>
        <v>0</v>
      </c>
      <c r="BQ179" s="35">
        <f t="shared" si="115"/>
        <v>0</v>
      </c>
      <c r="BR179" s="35">
        <f t="shared" si="116"/>
        <v>0</v>
      </c>
      <c r="BS179" s="35">
        <f t="shared" si="117"/>
        <v>0</v>
      </c>
      <c r="BT179" s="43">
        <f t="shared" si="118"/>
        <v>0</v>
      </c>
    </row>
    <row r="180" spans="1:72">
      <c r="A180" s="9"/>
      <c r="B180" s="34"/>
      <c r="C180" s="34"/>
      <c r="D180" s="1805"/>
      <c r="E180" s="35">
        <f t="shared" si="119"/>
        <v>0</v>
      </c>
      <c r="F180" s="36"/>
      <c r="G180" s="37">
        <f t="shared" si="94"/>
        <v>0</v>
      </c>
      <c r="H180" s="38">
        <f t="shared" si="95"/>
        <v>0</v>
      </c>
      <c r="I180" s="39"/>
      <c r="J180" s="39"/>
      <c r="K180" s="39"/>
      <c r="L180" s="39"/>
      <c r="M180" s="39"/>
      <c r="N180" s="39"/>
      <c r="O180" s="39"/>
      <c r="P180" s="39"/>
      <c r="Q180" s="39"/>
      <c r="R180" s="39"/>
      <c r="S180" s="39"/>
      <c r="T180" s="39"/>
      <c r="U180" s="39"/>
      <c r="V180" s="39"/>
      <c r="W180" s="39"/>
      <c r="X180" s="39"/>
      <c r="Y180" s="39"/>
      <c r="Z180" s="39"/>
      <c r="AA180" s="39"/>
      <c r="AB180" s="39"/>
      <c r="AC180" s="35">
        <f t="shared" si="96"/>
        <v>0</v>
      </c>
      <c r="AD180" s="40"/>
      <c r="AE180" s="40"/>
      <c r="AF180" s="40"/>
      <c r="AG180" s="40"/>
      <c r="AH180" s="40"/>
      <c r="AI180" s="40"/>
      <c r="AJ180" s="40"/>
      <c r="AK180" s="40"/>
      <c r="AL180" s="40"/>
      <c r="AM180" s="40"/>
      <c r="AN180" s="40"/>
      <c r="AO180" s="40"/>
      <c r="AP180" s="40"/>
      <c r="AQ180" s="40"/>
      <c r="AR180" s="40"/>
      <c r="AS180" s="40"/>
      <c r="AT180" s="41"/>
      <c r="AU180" s="1806"/>
      <c r="AV180" s="1517">
        <f t="shared" si="120"/>
        <v>0</v>
      </c>
      <c r="AW180" s="1517">
        <f t="shared" si="121"/>
        <v>0</v>
      </c>
      <c r="AX180" s="1517">
        <f t="shared" si="122"/>
        <v>0</v>
      </c>
      <c r="AY180" s="42">
        <f t="shared" si="97"/>
        <v>0</v>
      </c>
      <c r="AZ180" s="35">
        <f t="shared" si="98"/>
        <v>0</v>
      </c>
      <c r="BA180" s="35">
        <f t="shared" si="99"/>
        <v>0</v>
      </c>
      <c r="BB180" s="35">
        <f t="shared" si="100"/>
        <v>0</v>
      </c>
      <c r="BC180" s="35">
        <f t="shared" si="101"/>
        <v>0</v>
      </c>
      <c r="BD180" s="35">
        <f t="shared" si="102"/>
        <v>0</v>
      </c>
      <c r="BE180" s="35">
        <f t="shared" si="103"/>
        <v>0</v>
      </c>
      <c r="BF180" s="35">
        <f t="shared" si="104"/>
        <v>0</v>
      </c>
      <c r="BG180" s="35">
        <f t="shared" si="105"/>
        <v>0</v>
      </c>
      <c r="BH180" s="35">
        <f t="shared" si="106"/>
        <v>0</v>
      </c>
      <c r="BI180" s="35">
        <f t="shared" si="107"/>
        <v>0</v>
      </c>
      <c r="BJ180" s="35">
        <f t="shared" si="108"/>
        <v>0</v>
      </c>
      <c r="BK180" s="35">
        <f t="shared" si="109"/>
        <v>0</v>
      </c>
      <c r="BL180" s="35">
        <f t="shared" si="110"/>
        <v>0</v>
      </c>
      <c r="BM180" s="35">
        <f t="shared" si="111"/>
        <v>0</v>
      </c>
      <c r="BN180" s="35">
        <f t="shared" si="112"/>
        <v>0</v>
      </c>
      <c r="BO180" s="35">
        <f t="shared" si="113"/>
        <v>0</v>
      </c>
      <c r="BP180" s="35">
        <f t="shared" si="114"/>
        <v>0</v>
      </c>
      <c r="BQ180" s="35">
        <f t="shared" si="115"/>
        <v>0</v>
      </c>
      <c r="BR180" s="35">
        <f t="shared" si="116"/>
        <v>0</v>
      </c>
      <c r="BS180" s="35">
        <f t="shared" si="117"/>
        <v>0</v>
      </c>
      <c r="BT180" s="43">
        <f t="shared" si="118"/>
        <v>0</v>
      </c>
    </row>
    <row r="181" spans="1:72">
      <c r="A181" s="9"/>
      <c r="B181" s="34"/>
      <c r="C181" s="34"/>
      <c r="D181" s="1805"/>
      <c r="E181" s="35">
        <f t="shared" si="119"/>
        <v>0</v>
      </c>
      <c r="F181" s="36"/>
      <c r="G181" s="37">
        <f t="shared" si="94"/>
        <v>0</v>
      </c>
      <c r="H181" s="38">
        <f t="shared" si="95"/>
        <v>0</v>
      </c>
      <c r="I181" s="39"/>
      <c r="J181" s="39"/>
      <c r="K181" s="39"/>
      <c r="L181" s="39"/>
      <c r="M181" s="39"/>
      <c r="N181" s="39"/>
      <c r="O181" s="39"/>
      <c r="P181" s="39"/>
      <c r="Q181" s="39"/>
      <c r="R181" s="39"/>
      <c r="S181" s="39"/>
      <c r="T181" s="39"/>
      <c r="U181" s="39"/>
      <c r="V181" s="39"/>
      <c r="W181" s="39"/>
      <c r="X181" s="39"/>
      <c r="Y181" s="39"/>
      <c r="Z181" s="39"/>
      <c r="AA181" s="39"/>
      <c r="AB181" s="39"/>
      <c r="AC181" s="35">
        <f t="shared" si="96"/>
        <v>0</v>
      </c>
      <c r="AD181" s="40"/>
      <c r="AE181" s="40"/>
      <c r="AF181" s="40"/>
      <c r="AG181" s="40"/>
      <c r="AH181" s="40"/>
      <c r="AI181" s="40"/>
      <c r="AJ181" s="40"/>
      <c r="AK181" s="40"/>
      <c r="AL181" s="40"/>
      <c r="AM181" s="40"/>
      <c r="AN181" s="40"/>
      <c r="AO181" s="40"/>
      <c r="AP181" s="40"/>
      <c r="AQ181" s="40"/>
      <c r="AR181" s="40"/>
      <c r="AS181" s="40"/>
      <c r="AT181" s="41"/>
      <c r="AU181" s="1806"/>
      <c r="AV181" s="1517">
        <f t="shared" si="120"/>
        <v>0</v>
      </c>
      <c r="AW181" s="1517">
        <f t="shared" si="121"/>
        <v>0</v>
      </c>
      <c r="AX181" s="1517">
        <f t="shared" si="122"/>
        <v>0</v>
      </c>
      <c r="AY181" s="42">
        <f t="shared" si="97"/>
        <v>0</v>
      </c>
      <c r="AZ181" s="35">
        <f t="shared" si="98"/>
        <v>0</v>
      </c>
      <c r="BA181" s="35">
        <f t="shared" si="99"/>
        <v>0</v>
      </c>
      <c r="BB181" s="35">
        <f t="shared" si="100"/>
        <v>0</v>
      </c>
      <c r="BC181" s="35">
        <f t="shared" si="101"/>
        <v>0</v>
      </c>
      <c r="BD181" s="35">
        <f t="shared" si="102"/>
        <v>0</v>
      </c>
      <c r="BE181" s="35">
        <f t="shared" si="103"/>
        <v>0</v>
      </c>
      <c r="BF181" s="35">
        <f t="shared" si="104"/>
        <v>0</v>
      </c>
      <c r="BG181" s="35">
        <f t="shared" si="105"/>
        <v>0</v>
      </c>
      <c r="BH181" s="35">
        <f t="shared" si="106"/>
        <v>0</v>
      </c>
      <c r="BI181" s="35">
        <f t="shared" si="107"/>
        <v>0</v>
      </c>
      <c r="BJ181" s="35">
        <f t="shared" si="108"/>
        <v>0</v>
      </c>
      <c r="BK181" s="35">
        <f t="shared" si="109"/>
        <v>0</v>
      </c>
      <c r="BL181" s="35">
        <f t="shared" si="110"/>
        <v>0</v>
      </c>
      <c r="BM181" s="35">
        <f t="shared" si="111"/>
        <v>0</v>
      </c>
      <c r="BN181" s="35">
        <f t="shared" si="112"/>
        <v>0</v>
      </c>
      <c r="BO181" s="35">
        <f t="shared" si="113"/>
        <v>0</v>
      </c>
      <c r="BP181" s="35">
        <f t="shared" si="114"/>
        <v>0</v>
      </c>
      <c r="BQ181" s="35">
        <f t="shared" si="115"/>
        <v>0</v>
      </c>
      <c r="BR181" s="35">
        <f t="shared" si="116"/>
        <v>0</v>
      </c>
      <c r="BS181" s="35">
        <f t="shared" si="117"/>
        <v>0</v>
      </c>
      <c r="BT181" s="43">
        <f t="shared" si="118"/>
        <v>0</v>
      </c>
    </row>
    <row r="182" spans="1:72">
      <c r="A182" s="9"/>
      <c r="B182" s="34"/>
      <c r="C182" s="34"/>
      <c r="D182" s="1805"/>
      <c r="E182" s="35">
        <f t="shared" si="119"/>
        <v>0</v>
      </c>
      <c r="F182" s="36"/>
      <c r="G182" s="37">
        <f t="shared" si="94"/>
        <v>0</v>
      </c>
      <c r="H182" s="38">
        <f t="shared" si="95"/>
        <v>0</v>
      </c>
      <c r="I182" s="39"/>
      <c r="J182" s="39"/>
      <c r="K182" s="39"/>
      <c r="L182" s="39"/>
      <c r="M182" s="39"/>
      <c r="N182" s="39"/>
      <c r="O182" s="39"/>
      <c r="P182" s="39"/>
      <c r="Q182" s="39"/>
      <c r="R182" s="39"/>
      <c r="S182" s="39"/>
      <c r="T182" s="39"/>
      <c r="U182" s="39"/>
      <c r="V182" s="39"/>
      <c r="W182" s="39"/>
      <c r="X182" s="39"/>
      <c r="Y182" s="39"/>
      <c r="Z182" s="39"/>
      <c r="AA182" s="39"/>
      <c r="AB182" s="39"/>
      <c r="AC182" s="35">
        <f t="shared" si="96"/>
        <v>0</v>
      </c>
      <c r="AD182" s="40"/>
      <c r="AE182" s="40"/>
      <c r="AF182" s="40"/>
      <c r="AG182" s="40"/>
      <c r="AH182" s="40"/>
      <c r="AI182" s="40"/>
      <c r="AJ182" s="40"/>
      <c r="AK182" s="40"/>
      <c r="AL182" s="40"/>
      <c r="AM182" s="40"/>
      <c r="AN182" s="40"/>
      <c r="AO182" s="40"/>
      <c r="AP182" s="40"/>
      <c r="AQ182" s="40"/>
      <c r="AR182" s="40"/>
      <c r="AS182" s="40"/>
      <c r="AT182" s="41"/>
      <c r="AU182" s="1806"/>
      <c r="AV182" s="1517">
        <f t="shared" si="120"/>
        <v>0</v>
      </c>
      <c r="AW182" s="1517">
        <f t="shared" si="121"/>
        <v>0</v>
      </c>
      <c r="AX182" s="1517">
        <f t="shared" si="122"/>
        <v>0</v>
      </c>
      <c r="AY182" s="42">
        <f t="shared" si="97"/>
        <v>0</v>
      </c>
      <c r="AZ182" s="35">
        <f t="shared" si="98"/>
        <v>0</v>
      </c>
      <c r="BA182" s="35">
        <f t="shared" si="99"/>
        <v>0</v>
      </c>
      <c r="BB182" s="35">
        <f t="shared" si="100"/>
        <v>0</v>
      </c>
      <c r="BC182" s="35">
        <f t="shared" si="101"/>
        <v>0</v>
      </c>
      <c r="BD182" s="35">
        <f t="shared" si="102"/>
        <v>0</v>
      </c>
      <c r="BE182" s="35">
        <f t="shared" si="103"/>
        <v>0</v>
      </c>
      <c r="BF182" s="35">
        <f t="shared" si="104"/>
        <v>0</v>
      </c>
      <c r="BG182" s="35">
        <f t="shared" si="105"/>
        <v>0</v>
      </c>
      <c r="BH182" s="35">
        <f t="shared" si="106"/>
        <v>0</v>
      </c>
      <c r="BI182" s="35">
        <f t="shared" si="107"/>
        <v>0</v>
      </c>
      <c r="BJ182" s="35">
        <f t="shared" si="108"/>
        <v>0</v>
      </c>
      <c r="BK182" s="35">
        <f t="shared" si="109"/>
        <v>0</v>
      </c>
      <c r="BL182" s="35">
        <f t="shared" si="110"/>
        <v>0</v>
      </c>
      <c r="BM182" s="35">
        <f t="shared" si="111"/>
        <v>0</v>
      </c>
      <c r="BN182" s="35">
        <f t="shared" si="112"/>
        <v>0</v>
      </c>
      <c r="BO182" s="35">
        <f t="shared" si="113"/>
        <v>0</v>
      </c>
      <c r="BP182" s="35">
        <f t="shared" si="114"/>
        <v>0</v>
      </c>
      <c r="BQ182" s="35">
        <f t="shared" si="115"/>
        <v>0</v>
      </c>
      <c r="BR182" s="35">
        <f t="shared" si="116"/>
        <v>0</v>
      </c>
      <c r="BS182" s="35">
        <f t="shared" si="117"/>
        <v>0</v>
      </c>
      <c r="BT182" s="43">
        <f t="shared" si="118"/>
        <v>0</v>
      </c>
    </row>
    <row r="183" spans="1:72">
      <c r="A183" s="9"/>
      <c r="B183" s="34"/>
      <c r="C183" s="34"/>
      <c r="D183" s="1805"/>
      <c r="E183" s="35">
        <f t="shared" si="119"/>
        <v>0</v>
      </c>
      <c r="F183" s="36"/>
      <c r="G183" s="37">
        <f t="shared" si="94"/>
        <v>0</v>
      </c>
      <c r="H183" s="38">
        <f t="shared" si="95"/>
        <v>0</v>
      </c>
      <c r="I183" s="39"/>
      <c r="J183" s="39"/>
      <c r="K183" s="39"/>
      <c r="L183" s="39"/>
      <c r="M183" s="39"/>
      <c r="N183" s="39"/>
      <c r="O183" s="39"/>
      <c r="P183" s="39"/>
      <c r="Q183" s="39"/>
      <c r="R183" s="39"/>
      <c r="S183" s="39"/>
      <c r="T183" s="39"/>
      <c r="U183" s="39"/>
      <c r="V183" s="39"/>
      <c r="W183" s="39"/>
      <c r="X183" s="39"/>
      <c r="Y183" s="39"/>
      <c r="Z183" s="39"/>
      <c r="AA183" s="39"/>
      <c r="AB183" s="39"/>
      <c r="AC183" s="35">
        <f t="shared" si="96"/>
        <v>0</v>
      </c>
      <c r="AD183" s="40"/>
      <c r="AE183" s="40"/>
      <c r="AF183" s="40"/>
      <c r="AG183" s="40"/>
      <c r="AH183" s="40"/>
      <c r="AI183" s="40"/>
      <c r="AJ183" s="40"/>
      <c r="AK183" s="40"/>
      <c r="AL183" s="40"/>
      <c r="AM183" s="40"/>
      <c r="AN183" s="40"/>
      <c r="AO183" s="40"/>
      <c r="AP183" s="40"/>
      <c r="AQ183" s="40"/>
      <c r="AR183" s="40"/>
      <c r="AS183" s="40"/>
      <c r="AT183" s="41"/>
      <c r="AU183" s="1806"/>
      <c r="AV183" s="1517">
        <f t="shared" si="120"/>
        <v>0</v>
      </c>
      <c r="AW183" s="1517">
        <f t="shared" si="121"/>
        <v>0</v>
      </c>
      <c r="AX183" s="1517">
        <f t="shared" si="122"/>
        <v>0</v>
      </c>
      <c r="AY183" s="42">
        <f t="shared" si="97"/>
        <v>0</v>
      </c>
      <c r="AZ183" s="35">
        <f t="shared" si="98"/>
        <v>0</v>
      </c>
      <c r="BA183" s="35">
        <f t="shared" si="99"/>
        <v>0</v>
      </c>
      <c r="BB183" s="35">
        <f t="shared" si="100"/>
        <v>0</v>
      </c>
      <c r="BC183" s="35">
        <f t="shared" si="101"/>
        <v>0</v>
      </c>
      <c r="BD183" s="35">
        <f t="shared" si="102"/>
        <v>0</v>
      </c>
      <c r="BE183" s="35">
        <f t="shared" si="103"/>
        <v>0</v>
      </c>
      <c r="BF183" s="35">
        <f t="shared" si="104"/>
        <v>0</v>
      </c>
      <c r="BG183" s="35">
        <f t="shared" si="105"/>
        <v>0</v>
      </c>
      <c r="BH183" s="35">
        <f t="shared" si="106"/>
        <v>0</v>
      </c>
      <c r="BI183" s="35">
        <f t="shared" si="107"/>
        <v>0</v>
      </c>
      <c r="BJ183" s="35">
        <f t="shared" si="108"/>
        <v>0</v>
      </c>
      <c r="BK183" s="35">
        <f t="shared" si="109"/>
        <v>0</v>
      </c>
      <c r="BL183" s="35">
        <f t="shared" si="110"/>
        <v>0</v>
      </c>
      <c r="BM183" s="35">
        <f t="shared" si="111"/>
        <v>0</v>
      </c>
      <c r="BN183" s="35">
        <f t="shared" si="112"/>
        <v>0</v>
      </c>
      <c r="BO183" s="35">
        <f t="shared" si="113"/>
        <v>0</v>
      </c>
      <c r="BP183" s="35">
        <f t="shared" si="114"/>
        <v>0</v>
      </c>
      <c r="BQ183" s="35">
        <f t="shared" si="115"/>
        <v>0</v>
      </c>
      <c r="BR183" s="35">
        <f t="shared" si="116"/>
        <v>0</v>
      </c>
      <c r="BS183" s="35">
        <f t="shared" si="117"/>
        <v>0</v>
      </c>
      <c r="BT183" s="43">
        <f t="shared" si="118"/>
        <v>0</v>
      </c>
    </row>
    <row r="184" spans="1:72">
      <c r="A184" s="9"/>
      <c r="B184" s="34"/>
      <c r="C184" s="34"/>
      <c r="D184" s="1805"/>
      <c r="E184" s="35">
        <f t="shared" si="119"/>
        <v>0</v>
      </c>
      <c r="F184" s="36"/>
      <c r="G184" s="37">
        <f t="shared" si="94"/>
        <v>0</v>
      </c>
      <c r="H184" s="38">
        <f t="shared" si="95"/>
        <v>0</v>
      </c>
      <c r="I184" s="39"/>
      <c r="J184" s="39"/>
      <c r="K184" s="39"/>
      <c r="L184" s="39"/>
      <c r="M184" s="39"/>
      <c r="N184" s="39"/>
      <c r="O184" s="39"/>
      <c r="P184" s="39"/>
      <c r="Q184" s="39"/>
      <c r="R184" s="39"/>
      <c r="S184" s="39"/>
      <c r="T184" s="39"/>
      <c r="U184" s="39"/>
      <c r="V184" s="39"/>
      <c r="W184" s="39"/>
      <c r="X184" s="39"/>
      <c r="Y184" s="39"/>
      <c r="Z184" s="39"/>
      <c r="AA184" s="39"/>
      <c r="AB184" s="39"/>
      <c r="AC184" s="35">
        <f t="shared" si="96"/>
        <v>0</v>
      </c>
      <c r="AD184" s="40"/>
      <c r="AE184" s="40"/>
      <c r="AF184" s="40"/>
      <c r="AG184" s="40"/>
      <c r="AH184" s="40"/>
      <c r="AI184" s="40"/>
      <c r="AJ184" s="40"/>
      <c r="AK184" s="40"/>
      <c r="AL184" s="40"/>
      <c r="AM184" s="40"/>
      <c r="AN184" s="40"/>
      <c r="AO184" s="40"/>
      <c r="AP184" s="40"/>
      <c r="AQ184" s="40"/>
      <c r="AR184" s="40"/>
      <c r="AS184" s="40"/>
      <c r="AT184" s="41"/>
      <c r="AU184" s="1806"/>
      <c r="AV184" s="1517">
        <f t="shared" si="120"/>
        <v>0</v>
      </c>
      <c r="AW184" s="1517">
        <f t="shared" si="121"/>
        <v>0</v>
      </c>
      <c r="AX184" s="1517">
        <f t="shared" si="122"/>
        <v>0</v>
      </c>
      <c r="AY184" s="42">
        <f t="shared" si="97"/>
        <v>0</v>
      </c>
      <c r="AZ184" s="35">
        <f t="shared" si="98"/>
        <v>0</v>
      </c>
      <c r="BA184" s="35">
        <f t="shared" si="99"/>
        <v>0</v>
      </c>
      <c r="BB184" s="35">
        <f t="shared" si="100"/>
        <v>0</v>
      </c>
      <c r="BC184" s="35">
        <f t="shared" si="101"/>
        <v>0</v>
      </c>
      <c r="BD184" s="35">
        <f t="shared" si="102"/>
        <v>0</v>
      </c>
      <c r="BE184" s="35">
        <f t="shared" si="103"/>
        <v>0</v>
      </c>
      <c r="BF184" s="35">
        <f t="shared" si="104"/>
        <v>0</v>
      </c>
      <c r="BG184" s="35">
        <f t="shared" si="105"/>
        <v>0</v>
      </c>
      <c r="BH184" s="35">
        <f t="shared" si="106"/>
        <v>0</v>
      </c>
      <c r="BI184" s="35">
        <f t="shared" si="107"/>
        <v>0</v>
      </c>
      <c r="BJ184" s="35">
        <f t="shared" si="108"/>
        <v>0</v>
      </c>
      <c r="BK184" s="35">
        <f t="shared" si="109"/>
        <v>0</v>
      </c>
      <c r="BL184" s="35">
        <f t="shared" si="110"/>
        <v>0</v>
      </c>
      <c r="BM184" s="35">
        <f t="shared" si="111"/>
        <v>0</v>
      </c>
      <c r="BN184" s="35">
        <f t="shared" si="112"/>
        <v>0</v>
      </c>
      <c r="BO184" s="35">
        <f t="shared" si="113"/>
        <v>0</v>
      </c>
      <c r="BP184" s="35">
        <f t="shared" si="114"/>
        <v>0</v>
      </c>
      <c r="BQ184" s="35">
        <f t="shared" si="115"/>
        <v>0</v>
      </c>
      <c r="BR184" s="35">
        <f t="shared" si="116"/>
        <v>0</v>
      </c>
      <c r="BS184" s="35">
        <f t="shared" si="117"/>
        <v>0</v>
      </c>
      <c r="BT184" s="43">
        <f t="shared" si="118"/>
        <v>0</v>
      </c>
    </row>
    <row r="185" spans="1:72">
      <c r="A185" s="9"/>
      <c r="B185" s="34"/>
      <c r="C185" s="34"/>
      <c r="D185" s="1805"/>
      <c r="E185" s="35">
        <f t="shared" si="119"/>
        <v>0</v>
      </c>
      <c r="F185" s="36"/>
      <c r="G185" s="37">
        <f t="shared" si="94"/>
        <v>0</v>
      </c>
      <c r="H185" s="38">
        <f t="shared" si="95"/>
        <v>0</v>
      </c>
      <c r="I185" s="39"/>
      <c r="J185" s="39"/>
      <c r="K185" s="39"/>
      <c r="L185" s="39"/>
      <c r="M185" s="39"/>
      <c r="N185" s="39"/>
      <c r="O185" s="39"/>
      <c r="P185" s="39"/>
      <c r="Q185" s="39"/>
      <c r="R185" s="39"/>
      <c r="S185" s="39"/>
      <c r="T185" s="39"/>
      <c r="U185" s="39"/>
      <c r="V185" s="39"/>
      <c r="W185" s="39"/>
      <c r="X185" s="39"/>
      <c r="Y185" s="39"/>
      <c r="Z185" s="39"/>
      <c r="AA185" s="39"/>
      <c r="AB185" s="39"/>
      <c r="AC185" s="35">
        <f t="shared" si="96"/>
        <v>0</v>
      </c>
      <c r="AD185" s="40"/>
      <c r="AE185" s="40"/>
      <c r="AF185" s="40"/>
      <c r="AG185" s="40"/>
      <c r="AH185" s="40"/>
      <c r="AI185" s="40"/>
      <c r="AJ185" s="40"/>
      <c r="AK185" s="40"/>
      <c r="AL185" s="40"/>
      <c r="AM185" s="40"/>
      <c r="AN185" s="40"/>
      <c r="AO185" s="40"/>
      <c r="AP185" s="40"/>
      <c r="AQ185" s="40"/>
      <c r="AR185" s="40"/>
      <c r="AS185" s="40"/>
      <c r="AT185" s="41"/>
      <c r="AU185" s="1806"/>
      <c r="AV185" s="1517">
        <f t="shared" si="120"/>
        <v>0</v>
      </c>
      <c r="AW185" s="1517">
        <f t="shared" si="121"/>
        <v>0</v>
      </c>
      <c r="AX185" s="1517">
        <f t="shared" si="122"/>
        <v>0</v>
      </c>
      <c r="AY185" s="42">
        <f t="shared" si="97"/>
        <v>0</v>
      </c>
      <c r="AZ185" s="35">
        <f t="shared" si="98"/>
        <v>0</v>
      </c>
      <c r="BA185" s="35">
        <f t="shared" si="99"/>
        <v>0</v>
      </c>
      <c r="BB185" s="35">
        <f t="shared" si="100"/>
        <v>0</v>
      </c>
      <c r="BC185" s="35">
        <f t="shared" si="101"/>
        <v>0</v>
      </c>
      <c r="BD185" s="35">
        <f t="shared" si="102"/>
        <v>0</v>
      </c>
      <c r="BE185" s="35">
        <f t="shared" si="103"/>
        <v>0</v>
      </c>
      <c r="BF185" s="35">
        <f t="shared" si="104"/>
        <v>0</v>
      </c>
      <c r="BG185" s="35">
        <f t="shared" si="105"/>
        <v>0</v>
      </c>
      <c r="BH185" s="35">
        <f t="shared" si="106"/>
        <v>0</v>
      </c>
      <c r="BI185" s="35">
        <f t="shared" si="107"/>
        <v>0</v>
      </c>
      <c r="BJ185" s="35">
        <f t="shared" si="108"/>
        <v>0</v>
      </c>
      <c r="BK185" s="35">
        <f t="shared" si="109"/>
        <v>0</v>
      </c>
      <c r="BL185" s="35">
        <f t="shared" si="110"/>
        <v>0</v>
      </c>
      <c r="BM185" s="35">
        <f t="shared" si="111"/>
        <v>0</v>
      </c>
      <c r="BN185" s="35">
        <f t="shared" si="112"/>
        <v>0</v>
      </c>
      <c r="BO185" s="35">
        <f t="shared" si="113"/>
        <v>0</v>
      </c>
      <c r="BP185" s="35">
        <f t="shared" si="114"/>
        <v>0</v>
      </c>
      <c r="BQ185" s="35">
        <f t="shared" si="115"/>
        <v>0</v>
      </c>
      <c r="BR185" s="35">
        <f t="shared" si="116"/>
        <v>0</v>
      </c>
      <c r="BS185" s="35">
        <f t="shared" si="117"/>
        <v>0</v>
      </c>
      <c r="BT185" s="43">
        <f t="shared" si="118"/>
        <v>0</v>
      </c>
    </row>
    <row r="186" spans="1:72">
      <c r="A186" s="9"/>
      <c r="B186" s="34"/>
      <c r="C186" s="34"/>
      <c r="D186" s="1805"/>
      <c r="E186" s="35">
        <f t="shared" si="119"/>
        <v>0</v>
      </c>
      <c r="F186" s="36"/>
      <c r="G186" s="37">
        <f t="shared" si="94"/>
        <v>0</v>
      </c>
      <c r="H186" s="38">
        <f t="shared" si="95"/>
        <v>0</v>
      </c>
      <c r="I186" s="39"/>
      <c r="J186" s="39"/>
      <c r="K186" s="39"/>
      <c r="L186" s="39"/>
      <c r="M186" s="39"/>
      <c r="N186" s="39"/>
      <c r="O186" s="39"/>
      <c r="P186" s="39"/>
      <c r="Q186" s="39"/>
      <c r="R186" s="39"/>
      <c r="S186" s="39"/>
      <c r="T186" s="39"/>
      <c r="U186" s="39"/>
      <c r="V186" s="39"/>
      <c r="W186" s="39"/>
      <c r="X186" s="39"/>
      <c r="Y186" s="39"/>
      <c r="Z186" s="39"/>
      <c r="AA186" s="39"/>
      <c r="AB186" s="39"/>
      <c r="AC186" s="35">
        <f t="shared" si="96"/>
        <v>0</v>
      </c>
      <c r="AD186" s="40"/>
      <c r="AE186" s="40"/>
      <c r="AF186" s="40"/>
      <c r="AG186" s="40"/>
      <c r="AH186" s="40"/>
      <c r="AI186" s="40"/>
      <c r="AJ186" s="40"/>
      <c r="AK186" s="40"/>
      <c r="AL186" s="40"/>
      <c r="AM186" s="40"/>
      <c r="AN186" s="40"/>
      <c r="AO186" s="40"/>
      <c r="AP186" s="40"/>
      <c r="AQ186" s="40"/>
      <c r="AR186" s="40"/>
      <c r="AS186" s="40"/>
      <c r="AT186" s="41"/>
      <c r="AU186" s="1806"/>
      <c r="AV186" s="1517">
        <f t="shared" si="120"/>
        <v>0</v>
      </c>
      <c r="AW186" s="1517">
        <f t="shared" si="121"/>
        <v>0</v>
      </c>
      <c r="AX186" s="1517">
        <f t="shared" si="122"/>
        <v>0</v>
      </c>
      <c r="AY186" s="42">
        <f t="shared" si="97"/>
        <v>0</v>
      </c>
      <c r="AZ186" s="35">
        <f t="shared" si="98"/>
        <v>0</v>
      </c>
      <c r="BA186" s="35">
        <f t="shared" si="99"/>
        <v>0</v>
      </c>
      <c r="BB186" s="35">
        <f t="shared" si="100"/>
        <v>0</v>
      </c>
      <c r="BC186" s="35">
        <f t="shared" si="101"/>
        <v>0</v>
      </c>
      <c r="BD186" s="35">
        <f t="shared" si="102"/>
        <v>0</v>
      </c>
      <c r="BE186" s="35">
        <f t="shared" si="103"/>
        <v>0</v>
      </c>
      <c r="BF186" s="35">
        <f t="shared" si="104"/>
        <v>0</v>
      </c>
      <c r="BG186" s="35">
        <f t="shared" si="105"/>
        <v>0</v>
      </c>
      <c r="BH186" s="35">
        <f t="shared" si="106"/>
        <v>0</v>
      </c>
      <c r="BI186" s="35">
        <f t="shared" si="107"/>
        <v>0</v>
      </c>
      <c r="BJ186" s="35">
        <f t="shared" si="108"/>
        <v>0</v>
      </c>
      <c r="BK186" s="35">
        <f t="shared" si="109"/>
        <v>0</v>
      </c>
      <c r="BL186" s="35">
        <f t="shared" si="110"/>
        <v>0</v>
      </c>
      <c r="BM186" s="35">
        <f t="shared" si="111"/>
        <v>0</v>
      </c>
      <c r="BN186" s="35">
        <f t="shared" si="112"/>
        <v>0</v>
      </c>
      <c r="BO186" s="35">
        <f t="shared" si="113"/>
        <v>0</v>
      </c>
      <c r="BP186" s="35">
        <f t="shared" si="114"/>
        <v>0</v>
      </c>
      <c r="BQ186" s="35">
        <f t="shared" si="115"/>
        <v>0</v>
      </c>
      <c r="BR186" s="35">
        <f t="shared" si="116"/>
        <v>0</v>
      </c>
      <c r="BS186" s="35">
        <f t="shared" si="117"/>
        <v>0</v>
      </c>
      <c r="BT186" s="43">
        <f t="shared" si="118"/>
        <v>0</v>
      </c>
    </row>
    <row r="187" spans="1:72">
      <c r="A187" s="9"/>
      <c r="B187" s="34"/>
      <c r="C187" s="34"/>
      <c r="D187" s="1805"/>
      <c r="E187" s="35">
        <f t="shared" si="119"/>
        <v>0</v>
      </c>
      <c r="F187" s="36"/>
      <c r="G187" s="37">
        <f t="shared" si="94"/>
        <v>0</v>
      </c>
      <c r="H187" s="38">
        <f t="shared" si="95"/>
        <v>0</v>
      </c>
      <c r="I187" s="39"/>
      <c r="J187" s="39"/>
      <c r="K187" s="39"/>
      <c r="L187" s="39"/>
      <c r="M187" s="39"/>
      <c r="N187" s="39"/>
      <c r="O187" s="39"/>
      <c r="P187" s="39"/>
      <c r="Q187" s="39"/>
      <c r="R187" s="39"/>
      <c r="S187" s="39"/>
      <c r="T187" s="39"/>
      <c r="U187" s="39"/>
      <c r="V187" s="39"/>
      <c r="W187" s="39"/>
      <c r="X187" s="39"/>
      <c r="Y187" s="39"/>
      <c r="Z187" s="39"/>
      <c r="AA187" s="39"/>
      <c r="AB187" s="39"/>
      <c r="AC187" s="35">
        <f t="shared" si="96"/>
        <v>0</v>
      </c>
      <c r="AD187" s="40"/>
      <c r="AE187" s="40"/>
      <c r="AF187" s="40"/>
      <c r="AG187" s="40"/>
      <c r="AH187" s="40"/>
      <c r="AI187" s="40"/>
      <c r="AJ187" s="40"/>
      <c r="AK187" s="40"/>
      <c r="AL187" s="40"/>
      <c r="AM187" s="40"/>
      <c r="AN187" s="40"/>
      <c r="AO187" s="40"/>
      <c r="AP187" s="40"/>
      <c r="AQ187" s="40"/>
      <c r="AR187" s="40"/>
      <c r="AS187" s="40"/>
      <c r="AT187" s="41"/>
      <c r="AU187" s="1806"/>
      <c r="AV187" s="1517">
        <f t="shared" si="120"/>
        <v>0</v>
      </c>
      <c r="AW187" s="1517">
        <f t="shared" si="121"/>
        <v>0</v>
      </c>
      <c r="AX187" s="1517">
        <f t="shared" si="122"/>
        <v>0</v>
      </c>
      <c r="AY187" s="42">
        <f t="shared" si="97"/>
        <v>0</v>
      </c>
      <c r="AZ187" s="35">
        <f t="shared" si="98"/>
        <v>0</v>
      </c>
      <c r="BA187" s="35">
        <f t="shared" si="99"/>
        <v>0</v>
      </c>
      <c r="BB187" s="35">
        <f t="shared" si="100"/>
        <v>0</v>
      </c>
      <c r="BC187" s="35">
        <f t="shared" si="101"/>
        <v>0</v>
      </c>
      <c r="BD187" s="35">
        <f t="shared" si="102"/>
        <v>0</v>
      </c>
      <c r="BE187" s="35">
        <f t="shared" si="103"/>
        <v>0</v>
      </c>
      <c r="BF187" s="35">
        <f t="shared" si="104"/>
        <v>0</v>
      </c>
      <c r="BG187" s="35">
        <f t="shared" si="105"/>
        <v>0</v>
      </c>
      <c r="BH187" s="35">
        <f t="shared" si="106"/>
        <v>0</v>
      </c>
      <c r="BI187" s="35">
        <f t="shared" si="107"/>
        <v>0</v>
      </c>
      <c r="BJ187" s="35">
        <f t="shared" si="108"/>
        <v>0</v>
      </c>
      <c r="BK187" s="35">
        <f t="shared" si="109"/>
        <v>0</v>
      </c>
      <c r="BL187" s="35">
        <f t="shared" si="110"/>
        <v>0</v>
      </c>
      <c r="BM187" s="35">
        <f t="shared" si="111"/>
        <v>0</v>
      </c>
      <c r="BN187" s="35">
        <f t="shared" si="112"/>
        <v>0</v>
      </c>
      <c r="BO187" s="35">
        <f t="shared" si="113"/>
        <v>0</v>
      </c>
      <c r="BP187" s="35">
        <f t="shared" si="114"/>
        <v>0</v>
      </c>
      <c r="BQ187" s="35">
        <f t="shared" si="115"/>
        <v>0</v>
      </c>
      <c r="BR187" s="35">
        <f t="shared" si="116"/>
        <v>0</v>
      </c>
      <c r="BS187" s="35">
        <f t="shared" si="117"/>
        <v>0</v>
      </c>
      <c r="BT187" s="43">
        <f t="shared" si="118"/>
        <v>0</v>
      </c>
    </row>
    <row r="188" spans="1:72">
      <c r="A188" s="9"/>
      <c r="B188" s="34"/>
      <c r="C188" s="34"/>
      <c r="D188" s="1805"/>
      <c r="E188" s="35">
        <f t="shared" si="119"/>
        <v>0</v>
      </c>
      <c r="F188" s="36"/>
      <c r="G188" s="37">
        <f t="shared" si="94"/>
        <v>0</v>
      </c>
      <c r="H188" s="38">
        <f t="shared" si="95"/>
        <v>0</v>
      </c>
      <c r="I188" s="39"/>
      <c r="J188" s="39"/>
      <c r="K188" s="39"/>
      <c r="L188" s="39"/>
      <c r="M188" s="39"/>
      <c r="N188" s="39"/>
      <c r="O188" s="39"/>
      <c r="P188" s="39"/>
      <c r="Q188" s="39"/>
      <c r="R188" s="39"/>
      <c r="S188" s="39"/>
      <c r="T188" s="39"/>
      <c r="U188" s="39"/>
      <c r="V188" s="39"/>
      <c r="W188" s="39"/>
      <c r="X188" s="39"/>
      <c r="Y188" s="39"/>
      <c r="Z188" s="39"/>
      <c r="AA188" s="39"/>
      <c r="AB188" s="39"/>
      <c r="AC188" s="35">
        <f t="shared" si="96"/>
        <v>0</v>
      </c>
      <c r="AD188" s="40"/>
      <c r="AE188" s="40"/>
      <c r="AF188" s="40"/>
      <c r="AG188" s="40"/>
      <c r="AH188" s="40"/>
      <c r="AI188" s="40"/>
      <c r="AJ188" s="40"/>
      <c r="AK188" s="40"/>
      <c r="AL188" s="40"/>
      <c r="AM188" s="40"/>
      <c r="AN188" s="40"/>
      <c r="AO188" s="40"/>
      <c r="AP188" s="40"/>
      <c r="AQ188" s="40"/>
      <c r="AR188" s="40"/>
      <c r="AS188" s="40"/>
      <c r="AT188" s="41"/>
      <c r="AU188" s="1806"/>
      <c r="AV188" s="1517">
        <f t="shared" si="120"/>
        <v>0</v>
      </c>
      <c r="AW188" s="1517">
        <f t="shared" si="121"/>
        <v>0</v>
      </c>
      <c r="AX188" s="1517">
        <f t="shared" si="122"/>
        <v>0</v>
      </c>
      <c r="AY188" s="42">
        <f t="shared" si="97"/>
        <v>0</v>
      </c>
      <c r="AZ188" s="35">
        <f t="shared" si="98"/>
        <v>0</v>
      </c>
      <c r="BA188" s="35">
        <f t="shared" si="99"/>
        <v>0</v>
      </c>
      <c r="BB188" s="35">
        <f t="shared" si="100"/>
        <v>0</v>
      </c>
      <c r="BC188" s="35">
        <f t="shared" si="101"/>
        <v>0</v>
      </c>
      <c r="BD188" s="35">
        <f t="shared" si="102"/>
        <v>0</v>
      </c>
      <c r="BE188" s="35">
        <f t="shared" si="103"/>
        <v>0</v>
      </c>
      <c r="BF188" s="35">
        <f t="shared" si="104"/>
        <v>0</v>
      </c>
      <c r="BG188" s="35">
        <f t="shared" si="105"/>
        <v>0</v>
      </c>
      <c r="BH188" s="35">
        <f t="shared" si="106"/>
        <v>0</v>
      </c>
      <c r="BI188" s="35">
        <f t="shared" si="107"/>
        <v>0</v>
      </c>
      <c r="BJ188" s="35">
        <f t="shared" si="108"/>
        <v>0</v>
      </c>
      <c r="BK188" s="35">
        <f t="shared" si="109"/>
        <v>0</v>
      </c>
      <c r="BL188" s="35">
        <f t="shared" si="110"/>
        <v>0</v>
      </c>
      <c r="BM188" s="35">
        <f t="shared" si="111"/>
        <v>0</v>
      </c>
      <c r="BN188" s="35">
        <f t="shared" si="112"/>
        <v>0</v>
      </c>
      <c r="BO188" s="35">
        <f t="shared" si="113"/>
        <v>0</v>
      </c>
      <c r="BP188" s="35">
        <f t="shared" si="114"/>
        <v>0</v>
      </c>
      <c r="BQ188" s="35">
        <f t="shared" si="115"/>
        <v>0</v>
      </c>
      <c r="BR188" s="35">
        <f t="shared" si="116"/>
        <v>0</v>
      </c>
      <c r="BS188" s="35">
        <f t="shared" si="117"/>
        <v>0</v>
      </c>
      <c r="BT188" s="43">
        <f t="shared" si="118"/>
        <v>0</v>
      </c>
    </row>
    <row r="189" spans="1:72">
      <c r="A189" s="9"/>
      <c r="B189" s="34"/>
      <c r="C189" s="34"/>
      <c r="D189" s="1805"/>
      <c r="E189" s="35">
        <f t="shared" si="119"/>
        <v>0</v>
      </c>
      <c r="F189" s="36"/>
      <c r="G189" s="37">
        <f t="shared" si="94"/>
        <v>0</v>
      </c>
      <c r="H189" s="38">
        <f t="shared" si="95"/>
        <v>0</v>
      </c>
      <c r="I189" s="39"/>
      <c r="J189" s="39"/>
      <c r="K189" s="39"/>
      <c r="L189" s="39"/>
      <c r="M189" s="39"/>
      <c r="N189" s="39"/>
      <c r="O189" s="39"/>
      <c r="P189" s="39"/>
      <c r="Q189" s="39"/>
      <c r="R189" s="39"/>
      <c r="S189" s="39"/>
      <c r="T189" s="39"/>
      <c r="U189" s="39"/>
      <c r="V189" s="39"/>
      <c r="W189" s="39"/>
      <c r="X189" s="39"/>
      <c r="Y189" s="39"/>
      <c r="Z189" s="39"/>
      <c r="AA189" s="39"/>
      <c r="AB189" s="39"/>
      <c r="AC189" s="35">
        <f t="shared" si="96"/>
        <v>0</v>
      </c>
      <c r="AD189" s="40"/>
      <c r="AE189" s="40"/>
      <c r="AF189" s="40"/>
      <c r="AG189" s="40"/>
      <c r="AH189" s="40"/>
      <c r="AI189" s="40"/>
      <c r="AJ189" s="40"/>
      <c r="AK189" s="40"/>
      <c r="AL189" s="40"/>
      <c r="AM189" s="40"/>
      <c r="AN189" s="40"/>
      <c r="AO189" s="40"/>
      <c r="AP189" s="40"/>
      <c r="AQ189" s="40"/>
      <c r="AR189" s="40"/>
      <c r="AS189" s="40"/>
      <c r="AT189" s="41"/>
      <c r="AU189" s="1806"/>
      <c r="AV189" s="1517">
        <f t="shared" si="120"/>
        <v>0</v>
      </c>
      <c r="AW189" s="1517">
        <f t="shared" si="121"/>
        <v>0</v>
      </c>
      <c r="AX189" s="1517">
        <f t="shared" si="122"/>
        <v>0</v>
      </c>
      <c r="AY189" s="42">
        <f t="shared" si="97"/>
        <v>0</v>
      </c>
      <c r="AZ189" s="35">
        <f t="shared" si="98"/>
        <v>0</v>
      </c>
      <c r="BA189" s="35">
        <f t="shared" si="99"/>
        <v>0</v>
      </c>
      <c r="BB189" s="35">
        <f t="shared" si="100"/>
        <v>0</v>
      </c>
      <c r="BC189" s="35">
        <f t="shared" si="101"/>
        <v>0</v>
      </c>
      <c r="BD189" s="35">
        <f t="shared" si="102"/>
        <v>0</v>
      </c>
      <c r="BE189" s="35">
        <f t="shared" si="103"/>
        <v>0</v>
      </c>
      <c r="BF189" s="35">
        <f t="shared" si="104"/>
        <v>0</v>
      </c>
      <c r="BG189" s="35">
        <f t="shared" si="105"/>
        <v>0</v>
      </c>
      <c r="BH189" s="35">
        <f t="shared" si="106"/>
        <v>0</v>
      </c>
      <c r="BI189" s="35">
        <f t="shared" si="107"/>
        <v>0</v>
      </c>
      <c r="BJ189" s="35">
        <f t="shared" si="108"/>
        <v>0</v>
      </c>
      <c r="BK189" s="35">
        <f t="shared" si="109"/>
        <v>0</v>
      </c>
      <c r="BL189" s="35">
        <f t="shared" si="110"/>
        <v>0</v>
      </c>
      <c r="BM189" s="35">
        <f t="shared" si="111"/>
        <v>0</v>
      </c>
      <c r="BN189" s="35">
        <f t="shared" si="112"/>
        <v>0</v>
      </c>
      <c r="BO189" s="35">
        <f t="shared" si="113"/>
        <v>0</v>
      </c>
      <c r="BP189" s="35">
        <f t="shared" si="114"/>
        <v>0</v>
      </c>
      <c r="BQ189" s="35">
        <f t="shared" si="115"/>
        <v>0</v>
      </c>
      <c r="BR189" s="35">
        <f t="shared" si="116"/>
        <v>0</v>
      </c>
      <c r="BS189" s="35">
        <f t="shared" si="117"/>
        <v>0</v>
      </c>
      <c r="BT189" s="43">
        <f t="shared" si="118"/>
        <v>0</v>
      </c>
    </row>
    <row r="190" spans="1:72">
      <c r="A190" s="9"/>
      <c r="B190" s="34"/>
      <c r="C190" s="34"/>
      <c r="D190" s="1805"/>
      <c r="E190" s="35">
        <f t="shared" si="119"/>
        <v>0</v>
      </c>
      <c r="F190" s="36"/>
      <c r="G190" s="37">
        <f t="shared" si="94"/>
        <v>0</v>
      </c>
      <c r="H190" s="38">
        <f t="shared" si="95"/>
        <v>0</v>
      </c>
      <c r="I190" s="39"/>
      <c r="J190" s="39"/>
      <c r="K190" s="39"/>
      <c r="L190" s="39"/>
      <c r="M190" s="39"/>
      <c r="N190" s="39"/>
      <c r="O190" s="39"/>
      <c r="P190" s="39"/>
      <c r="Q190" s="39"/>
      <c r="R190" s="39"/>
      <c r="S190" s="39"/>
      <c r="T190" s="39"/>
      <c r="U190" s="39"/>
      <c r="V190" s="39"/>
      <c r="W190" s="39"/>
      <c r="X190" s="39"/>
      <c r="Y190" s="39"/>
      <c r="Z190" s="39"/>
      <c r="AA190" s="39"/>
      <c r="AB190" s="39"/>
      <c r="AC190" s="35">
        <f t="shared" si="96"/>
        <v>0</v>
      </c>
      <c r="AD190" s="40"/>
      <c r="AE190" s="40"/>
      <c r="AF190" s="40"/>
      <c r="AG190" s="40"/>
      <c r="AH190" s="40"/>
      <c r="AI190" s="40"/>
      <c r="AJ190" s="40"/>
      <c r="AK190" s="40"/>
      <c r="AL190" s="40"/>
      <c r="AM190" s="40"/>
      <c r="AN190" s="40"/>
      <c r="AO190" s="40"/>
      <c r="AP190" s="40"/>
      <c r="AQ190" s="40"/>
      <c r="AR190" s="40"/>
      <c r="AS190" s="40"/>
      <c r="AT190" s="41"/>
      <c r="AU190" s="1806"/>
      <c r="AV190" s="1517">
        <f t="shared" si="120"/>
        <v>0</v>
      </c>
      <c r="AW190" s="1517">
        <f t="shared" si="121"/>
        <v>0</v>
      </c>
      <c r="AX190" s="1517">
        <f t="shared" si="122"/>
        <v>0</v>
      </c>
      <c r="AY190" s="42">
        <f t="shared" si="97"/>
        <v>0</v>
      </c>
      <c r="AZ190" s="35">
        <f t="shared" si="98"/>
        <v>0</v>
      </c>
      <c r="BA190" s="35">
        <f t="shared" si="99"/>
        <v>0</v>
      </c>
      <c r="BB190" s="35">
        <f t="shared" si="100"/>
        <v>0</v>
      </c>
      <c r="BC190" s="35">
        <f t="shared" si="101"/>
        <v>0</v>
      </c>
      <c r="BD190" s="35">
        <f t="shared" si="102"/>
        <v>0</v>
      </c>
      <c r="BE190" s="35">
        <f t="shared" si="103"/>
        <v>0</v>
      </c>
      <c r="BF190" s="35">
        <f t="shared" si="104"/>
        <v>0</v>
      </c>
      <c r="BG190" s="35">
        <f t="shared" si="105"/>
        <v>0</v>
      </c>
      <c r="BH190" s="35">
        <f t="shared" si="106"/>
        <v>0</v>
      </c>
      <c r="BI190" s="35">
        <f t="shared" si="107"/>
        <v>0</v>
      </c>
      <c r="BJ190" s="35">
        <f t="shared" si="108"/>
        <v>0</v>
      </c>
      <c r="BK190" s="35">
        <f t="shared" si="109"/>
        <v>0</v>
      </c>
      <c r="BL190" s="35">
        <f t="shared" si="110"/>
        <v>0</v>
      </c>
      <c r="BM190" s="35">
        <f t="shared" si="111"/>
        <v>0</v>
      </c>
      <c r="BN190" s="35">
        <f t="shared" si="112"/>
        <v>0</v>
      </c>
      <c r="BO190" s="35">
        <f t="shared" si="113"/>
        <v>0</v>
      </c>
      <c r="BP190" s="35">
        <f t="shared" si="114"/>
        <v>0</v>
      </c>
      <c r="BQ190" s="35">
        <f t="shared" si="115"/>
        <v>0</v>
      </c>
      <c r="BR190" s="35">
        <f t="shared" si="116"/>
        <v>0</v>
      </c>
      <c r="BS190" s="35">
        <f t="shared" si="117"/>
        <v>0</v>
      </c>
      <c r="BT190" s="43">
        <f t="shared" si="118"/>
        <v>0</v>
      </c>
    </row>
    <row r="191" spans="1:72">
      <c r="A191" s="9"/>
      <c r="B191" s="34"/>
      <c r="C191" s="34"/>
      <c r="D191" s="1805"/>
      <c r="E191" s="35">
        <f t="shared" si="119"/>
        <v>0</v>
      </c>
      <c r="F191" s="36"/>
      <c r="G191" s="37">
        <f t="shared" si="94"/>
        <v>0</v>
      </c>
      <c r="H191" s="38">
        <f t="shared" si="95"/>
        <v>0</v>
      </c>
      <c r="I191" s="39"/>
      <c r="J191" s="39"/>
      <c r="K191" s="39"/>
      <c r="L191" s="39"/>
      <c r="M191" s="39"/>
      <c r="N191" s="39"/>
      <c r="O191" s="39"/>
      <c r="P191" s="39"/>
      <c r="Q191" s="39"/>
      <c r="R191" s="39"/>
      <c r="S191" s="39"/>
      <c r="T191" s="39"/>
      <c r="U191" s="39"/>
      <c r="V191" s="39"/>
      <c r="W191" s="39"/>
      <c r="X191" s="39"/>
      <c r="Y191" s="39"/>
      <c r="Z191" s="39"/>
      <c r="AA191" s="39"/>
      <c r="AB191" s="39"/>
      <c r="AC191" s="35">
        <f t="shared" si="96"/>
        <v>0</v>
      </c>
      <c r="AD191" s="40"/>
      <c r="AE191" s="40"/>
      <c r="AF191" s="40"/>
      <c r="AG191" s="40"/>
      <c r="AH191" s="40"/>
      <c r="AI191" s="40"/>
      <c r="AJ191" s="40"/>
      <c r="AK191" s="40"/>
      <c r="AL191" s="40"/>
      <c r="AM191" s="40"/>
      <c r="AN191" s="40"/>
      <c r="AO191" s="40"/>
      <c r="AP191" s="40"/>
      <c r="AQ191" s="40"/>
      <c r="AR191" s="40"/>
      <c r="AS191" s="40"/>
      <c r="AT191" s="41"/>
      <c r="AU191" s="1806"/>
      <c r="AV191" s="1517">
        <f t="shared" si="120"/>
        <v>0</v>
      </c>
      <c r="AW191" s="1517">
        <f t="shared" si="121"/>
        <v>0</v>
      </c>
      <c r="AX191" s="1517">
        <f t="shared" si="122"/>
        <v>0</v>
      </c>
      <c r="AY191" s="42">
        <f t="shared" si="97"/>
        <v>0</v>
      </c>
      <c r="AZ191" s="35">
        <f t="shared" si="98"/>
        <v>0</v>
      </c>
      <c r="BA191" s="35">
        <f t="shared" si="99"/>
        <v>0</v>
      </c>
      <c r="BB191" s="35">
        <f t="shared" si="100"/>
        <v>0</v>
      </c>
      <c r="BC191" s="35">
        <f t="shared" si="101"/>
        <v>0</v>
      </c>
      <c r="BD191" s="35">
        <f t="shared" si="102"/>
        <v>0</v>
      </c>
      <c r="BE191" s="35">
        <f t="shared" si="103"/>
        <v>0</v>
      </c>
      <c r="BF191" s="35">
        <f t="shared" si="104"/>
        <v>0</v>
      </c>
      <c r="BG191" s="35">
        <f t="shared" si="105"/>
        <v>0</v>
      </c>
      <c r="BH191" s="35">
        <f t="shared" si="106"/>
        <v>0</v>
      </c>
      <c r="BI191" s="35">
        <f t="shared" si="107"/>
        <v>0</v>
      </c>
      <c r="BJ191" s="35">
        <f t="shared" si="108"/>
        <v>0</v>
      </c>
      <c r="BK191" s="35">
        <f t="shared" si="109"/>
        <v>0</v>
      </c>
      <c r="BL191" s="35">
        <f t="shared" si="110"/>
        <v>0</v>
      </c>
      <c r="BM191" s="35">
        <f t="shared" si="111"/>
        <v>0</v>
      </c>
      <c r="BN191" s="35">
        <f t="shared" si="112"/>
        <v>0</v>
      </c>
      <c r="BO191" s="35">
        <f t="shared" si="113"/>
        <v>0</v>
      </c>
      <c r="BP191" s="35">
        <f t="shared" si="114"/>
        <v>0</v>
      </c>
      <c r="BQ191" s="35">
        <f t="shared" si="115"/>
        <v>0</v>
      </c>
      <c r="BR191" s="35">
        <f t="shared" si="116"/>
        <v>0</v>
      </c>
      <c r="BS191" s="35">
        <f t="shared" si="117"/>
        <v>0</v>
      </c>
      <c r="BT191" s="43">
        <f t="shared" si="118"/>
        <v>0</v>
      </c>
    </row>
    <row r="192" spans="1:72">
      <c r="A192" s="9"/>
      <c r="B192" s="34"/>
      <c r="C192" s="34"/>
      <c r="D192" s="1805"/>
      <c r="E192" s="35">
        <f t="shared" si="119"/>
        <v>0</v>
      </c>
      <c r="F192" s="36"/>
      <c r="G192" s="37">
        <f t="shared" si="94"/>
        <v>0</v>
      </c>
      <c r="H192" s="38">
        <f t="shared" si="95"/>
        <v>0</v>
      </c>
      <c r="I192" s="39"/>
      <c r="J192" s="39"/>
      <c r="K192" s="39"/>
      <c r="L192" s="39"/>
      <c r="M192" s="39"/>
      <c r="N192" s="39"/>
      <c r="O192" s="39"/>
      <c r="P192" s="39"/>
      <c r="Q192" s="39"/>
      <c r="R192" s="39"/>
      <c r="S192" s="39"/>
      <c r="T192" s="39"/>
      <c r="U192" s="39"/>
      <c r="V192" s="39"/>
      <c r="W192" s="39"/>
      <c r="X192" s="39"/>
      <c r="Y192" s="39"/>
      <c r="Z192" s="39"/>
      <c r="AA192" s="39"/>
      <c r="AB192" s="39"/>
      <c r="AC192" s="35">
        <f t="shared" si="96"/>
        <v>0</v>
      </c>
      <c r="AD192" s="40"/>
      <c r="AE192" s="40"/>
      <c r="AF192" s="40"/>
      <c r="AG192" s="40"/>
      <c r="AH192" s="40"/>
      <c r="AI192" s="40"/>
      <c r="AJ192" s="40"/>
      <c r="AK192" s="40"/>
      <c r="AL192" s="40"/>
      <c r="AM192" s="40"/>
      <c r="AN192" s="40"/>
      <c r="AO192" s="40"/>
      <c r="AP192" s="40"/>
      <c r="AQ192" s="40"/>
      <c r="AR192" s="40"/>
      <c r="AS192" s="40"/>
      <c r="AT192" s="41"/>
      <c r="AU192" s="1806"/>
      <c r="AV192" s="1517">
        <f t="shared" si="120"/>
        <v>0</v>
      </c>
      <c r="AW192" s="1517">
        <f t="shared" si="121"/>
        <v>0</v>
      </c>
      <c r="AX192" s="1517">
        <f t="shared" si="122"/>
        <v>0</v>
      </c>
      <c r="AY192" s="42">
        <f t="shared" si="97"/>
        <v>0</v>
      </c>
      <c r="AZ192" s="35">
        <f t="shared" si="98"/>
        <v>0</v>
      </c>
      <c r="BA192" s="35">
        <f t="shared" si="99"/>
        <v>0</v>
      </c>
      <c r="BB192" s="35">
        <f t="shared" si="100"/>
        <v>0</v>
      </c>
      <c r="BC192" s="35">
        <f t="shared" si="101"/>
        <v>0</v>
      </c>
      <c r="BD192" s="35">
        <f t="shared" si="102"/>
        <v>0</v>
      </c>
      <c r="BE192" s="35">
        <f t="shared" si="103"/>
        <v>0</v>
      </c>
      <c r="BF192" s="35">
        <f t="shared" si="104"/>
        <v>0</v>
      </c>
      <c r="BG192" s="35">
        <f t="shared" si="105"/>
        <v>0</v>
      </c>
      <c r="BH192" s="35">
        <f t="shared" si="106"/>
        <v>0</v>
      </c>
      <c r="BI192" s="35">
        <f t="shared" si="107"/>
        <v>0</v>
      </c>
      <c r="BJ192" s="35">
        <f t="shared" si="108"/>
        <v>0</v>
      </c>
      <c r="BK192" s="35">
        <f t="shared" si="109"/>
        <v>0</v>
      </c>
      <c r="BL192" s="35">
        <f t="shared" si="110"/>
        <v>0</v>
      </c>
      <c r="BM192" s="35">
        <f t="shared" si="111"/>
        <v>0</v>
      </c>
      <c r="BN192" s="35">
        <f t="shared" si="112"/>
        <v>0</v>
      </c>
      <c r="BO192" s="35">
        <f t="shared" si="113"/>
        <v>0</v>
      </c>
      <c r="BP192" s="35">
        <f t="shared" si="114"/>
        <v>0</v>
      </c>
      <c r="BQ192" s="35">
        <f t="shared" si="115"/>
        <v>0</v>
      </c>
      <c r="BR192" s="35">
        <f t="shared" si="116"/>
        <v>0</v>
      </c>
      <c r="BS192" s="35">
        <f t="shared" si="117"/>
        <v>0</v>
      </c>
      <c r="BT192" s="43">
        <f t="shared" si="118"/>
        <v>0</v>
      </c>
    </row>
    <row r="193" spans="1:72">
      <c r="A193" s="9"/>
      <c r="B193" s="34"/>
      <c r="C193" s="34"/>
      <c r="D193" s="1805"/>
      <c r="E193" s="35">
        <f t="shared" si="119"/>
        <v>0</v>
      </c>
      <c r="F193" s="36"/>
      <c r="G193" s="37">
        <f t="shared" si="94"/>
        <v>0</v>
      </c>
      <c r="H193" s="38">
        <f t="shared" si="95"/>
        <v>0</v>
      </c>
      <c r="I193" s="39"/>
      <c r="J193" s="39"/>
      <c r="K193" s="39"/>
      <c r="L193" s="39"/>
      <c r="M193" s="39"/>
      <c r="N193" s="39"/>
      <c r="O193" s="39"/>
      <c r="P193" s="39"/>
      <c r="Q193" s="39"/>
      <c r="R193" s="39"/>
      <c r="S193" s="39"/>
      <c r="T193" s="39"/>
      <c r="U193" s="39"/>
      <c r="V193" s="39"/>
      <c r="W193" s="39"/>
      <c r="X193" s="39"/>
      <c r="Y193" s="39"/>
      <c r="Z193" s="39"/>
      <c r="AA193" s="39"/>
      <c r="AB193" s="39"/>
      <c r="AC193" s="35">
        <f t="shared" si="96"/>
        <v>0</v>
      </c>
      <c r="AD193" s="40"/>
      <c r="AE193" s="40"/>
      <c r="AF193" s="40"/>
      <c r="AG193" s="40"/>
      <c r="AH193" s="40"/>
      <c r="AI193" s="40"/>
      <c r="AJ193" s="40"/>
      <c r="AK193" s="40"/>
      <c r="AL193" s="40"/>
      <c r="AM193" s="40"/>
      <c r="AN193" s="40"/>
      <c r="AO193" s="40"/>
      <c r="AP193" s="40"/>
      <c r="AQ193" s="40"/>
      <c r="AR193" s="40"/>
      <c r="AS193" s="40"/>
      <c r="AT193" s="41"/>
      <c r="AU193" s="1806"/>
      <c r="AV193" s="1517">
        <f t="shared" si="120"/>
        <v>0</v>
      </c>
      <c r="AW193" s="1517">
        <f t="shared" si="121"/>
        <v>0</v>
      </c>
      <c r="AX193" s="1517">
        <f t="shared" si="122"/>
        <v>0</v>
      </c>
      <c r="AY193" s="42">
        <f t="shared" si="97"/>
        <v>0</v>
      </c>
      <c r="AZ193" s="35">
        <f t="shared" si="98"/>
        <v>0</v>
      </c>
      <c r="BA193" s="35">
        <f t="shared" si="99"/>
        <v>0</v>
      </c>
      <c r="BB193" s="35">
        <f t="shared" si="100"/>
        <v>0</v>
      </c>
      <c r="BC193" s="35">
        <f t="shared" si="101"/>
        <v>0</v>
      </c>
      <c r="BD193" s="35">
        <f t="shared" si="102"/>
        <v>0</v>
      </c>
      <c r="BE193" s="35">
        <f t="shared" si="103"/>
        <v>0</v>
      </c>
      <c r="BF193" s="35">
        <f t="shared" si="104"/>
        <v>0</v>
      </c>
      <c r="BG193" s="35">
        <f t="shared" si="105"/>
        <v>0</v>
      </c>
      <c r="BH193" s="35">
        <f t="shared" si="106"/>
        <v>0</v>
      </c>
      <c r="BI193" s="35">
        <f t="shared" si="107"/>
        <v>0</v>
      </c>
      <c r="BJ193" s="35">
        <f t="shared" si="108"/>
        <v>0</v>
      </c>
      <c r="BK193" s="35">
        <f t="shared" si="109"/>
        <v>0</v>
      </c>
      <c r="BL193" s="35">
        <f t="shared" si="110"/>
        <v>0</v>
      </c>
      <c r="BM193" s="35">
        <f t="shared" si="111"/>
        <v>0</v>
      </c>
      <c r="BN193" s="35">
        <f t="shared" si="112"/>
        <v>0</v>
      </c>
      <c r="BO193" s="35">
        <f t="shared" si="113"/>
        <v>0</v>
      </c>
      <c r="BP193" s="35">
        <f t="shared" si="114"/>
        <v>0</v>
      </c>
      <c r="BQ193" s="35">
        <f t="shared" si="115"/>
        <v>0</v>
      </c>
      <c r="BR193" s="35">
        <f t="shared" si="116"/>
        <v>0</v>
      </c>
      <c r="BS193" s="35">
        <f t="shared" si="117"/>
        <v>0</v>
      </c>
      <c r="BT193" s="43">
        <f t="shared" si="118"/>
        <v>0</v>
      </c>
    </row>
    <row r="194" spans="1:72">
      <c r="A194" s="9"/>
      <c r="B194" s="34"/>
      <c r="C194" s="34"/>
      <c r="D194" s="1805"/>
      <c r="E194" s="35">
        <f t="shared" si="119"/>
        <v>0</v>
      </c>
      <c r="F194" s="36"/>
      <c r="G194" s="37">
        <f t="shared" si="94"/>
        <v>0</v>
      </c>
      <c r="H194" s="38">
        <f t="shared" si="95"/>
        <v>0</v>
      </c>
      <c r="I194" s="39"/>
      <c r="J194" s="39"/>
      <c r="K194" s="39"/>
      <c r="L194" s="39"/>
      <c r="M194" s="39"/>
      <c r="N194" s="39"/>
      <c r="O194" s="39"/>
      <c r="P194" s="39"/>
      <c r="Q194" s="39"/>
      <c r="R194" s="39"/>
      <c r="S194" s="39"/>
      <c r="T194" s="39"/>
      <c r="U194" s="39"/>
      <c r="V194" s="39"/>
      <c r="W194" s="39"/>
      <c r="X194" s="39"/>
      <c r="Y194" s="39"/>
      <c r="Z194" s="39"/>
      <c r="AA194" s="39"/>
      <c r="AB194" s="39"/>
      <c r="AC194" s="35">
        <f t="shared" si="96"/>
        <v>0</v>
      </c>
      <c r="AD194" s="40"/>
      <c r="AE194" s="40"/>
      <c r="AF194" s="40"/>
      <c r="AG194" s="40"/>
      <c r="AH194" s="40"/>
      <c r="AI194" s="40"/>
      <c r="AJ194" s="40"/>
      <c r="AK194" s="40"/>
      <c r="AL194" s="40"/>
      <c r="AM194" s="40"/>
      <c r="AN194" s="40"/>
      <c r="AO194" s="40"/>
      <c r="AP194" s="40"/>
      <c r="AQ194" s="40"/>
      <c r="AR194" s="40"/>
      <c r="AS194" s="40"/>
      <c r="AT194" s="41"/>
      <c r="AU194" s="1806"/>
      <c r="AV194" s="1517">
        <f t="shared" si="120"/>
        <v>0</v>
      </c>
      <c r="AW194" s="1517">
        <f t="shared" si="121"/>
        <v>0</v>
      </c>
      <c r="AX194" s="1517">
        <f t="shared" si="122"/>
        <v>0</v>
      </c>
      <c r="AY194" s="42">
        <f t="shared" si="97"/>
        <v>0</v>
      </c>
      <c r="AZ194" s="35">
        <f t="shared" si="98"/>
        <v>0</v>
      </c>
      <c r="BA194" s="35">
        <f t="shared" si="99"/>
        <v>0</v>
      </c>
      <c r="BB194" s="35">
        <f t="shared" si="100"/>
        <v>0</v>
      </c>
      <c r="BC194" s="35">
        <f t="shared" si="101"/>
        <v>0</v>
      </c>
      <c r="BD194" s="35">
        <f t="shared" si="102"/>
        <v>0</v>
      </c>
      <c r="BE194" s="35">
        <f t="shared" si="103"/>
        <v>0</v>
      </c>
      <c r="BF194" s="35">
        <f t="shared" si="104"/>
        <v>0</v>
      </c>
      <c r="BG194" s="35">
        <f t="shared" si="105"/>
        <v>0</v>
      </c>
      <c r="BH194" s="35">
        <f t="shared" si="106"/>
        <v>0</v>
      </c>
      <c r="BI194" s="35">
        <f t="shared" si="107"/>
        <v>0</v>
      </c>
      <c r="BJ194" s="35">
        <f t="shared" si="108"/>
        <v>0</v>
      </c>
      <c r="BK194" s="35">
        <f t="shared" si="109"/>
        <v>0</v>
      </c>
      <c r="BL194" s="35">
        <f t="shared" si="110"/>
        <v>0</v>
      </c>
      <c r="BM194" s="35">
        <f t="shared" si="111"/>
        <v>0</v>
      </c>
      <c r="BN194" s="35">
        <f t="shared" si="112"/>
        <v>0</v>
      </c>
      <c r="BO194" s="35">
        <f t="shared" si="113"/>
        <v>0</v>
      </c>
      <c r="BP194" s="35">
        <f t="shared" si="114"/>
        <v>0</v>
      </c>
      <c r="BQ194" s="35">
        <f t="shared" si="115"/>
        <v>0</v>
      </c>
      <c r="BR194" s="35">
        <f t="shared" si="116"/>
        <v>0</v>
      </c>
      <c r="BS194" s="35">
        <f t="shared" si="117"/>
        <v>0</v>
      </c>
      <c r="BT194" s="43">
        <f t="shared" si="118"/>
        <v>0</v>
      </c>
    </row>
    <row r="195" spans="1:72">
      <c r="A195" s="9"/>
      <c r="B195" s="34"/>
      <c r="C195" s="34"/>
      <c r="D195" s="1805"/>
      <c r="E195" s="35">
        <f t="shared" si="119"/>
        <v>0</v>
      </c>
      <c r="F195" s="36"/>
      <c r="G195" s="37">
        <f t="shared" si="94"/>
        <v>0</v>
      </c>
      <c r="H195" s="38">
        <f t="shared" si="95"/>
        <v>0</v>
      </c>
      <c r="I195" s="39"/>
      <c r="J195" s="39"/>
      <c r="K195" s="39"/>
      <c r="L195" s="39"/>
      <c r="M195" s="39"/>
      <c r="N195" s="39"/>
      <c r="O195" s="39"/>
      <c r="P195" s="39"/>
      <c r="Q195" s="39"/>
      <c r="R195" s="39"/>
      <c r="S195" s="39"/>
      <c r="T195" s="39"/>
      <c r="U195" s="39"/>
      <c r="V195" s="39"/>
      <c r="W195" s="39"/>
      <c r="X195" s="39"/>
      <c r="Y195" s="39"/>
      <c r="Z195" s="39"/>
      <c r="AA195" s="39"/>
      <c r="AB195" s="39"/>
      <c r="AC195" s="35">
        <f t="shared" si="96"/>
        <v>0</v>
      </c>
      <c r="AD195" s="40"/>
      <c r="AE195" s="40"/>
      <c r="AF195" s="40"/>
      <c r="AG195" s="40"/>
      <c r="AH195" s="40"/>
      <c r="AI195" s="40"/>
      <c r="AJ195" s="40"/>
      <c r="AK195" s="40"/>
      <c r="AL195" s="40"/>
      <c r="AM195" s="40"/>
      <c r="AN195" s="40"/>
      <c r="AO195" s="40"/>
      <c r="AP195" s="40"/>
      <c r="AQ195" s="40"/>
      <c r="AR195" s="40"/>
      <c r="AS195" s="40"/>
      <c r="AT195" s="41"/>
      <c r="AU195" s="1806"/>
      <c r="AV195" s="1517">
        <f t="shared" si="120"/>
        <v>0</v>
      </c>
      <c r="AW195" s="1517">
        <f t="shared" si="121"/>
        <v>0</v>
      </c>
      <c r="AX195" s="1517">
        <f t="shared" si="122"/>
        <v>0</v>
      </c>
      <c r="AY195" s="42">
        <f t="shared" si="97"/>
        <v>0</v>
      </c>
      <c r="AZ195" s="35">
        <f t="shared" si="98"/>
        <v>0</v>
      </c>
      <c r="BA195" s="35">
        <f t="shared" si="99"/>
        <v>0</v>
      </c>
      <c r="BB195" s="35">
        <f t="shared" si="100"/>
        <v>0</v>
      </c>
      <c r="BC195" s="35">
        <f t="shared" si="101"/>
        <v>0</v>
      </c>
      <c r="BD195" s="35">
        <f t="shared" si="102"/>
        <v>0</v>
      </c>
      <c r="BE195" s="35">
        <f t="shared" si="103"/>
        <v>0</v>
      </c>
      <c r="BF195" s="35">
        <f t="shared" si="104"/>
        <v>0</v>
      </c>
      <c r="BG195" s="35">
        <f t="shared" si="105"/>
        <v>0</v>
      </c>
      <c r="BH195" s="35">
        <f t="shared" si="106"/>
        <v>0</v>
      </c>
      <c r="BI195" s="35">
        <f t="shared" si="107"/>
        <v>0</v>
      </c>
      <c r="BJ195" s="35">
        <f t="shared" si="108"/>
        <v>0</v>
      </c>
      <c r="BK195" s="35">
        <f t="shared" si="109"/>
        <v>0</v>
      </c>
      <c r="BL195" s="35">
        <f t="shared" si="110"/>
        <v>0</v>
      </c>
      <c r="BM195" s="35">
        <f t="shared" si="111"/>
        <v>0</v>
      </c>
      <c r="BN195" s="35">
        <f t="shared" si="112"/>
        <v>0</v>
      </c>
      <c r="BO195" s="35">
        <f t="shared" si="113"/>
        <v>0</v>
      </c>
      <c r="BP195" s="35">
        <f t="shared" si="114"/>
        <v>0</v>
      </c>
      <c r="BQ195" s="35">
        <f t="shared" si="115"/>
        <v>0</v>
      </c>
      <c r="BR195" s="35">
        <f t="shared" si="116"/>
        <v>0</v>
      </c>
      <c r="BS195" s="35">
        <f t="shared" si="117"/>
        <v>0</v>
      </c>
      <c r="BT195" s="43">
        <f t="shared" si="118"/>
        <v>0</v>
      </c>
    </row>
    <row r="196" spans="1:72">
      <c r="A196" s="9"/>
      <c r="B196" s="34"/>
      <c r="C196" s="34"/>
      <c r="D196" s="1805"/>
      <c r="E196" s="35">
        <f t="shared" si="119"/>
        <v>0</v>
      </c>
      <c r="F196" s="36"/>
      <c r="G196" s="37">
        <f t="shared" si="94"/>
        <v>0</v>
      </c>
      <c r="H196" s="38">
        <f t="shared" si="95"/>
        <v>0</v>
      </c>
      <c r="I196" s="39"/>
      <c r="J196" s="39"/>
      <c r="K196" s="39"/>
      <c r="L196" s="39"/>
      <c r="M196" s="39"/>
      <c r="N196" s="39"/>
      <c r="O196" s="39"/>
      <c r="P196" s="39"/>
      <c r="Q196" s="39"/>
      <c r="R196" s="39"/>
      <c r="S196" s="39"/>
      <c r="T196" s="39"/>
      <c r="U196" s="39"/>
      <c r="V196" s="39"/>
      <c r="W196" s="39"/>
      <c r="X196" s="39"/>
      <c r="Y196" s="39"/>
      <c r="Z196" s="39"/>
      <c r="AA196" s="39"/>
      <c r="AB196" s="39"/>
      <c r="AC196" s="35">
        <f t="shared" si="96"/>
        <v>0</v>
      </c>
      <c r="AD196" s="40"/>
      <c r="AE196" s="40"/>
      <c r="AF196" s="40"/>
      <c r="AG196" s="40"/>
      <c r="AH196" s="40"/>
      <c r="AI196" s="40"/>
      <c r="AJ196" s="40"/>
      <c r="AK196" s="40"/>
      <c r="AL196" s="40"/>
      <c r="AM196" s="40"/>
      <c r="AN196" s="40"/>
      <c r="AO196" s="40"/>
      <c r="AP196" s="40"/>
      <c r="AQ196" s="40"/>
      <c r="AR196" s="40"/>
      <c r="AS196" s="40"/>
      <c r="AT196" s="41"/>
      <c r="AU196" s="1806"/>
      <c r="AV196" s="1517">
        <f t="shared" si="120"/>
        <v>0</v>
      </c>
      <c r="AW196" s="1517">
        <f t="shared" si="121"/>
        <v>0</v>
      </c>
      <c r="AX196" s="1517">
        <f t="shared" si="122"/>
        <v>0</v>
      </c>
      <c r="AY196" s="42">
        <f t="shared" si="97"/>
        <v>0</v>
      </c>
      <c r="AZ196" s="35">
        <f t="shared" si="98"/>
        <v>0</v>
      </c>
      <c r="BA196" s="35">
        <f t="shared" si="99"/>
        <v>0</v>
      </c>
      <c r="BB196" s="35">
        <f t="shared" si="100"/>
        <v>0</v>
      </c>
      <c r="BC196" s="35">
        <f t="shared" si="101"/>
        <v>0</v>
      </c>
      <c r="BD196" s="35">
        <f t="shared" si="102"/>
        <v>0</v>
      </c>
      <c r="BE196" s="35">
        <f t="shared" si="103"/>
        <v>0</v>
      </c>
      <c r="BF196" s="35">
        <f t="shared" si="104"/>
        <v>0</v>
      </c>
      <c r="BG196" s="35">
        <f t="shared" si="105"/>
        <v>0</v>
      </c>
      <c r="BH196" s="35">
        <f t="shared" si="106"/>
        <v>0</v>
      </c>
      <c r="BI196" s="35">
        <f t="shared" si="107"/>
        <v>0</v>
      </c>
      <c r="BJ196" s="35">
        <f t="shared" si="108"/>
        <v>0</v>
      </c>
      <c r="BK196" s="35">
        <f t="shared" si="109"/>
        <v>0</v>
      </c>
      <c r="BL196" s="35">
        <f t="shared" si="110"/>
        <v>0</v>
      </c>
      <c r="BM196" s="35">
        <f t="shared" si="111"/>
        <v>0</v>
      </c>
      <c r="BN196" s="35">
        <f t="shared" si="112"/>
        <v>0</v>
      </c>
      <c r="BO196" s="35">
        <f t="shared" si="113"/>
        <v>0</v>
      </c>
      <c r="BP196" s="35">
        <f t="shared" si="114"/>
        <v>0</v>
      </c>
      <c r="BQ196" s="35">
        <f t="shared" si="115"/>
        <v>0</v>
      </c>
      <c r="BR196" s="35">
        <f t="shared" si="116"/>
        <v>0</v>
      </c>
      <c r="BS196" s="35">
        <f t="shared" si="117"/>
        <v>0</v>
      </c>
      <c r="BT196" s="43">
        <f t="shared" si="118"/>
        <v>0</v>
      </c>
    </row>
    <row r="197" spans="1:72">
      <c r="A197" s="9"/>
      <c r="B197" s="34"/>
      <c r="C197" s="34"/>
      <c r="D197" s="1805"/>
      <c r="E197" s="35">
        <f t="shared" si="119"/>
        <v>0</v>
      </c>
      <c r="F197" s="36"/>
      <c r="G197" s="37">
        <f t="shared" si="94"/>
        <v>0</v>
      </c>
      <c r="H197" s="38">
        <f t="shared" si="95"/>
        <v>0</v>
      </c>
      <c r="I197" s="39"/>
      <c r="J197" s="39"/>
      <c r="K197" s="39"/>
      <c r="L197" s="39"/>
      <c r="M197" s="39"/>
      <c r="N197" s="39"/>
      <c r="O197" s="39"/>
      <c r="P197" s="39"/>
      <c r="Q197" s="39"/>
      <c r="R197" s="39"/>
      <c r="S197" s="39"/>
      <c r="T197" s="39"/>
      <c r="U197" s="39"/>
      <c r="V197" s="39"/>
      <c r="W197" s="39"/>
      <c r="X197" s="39"/>
      <c r="Y197" s="39"/>
      <c r="Z197" s="39"/>
      <c r="AA197" s="39"/>
      <c r="AB197" s="39"/>
      <c r="AC197" s="35">
        <f t="shared" si="96"/>
        <v>0</v>
      </c>
      <c r="AD197" s="40"/>
      <c r="AE197" s="40"/>
      <c r="AF197" s="40"/>
      <c r="AG197" s="40"/>
      <c r="AH197" s="40"/>
      <c r="AI197" s="40"/>
      <c r="AJ197" s="40"/>
      <c r="AK197" s="40"/>
      <c r="AL197" s="40"/>
      <c r="AM197" s="40"/>
      <c r="AN197" s="40"/>
      <c r="AO197" s="40"/>
      <c r="AP197" s="40"/>
      <c r="AQ197" s="40"/>
      <c r="AR197" s="40"/>
      <c r="AS197" s="40"/>
      <c r="AT197" s="41"/>
      <c r="AU197" s="1806"/>
      <c r="AV197" s="1517">
        <f t="shared" si="120"/>
        <v>0</v>
      </c>
      <c r="AW197" s="1517">
        <f t="shared" si="121"/>
        <v>0</v>
      </c>
      <c r="AX197" s="1517">
        <f t="shared" si="122"/>
        <v>0</v>
      </c>
      <c r="AY197" s="42">
        <f t="shared" si="97"/>
        <v>0</v>
      </c>
      <c r="AZ197" s="35">
        <f t="shared" si="98"/>
        <v>0</v>
      </c>
      <c r="BA197" s="35">
        <f t="shared" si="99"/>
        <v>0</v>
      </c>
      <c r="BB197" s="35">
        <f t="shared" si="100"/>
        <v>0</v>
      </c>
      <c r="BC197" s="35">
        <f t="shared" si="101"/>
        <v>0</v>
      </c>
      <c r="BD197" s="35">
        <f t="shared" si="102"/>
        <v>0</v>
      </c>
      <c r="BE197" s="35">
        <f t="shared" si="103"/>
        <v>0</v>
      </c>
      <c r="BF197" s="35">
        <f t="shared" si="104"/>
        <v>0</v>
      </c>
      <c r="BG197" s="35">
        <f t="shared" si="105"/>
        <v>0</v>
      </c>
      <c r="BH197" s="35">
        <f t="shared" si="106"/>
        <v>0</v>
      </c>
      <c r="BI197" s="35">
        <f t="shared" si="107"/>
        <v>0</v>
      </c>
      <c r="BJ197" s="35">
        <f t="shared" si="108"/>
        <v>0</v>
      </c>
      <c r="BK197" s="35">
        <f t="shared" si="109"/>
        <v>0</v>
      </c>
      <c r="BL197" s="35">
        <f t="shared" si="110"/>
        <v>0</v>
      </c>
      <c r="BM197" s="35">
        <f t="shared" si="111"/>
        <v>0</v>
      </c>
      <c r="BN197" s="35">
        <f t="shared" si="112"/>
        <v>0</v>
      </c>
      <c r="BO197" s="35">
        <f t="shared" si="113"/>
        <v>0</v>
      </c>
      <c r="BP197" s="35">
        <f t="shared" si="114"/>
        <v>0</v>
      </c>
      <c r="BQ197" s="35">
        <f t="shared" si="115"/>
        <v>0</v>
      </c>
      <c r="BR197" s="35">
        <f t="shared" si="116"/>
        <v>0</v>
      </c>
      <c r="BS197" s="35">
        <f t="shared" si="117"/>
        <v>0</v>
      </c>
      <c r="BT197" s="43">
        <f t="shared" si="118"/>
        <v>0</v>
      </c>
    </row>
    <row r="198" spans="1:72">
      <c r="A198" s="9"/>
      <c r="B198" s="34"/>
      <c r="C198" s="34"/>
      <c r="D198" s="1805"/>
      <c r="E198" s="35">
        <f t="shared" si="119"/>
        <v>0</v>
      </c>
      <c r="F198" s="36"/>
      <c r="G198" s="37">
        <f t="shared" si="94"/>
        <v>0</v>
      </c>
      <c r="H198" s="38">
        <f t="shared" si="95"/>
        <v>0</v>
      </c>
      <c r="I198" s="39"/>
      <c r="J198" s="39"/>
      <c r="K198" s="39"/>
      <c r="L198" s="39"/>
      <c r="M198" s="39"/>
      <c r="N198" s="39"/>
      <c r="O198" s="39"/>
      <c r="P198" s="39"/>
      <c r="Q198" s="39"/>
      <c r="R198" s="39"/>
      <c r="S198" s="39"/>
      <c r="T198" s="39"/>
      <c r="U198" s="39"/>
      <c r="V198" s="39"/>
      <c r="W198" s="39"/>
      <c r="X198" s="39"/>
      <c r="Y198" s="39"/>
      <c r="Z198" s="39"/>
      <c r="AA198" s="39"/>
      <c r="AB198" s="39"/>
      <c r="AC198" s="35">
        <f t="shared" si="96"/>
        <v>0</v>
      </c>
      <c r="AD198" s="40"/>
      <c r="AE198" s="40"/>
      <c r="AF198" s="40"/>
      <c r="AG198" s="40"/>
      <c r="AH198" s="40"/>
      <c r="AI198" s="40"/>
      <c r="AJ198" s="40"/>
      <c r="AK198" s="40"/>
      <c r="AL198" s="40"/>
      <c r="AM198" s="40"/>
      <c r="AN198" s="40"/>
      <c r="AO198" s="40"/>
      <c r="AP198" s="40"/>
      <c r="AQ198" s="40"/>
      <c r="AR198" s="40"/>
      <c r="AS198" s="40"/>
      <c r="AT198" s="41"/>
      <c r="AU198" s="1806"/>
      <c r="AV198" s="1517">
        <f t="shared" si="120"/>
        <v>0</v>
      </c>
      <c r="AW198" s="1517">
        <f t="shared" si="121"/>
        <v>0</v>
      </c>
      <c r="AX198" s="1517">
        <f t="shared" si="122"/>
        <v>0</v>
      </c>
      <c r="AY198" s="42">
        <f t="shared" si="97"/>
        <v>0</v>
      </c>
      <c r="AZ198" s="35">
        <f t="shared" si="98"/>
        <v>0</v>
      </c>
      <c r="BA198" s="35">
        <f t="shared" si="99"/>
        <v>0</v>
      </c>
      <c r="BB198" s="35">
        <f t="shared" si="100"/>
        <v>0</v>
      </c>
      <c r="BC198" s="35">
        <f t="shared" si="101"/>
        <v>0</v>
      </c>
      <c r="BD198" s="35">
        <f t="shared" si="102"/>
        <v>0</v>
      </c>
      <c r="BE198" s="35">
        <f t="shared" si="103"/>
        <v>0</v>
      </c>
      <c r="BF198" s="35">
        <f t="shared" si="104"/>
        <v>0</v>
      </c>
      <c r="BG198" s="35">
        <f t="shared" si="105"/>
        <v>0</v>
      </c>
      <c r="BH198" s="35">
        <f t="shared" si="106"/>
        <v>0</v>
      </c>
      <c r="BI198" s="35">
        <f t="shared" si="107"/>
        <v>0</v>
      </c>
      <c r="BJ198" s="35">
        <f t="shared" si="108"/>
        <v>0</v>
      </c>
      <c r="BK198" s="35">
        <f t="shared" si="109"/>
        <v>0</v>
      </c>
      <c r="BL198" s="35">
        <f t="shared" si="110"/>
        <v>0</v>
      </c>
      <c r="BM198" s="35">
        <f t="shared" si="111"/>
        <v>0</v>
      </c>
      <c r="BN198" s="35">
        <f t="shared" si="112"/>
        <v>0</v>
      </c>
      <c r="BO198" s="35">
        <f t="shared" si="113"/>
        <v>0</v>
      </c>
      <c r="BP198" s="35">
        <f t="shared" si="114"/>
        <v>0</v>
      </c>
      <c r="BQ198" s="35">
        <f t="shared" si="115"/>
        <v>0</v>
      </c>
      <c r="BR198" s="35">
        <f t="shared" si="116"/>
        <v>0</v>
      </c>
      <c r="BS198" s="35">
        <f t="shared" si="117"/>
        <v>0</v>
      </c>
      <c r="BT198" s="43">
        <f t="shared" si="118"/>
        <v>0</v>
      </c>
    </row>
    <row r="199" spans="1:72">
      <c r="A199" s="9"/>
      <c r="B199" s="34"/>
      <c r="C199" s="34"/>
      <c r="D199" s="1805"/>
      <c r="E199" s="35">
        <f t="shared" si="119"/>
        <v>0</v>
      </c>
      <c r="F199" s="36"/>
      <c r="G199" s="37">
        <f t="shared" si="94"/>
        <v>0</v>
      </c>
      <c r="H199" s="38">
        <f t="shared" si="95"/>
        <v>0</v>
      </c>
      <c r="I199" s="39"/>
      <c r="J199" s="39"/>
      <c r="K199" s="39"/>
      <c r="L199" s="39"/>
      <c r="M199" s="39"/>
      <c r="N199" s="39"/>
      <c r="O199" s="39"/>
      <c r="P199" s="39"/>
      <c r="Q199" s="39"/>
      <c r="R199" s="39"/>
      <c r="S199" s="39"/>
      <c r="T199" s="39"/>
      <c r="U199" s="39"/>
      <c r="V199" s="39"/>
      <c r="W199" s="39"/>
      <c r="X199" s="39"/>
      <c r="Y199" s="39"/>
      <c r="Z199" s="39"/>
      <c r="AA199" s="39"/>
      <c r="AB199" s="39"/>
      <c r="AC199" s="35">
        <f t="shared" si="96"/>
        <v>0</v>
      </c>
      <c r="AD199" s="40"/>
      <c r="AE199" s="40"/>
      <c r="AF199" s="40"/>
      <c r="AG199" s="40"/>
      <c r="AH199" s="40"/>
      <c r="AI199" s="40"/>
      <c r="AJ199" s="40"/>
      <c r="AK199" s="40"/>
      <c r="AL199" s="40"/>
      <c r="AM199" s="40"/>
      <c r="AN199" s="40"/>
      <c r="AO199" s="40"/>
      <c r="AP199" s="40"/>
      <c r="AQ199" s="40"/>
      <c r="AR199" s="40"/>
      <c r="AS199" s="40"/>
      <c r="AT199" s="41"/>
      <c r="AU199" s="1806"/>
      <c r="AV199" s="1517">
        <f t="shared" si="120"/>
        <v>0</v>
      </c>
      <c r="AW199" s="1517">
        <f t="shared" si="121"/>
        <v>0</v>
      </c>
      <c r="AX199" s="1517">
        <f t="shared" si="122"/>
        <v>0</v>
      </c>
      <c r="AY199" s="42">
        <f t="shared" si="97"/>
        <v>0</v>
      </c>
      <c r="AZ199" s="35">
        <f t="shared" si="98"/>
        <v>0</v>
      </c>
      <c r="BA199" s="35">
        <f t="shared" si="99"/>
        <v>0</v>
      </c>
      <c r="BB199" s="35">
        <f t="shared" si="100"/>
        <v>0</v>
      </c>
      <c r="BC199" s="35">
        <f t="shared" si="101"/>
        <v>0</v>
      </c>
      <c r="BD199" s="35">
        <f t="shared" si="102"/>
        <v>0</v>
      </c>
      <c r="BE199" s="35">
        <f t="shared" si="103"/>
        <v>0</v>
      </c>
      <c r="BF199" s="35">
        <f t="shared" si="104"/>
        <v>0</v>
      </c>
      <c r="BG199" s="35">
        <f t="shared" si="105"/>
        <v>0</v>
      </c>
      <c r="BH199" s="35">
        <f t="shared" si="106"/>
        <v>0</v>
      </c>
      <c r="BI199" s="35">
        <f t="shared" si="107"/>
        <v>0</v>
      </c>
      <c r="BJ199" s="35">
        <f t="shared" si="108"/>
        <v>0</v>
      </c>
      <c r="BK199" s="35">
        <f t="shared" si="109"/>
        <v>0</v>
      </c>
      <c r="BL199" s="35">
        <f t="shared" si="110"/>
        <v>0</v>
      </c>
      <c r="BM199" s="35">
        <f t="shared" si="111"/>
        <v>0</v>
      </c>
      <c r="BN199" s="35">
        <f t="shared" si="112"/>
        <v>0</v>
      </c>
      <c r="BO199" s="35">
        <f t="shared" si="113"/>
        <v>0</v>
      </c>
      <c r="BP199" s="35">
        <f t="shared" si="114"/>
        <v>0</v>
      </c>
      <c r="BQ199" s="35">
        <f t="shared" si="115"/>
        <v>0</v>
      </c>
      <c r="BR199" s="35">
        <f t="shared" si="116"/>
        <v>0</v>
      </c>
      <c r="BS199" s="35">
        <f t="shared" si="117"/>
        <v>0</v>
      </c>
      <c r="BT199" s="43">
        <f t="shared" si="118"/>
        <v>0</v>
      </c>
    </row>
    <row r="200" spans="1:72">
      <c r="A200" s="9"/>
      <c r="B200" s="34"/>
      <c r="C200" s="34"/>
      <c r="D200" s="1805"/>
      <c r="E200" s="35">
        <f t="shared" si="119"/>
        <v>0</v>
      </c>
      <c r="F200" s="36"/>
      <c r="G200" s="37">
        <f t="shared" si="94"/>
        <v>0</v>
      </c>
      <c r="H200" s="38">
        <f t="shared" si="95"/>
        <v>0</v>
      </c>
      <c r="I200" s="39"/>
      <c r="J200" s="39"/>
      <c r="K200" s="39"/>
      <c r="L200" s="39"/>
      <c r="M200" s="39"/>
      <c r="N200" s="39"/>
      <c r="O200" s="39"/>
      <c r="P200" s="39"/>
      <c r="Q200" s="39"/>
      <c r="R200" s="39"/>
      <c r="S200" s="39"/>
      <c r="T200" s="39"/>
      <c r="U200" s="39"/>
      <c r="V200" s="39"/>
      <c r="W200" s="39"/>
      <c r="X200" s="39"/>
      <c r="Y200" s="39"/>
      <c r="Z200" s="39"/>
      <c r="AA200" s="39"/>
      <c r="AB200" s="39"/>
      <c r="AC200" s="35">
        <f t="shared" si="96"/>
        <v>0</v>
      </c>
      <c r="AD200" s="40"/>
      <c r="AE200" s="40"/>
      <c r="AF200" s="40"/>
      <c r="AG200" s="40"/>
      <c r="AH200" s="40"/>
      <c r="AI200" s="40"/>
      <c r="AJ200" s="40"/>
      <c r="AK200" s="40"/>
      <c r="AL200" s="40"/>
      <c r="AM200" s="40"/>
      <c r="AN200" s="40"/>
      <c r="AO200" s="40"/>
      <c r="AP200" s="40"/>
      <c r="AQ200" s="40"/>
      <c r="AR200" s="40"/>
      <c r="AS200" s="40"/>
      <c r="AT200" s="41"/>
      <c r="AU200" s="1806"/>
      <c r="AV200" s="1517">
        <f t="shared" si="120"/>
        <v>0</v>
      </c>
      <c r="AW200" s="1517">
        <f t="shared" si="121"/>
        <v>0</v>
      </c>
      <c r="AX200" s="1517">
        <f t="shared" si="122"/>
        <v>0</v>
      </c>
      <c r="AY200" s="42">
        <f t="shared" si="97"/>
        <v>0</v>
      </c>
      <c r="AZ200" s="35">
        <f t="shared" si="98"/>
        <v>0</v>
      </c>
      <c r="BA200" s="35">
        <f t="shared" si="99"/>
        <v>0</v>
      </c>
      <c r="BB200" s="35">
        <f t="shared" si="100"/>
        <v>0</v>
      </c>
      <c r="BC200" s="35">
        <f t="shared" si="101"/>
        <v>0</v>
      </c>
      <c r="BD200" s="35">
        <f t="shared" si="102"/>
        <v>0</v>
      </c>
      <c r="BE200" s="35">
        <f t="shared" si="103"/>
        <v>0</v>
      </c>
      <c r="BF200" s="35">
        <f t="shared" si="104"/>
        <v>0</v>
      </c>
      <c r="BG200" s="35">
        <f t="shared" si="105"/>
        <v>0</v>
      </c>
      <c r="BH200" s="35">
        <f t="shared" si="106"/>
        <v>0</v>
      </c>
      <c r="BI200" s="35">
        <f t="shared" si="107"/>
        <v>0</v>
      </c>
      <c r="BJ200" s="35">
        <f t="shared" si="108"/>
        <v>0</v>
      </c>
      <c r="BK200" s="35">
        <f t="shared" si="109"/>
        <v>0</v>
      </c>
      <c r="BL200" s="35">
        <f t="shared" si="110"/>
        <v>0</v>
      </c>
      <c r="BM200" s="35">
        <f t="shared" si="111"/>
        <v>0</v>
      </c>
      <c r="BN200" s="35">
        <f t="shared" si="112"/>
        <v>0</v>
      </c>
      <c r="BO200" s="35">
        <f t="shared" si="113"/>
        <v>0</v>
      </c>
      <c r="BP200" s="35">
        <f t="shared" si="114"/>
        <v>0</v>
      </c>
      <c r="BQ200" s="35">
        <f t="shared" si="115"/>
        <v>0</v>
      </c>
      <c r="BR200" s="35">
        <f t="shared" si="116"/>
        <v>0</v>
      </c>
      <c r="BS200" s="35">
        <f t="shared" si="117"/>
        <v>0</v>
      </c>
      <c r="BT200" s="43">
        <f t="shared" si="118"/>
        <v>0</v>
      </c>
    </row>
    <row r="201" spans="1:72">
      <c r="A201" s="9"/>
      <c r="B201" s="34"/>
      <c r="C201" s="34"/>
      <c r="D201" s="1805"/>
      <c r="E201" s="35">
        <f t="shared" si="119"/>
        <v>0</v>
      </c>
      <c r="F201" s="36"/>
      <c r="G201" s="37">
        <f t="shared" si="94"/>
        <v>0</v>
      </c>
      <c r="H201" s="38">
        <f t="shared" si="95"/>
        <v>0</v>
      </c>
      <c r="I201" s="39"/>
      <c r="J201" s="39"/>
      <c r="K201" s="39"/>
      <c r="L201" s="39"/>
      <c r="M201" s="39"/>
      <c r="N201" s="39"/>
      <c r="O201" s="39"/>
      <c r="P201" s="39"/>
      <c r="Q201" s="39"/>
      <c r="R201" s="39"/>
      <c r="S201" s="39"/>
      <c r="T201" s="39"/>
      <c r="U201" s="39"/>
      <c r="V201" s="39"/>
      <c r="W201" s="39"/>
      <c r="X201" s="39"/>
      <c r="Y201" s="39"/>
      <c r="Z201" s="39"/>
      <c r="AA201" s="39"/>
      <c r="AB201" s="39"/>
      <c r="AC201" s="35">
        <f t="shared" si="96"/>
        <v>0</v>
      </c>
      <c r="AD201" s="40"/>
      <c r="AE201" s="40"/>
      <c r="AF201" s="40"/>
      <c r="AG201" s="40"/>
      <c r="AH201" s="40"/>
      <c r="AI201" s="40"/>
      <c r="AJ201" s="40"/>
      <c r="AK201" s="40"/>
      <c r="AL201" s="40"/>
      <c r="AM201" s="40"/>
      <c r="AN201" s="40"/>
      <c r="AO201" s="40"/>
      <c r="AP201" s="40"/>
      <c r="AQ201" s="40"/>
      <c r="AR201" s="40"/>
      <c r="AS201" s="40"/>
      <c r="AT201" s="41"/>
      <c r="AU201" s="1806"/>
      <c r="AV201" s="1517">
        <f t="shared" si="120"/>
        <v>0</v>
      </c>
      <c r="AW201" s="1517">
        <f t="shared" si="121"/>
        <v>0</v>
      </c>
      <c r="AX201" s="1517">
        <f t="shared" si="122"/>
        <v>0</v>
      </c>
      <c r="AY201" s="42">
        <f t="shared" si="97"/>
        <v>0</v>
      </c>
      <c r="AZ201" s="35">
        <f t="shared" si="98"/>
        <v>0</v>
      </c>
      <c r="BA201" s="35">
        <f t="shared" si="99"/>
        <v>0</v>
      </c>
      <c r="BB201" s="35">
        <f t="shared" si="100"/>
        <v>0</v>
      </c>
      <c r="BC201" s="35">
        <f t="shared" si="101"/>
        <v>0</v>
      </c>
      <c r="BD201" s="35">
        <f t="shared" si="102"/>
        <v>0</v>
      </c>
      <c r="BE201" s="35">
        <f t="shared" si="103"/>
        <v>0</v>
      </c>
      <c r="BF201" s="35">
        <f t="shared" si="104"/>
        <v>0</v>
      </c>
      <c r="BG201" s="35">
        <f t="shared" si="105"/>
        <v>0</v>
      </c>
      <c r="BH201" s="35">
        <f t="shared" si="106"/>
        <v>0</v>
      </c>
      <c r="BI201" s="35">
        <f t="shared" si="107"/>
        <v>0</v>
      </c>
      <c r="BJ201" s="35">
        <f t="shared" si="108"/>
        <v>0</v>
      </c>
      <c r="BK201" s="35">
        <f t="shared" si="109"/>
        <v>0</v>
      </c>
      <c r="BL201" s="35">
        <f t="shared" si="110"/>
        <v>0</v>
      </c>
      <c r="BM201" s="35">
        <f t="shared" si="111"/>
        <v>0</v>
      </c>
      <c r="BN201" s="35">
        <f t="shared" si="112"/>
        <v>0</v>
      </c>
      <c r="BO201" s="35">
        <f t="shared" si="113"/>
        <v>0</v>
      </c>
      <c r="BP201" s="35">
        <f t="shared" si="114"/>
        <v>0</v>
      </c>
      <c r="BQ201" s="35">
        <f t="shared" si="115"/>
        <v>0</v>
      </c>
      <c r="BR201" s="35">
        <f t="shared" si="116"/>
        <v>0</v>
      </c>
      <c r="BS201" s="35">
        <f t="shared" si="117"/>
        <v>0</v>
      </c>
      <c r="BT201" s="43">
        <f t="shared" si="118"/>
        <v>0</v>
      </c>
    </row>
    <row r="202" spans="1:72">
      <c r="A202" s="9"/>
      <c r="B202" s="34"/>
      <c r="C202" s="34"/>
      <c r="D202" s="1805"/>
      <c r="E202" s="35">
        <f t="shared" si="119"/>
        <v>0</v>
      </c>
      <c r="F202" s="36"/>
      <c r="G202" s="37">
        <f t="shared" si="94"/>
        <v>0</v>
      </c>
      <c r="H202" s="38">
        <f t="shared" si="95"/>
        <v>0</v>
      </c>
      <c r="I202" s="39"/>
      <c r="J202" s="39"/>
      <c r="K202" s="39"/>
      <c r="L202" s="39"/>
      <c r="M202" s="39"/>
      <c r="N202" s="39"/>
      <c r="O202" s="39"/>
      <c r="P202" s="39"/>
      <c r="Q202" s="39"/>
      <c r="R202" s="39"/>
      <c r="S202" s="39"/>
      <c r="T202" s="39"/>
      <c r="U202" s="39"/>
      <c r="V202" s="39"/>
      <c r="W202" s="39"/>
      <c r="X202" s="39"/>
      <c r="Y202" s="39"/>
      <c r="Z202" s="39"/>
      <c r="AA202" s="39"/>
      <c r="AB202" s="39"/>
      <c r="AC202" s="35">
        <f t="shared" si="96"/>
        <v>0</v>
      </c>
      <c r="AD202" s="40"/>
      <c r="AE202" s="40"/>
      <c r="AF202" s="40"/>
      <c r="AG202" s="40"/>
      <c r="AH202" s="40"/>
      <c r="AI202" s="40"/>
      <c r="AJ202" s="40"/>
      <c r="AK202" s="40"/>
      <c r="AL202" s="40"/>
      <c r="AM202" s="40"/>
      <c r="AN202" s="40"/>
      <c r="AO202" s="40"/>
      <c r="AP202" s="40"/>
      <c r="AQ202" s="40"/>
      <c r="AR202" s="40"/>
      <c r="AS202" s="40"/>
      <c r="AT202" s="41"/>
      <c r="AU202" s="1806"/>
      <c r="AV202" s="1517">
        <f t="shared" si="120"/>
        <v>0</v>
      </c>
      <c r="AW202" s="1517">
        <f t="shared" si="121"/>
        <v>0</v>
      </c>
      <c r="AX202" s="1517">
        <f t="shared" si="122"/>
        <v>0</v>
      </c>
      <c r="AY202" s="42">
        <f t="shared" si="97"/>
        <v>0</v>
      </c>
      <c r="AZ202" s="35">
        <f t="shared" si="98"/>
        <v>0</v>
      </c>
      <c r="BA202" s="35">
        <f t="shared" si="99"/>
        <v>0</v>
      </c>
      <c r="BB202" s="35">
        <f t="shared" si="100"/>
        <v>0</v>
      </c>
      <c r="BC202" s="35">
        <f t="shared" si="101"/>
        <v>0</v>
      </c>
      <c r="BD202" s="35">
        <f t="shared" si="102"/>
        <v>0</v>
      </c>
      <c r="BE202" s="35">
        <f t="shared" si="103"/>
        <v>0</v>
      </c>
      <c r="BF202" s="35">
        <f t="shared" si="104"/>
        <v>0</v>
      </c>
      <c r="BG202" s="35">
        <f t="shared" si="105"/>
        <v>0</v>
      </c>
      <c r="BH202" s="35">
        <f t="shared" si="106"/>
        <v>0</v>
      </c>
      <c r="BI202" s="35">
        <f t="shared" si="107"/>
        <v>0</v>
      </c>
      <c r="BJ202" s="35">
        <f t="shared" si="108"/>
        <v>0</v>
      </c>
      <c r="BK202" s="35">
        <f t="shared" si="109"/>
        <v>0</v>
      </c>
      <c r="BL202" s="35">
        <f t="shared" si="110"/>
        <v>0</v>
      </c>
      <c r="BM202" s="35">
        <f t="shared" si="111"/>
        <v>0</v>
      </c>
      <c r="BN202" s="35">
        <f t="shared" si="112"/>
        <v>0</v>
      </c>
      <c r="BO202" s="35">
        <f t="shared" si="113"/>
        <v>0</v>
      </c>
      <c r="BP202" s="35">
        <f t="shared" si="114"/>
        <v>0</v>
      </c>
      <c r="BQ202" s="35">
        <f t="shared" si="115"/>
        <v>0</v>
      </c>
      <c r="BR202" s="35">
        <f t="shared" si="116"/>
        <v>0</v>
      </c>
      <c r="BS202" s="35">
        <f t="shared" si="117"/>
        <v>0</v>
      </c>
      <c r="BT202" s="43">
        <f t="shared" si="118"/>
        <v>0</v>
      </c>
    </row>
    <row r="203" spans="1:72">
      <c r="A203" s="9"/>
      <c r="B203" s="34"/>
      <c r="C203" s="34"/>
      <c r="D203" s="1805"/>
      <c r="E203" s="35">
        <f t="shared" si="119"/>
        <v>0</v>
      </c>
      <c r="F203" s="36"/>
      <c r="G203" s="37">
        <f t="shared" si="94"/>
        <v>0</v>
      </c>
      <c r="H203" s="38">
        <f t="shared" si="95"/>
        <v>0</v>
      </c>
      <c r="I203" s="39"/>
      <c r="J203" s="39"/>
      <c r="K203" s="39"/>
      <c r="L203" s="39"/>
      <c r="M203" s="39"/>
      <c r="N203" s="39"/>
      <c r="O203" s="39"/>
      <c r="P203" s="39"/>
      <c r="Q203" s="39"/>
      <c r="R203" s="39"/>
      <c r="S203" s="39"/>
      <c r="T203" s="39"/>
      <c r="U203" s="39"/>
      <c r="V203" s="39"/>
      <c r="W203" s="39"/>
      <c r="X203" s="39"/>
      <c r="Y203" s="39"/>
      <c r="Z203" s="39"/>
      <c r="AA203" s="39"/>
      <c r="AB203" s="39"/>
      <c r="AC203" s="35">
        <f t="shared" si="96"/>
        <v>0</v>
      </c>
      <c r="AD203" s="40"/>
      <c r="AE203" s="40"/>
      <c r="AF203" s="40"/>
      <c r="AG203" s="40"/>
      <c r="AH203" s="40"/>
      <c r="AI203" s="40"/>
      <c r="AJ203" s="40"/>
      <c r="AK203" s="40"/>
      <c r="AL203" s="40"/>
      <c r="AM203" s="40"/>
      <c r="AN203" s="40"/>
      <c r="AO203" s="40"/>
      <c r="AP203" s="40"/>
      <c r="AQ203" s="40"/>
      <c r="AR203" s="40"/>
      <c r="AS203" s="40"/>
      <c r="AT203" s="41"/>
      <c r="AU203" s="1806"/>
      <c r="AV203" s="1517">
        <f t="shared" si="120"/>
        <v>0</v>
      </c>
      <c r="AW203" s="1517">
        <f t="shared" si="121"/>
        <v>0</v>
      </c>
      <c r="AX203" s="1517">
        <f t="shared" si="122"/>
        <v>0</v>
      </c>
      <c r="AY203" s="42">
        <f t="shared" si="97"/>
        <v>0</v>
      </c>
      <c r="AZ203" s="35">
        <f t="shared" si="98"/>
        <v>0</v>
      </c>
      <c r="BA203" s="35">
        <f t="shared" si="99"/>
        <v>0</v>
      </c>
      <c r="BB203" s="35">
        <f t="shared" si="100"/>
        <v>0</v>
      </c>
      <c r="BC203" s="35">
        <f t="shared" si="101"/>
        <v>0</v>
      </c>
      <c r="BD203" s="35">
        <f t="shared" si="102"/>
        <v>0</v>
      </c>
      <c r="BE203" s="35">
        <f t="shared" si="103"/>
        <v>0</v>
      </c>
      <c r="BF203" s="35">
        <f t="shared" si="104"/>
        <v>0</v>
      </c>
      <c r="BG203" s="35">
        <f t="shared" si="105"/>
        <v>0</v>
      </c>
      <c r="BH203" s="35">
        <f t="shared" si="106"/>
        <v>0</v>
      </c>
      <c r="BI203" s="35">
        <f t="shared" si="107"/>
        <v>0</v>
      </c>
      <c r="BJ203" s="35">
        <f t="shared" si="108"/>
        <v>0</v>
      </c>
      <c r="BK203" s="35">
        <f t="shared" si="109"/>
        <v>0</v>
      </c>
      <c r="BL203" s="35">
        <f t="shared" si="110"/>
        <v>0</v>
      </c>
      <c r="BM203" s="35">
        <f t="shared" si="111"/>
        <v>0</v>
      </c>
      <c r="BN203" s="35">
        <f t="shared" si="112"/>
        <v>0</v>
      </c>
      <c r="BO203" s="35">
        <f t="shared" si="113"/>
        <v>0</v>
      </c>
      <c r="BP203" s="35">
        <f t="shared" si="114"/>
        <v>0</v>
      </c>
      <c r="BQ203" s="35">
        <f t="shared" si="115"/>
        <v>0</v>
      </c>
      <c r="BR203" s="35">
        <f t="shared" si="116"/>
        <v>0</v>
      </c>
      <c r="BS203" s="35">
        <f t="shared" si="117"/>
        <v>0</v>
      </c>
      <c r="BT203" s="43">
        <f t="shared" si="118"/>
        <v>0</v>
      </c>
    </row>
    <row r="204" spans="1:72">
      <c r="A204" s="9"/>
      <c r="B204" s="34"/>
      <c r="C204" s="34"/>
      <c r="D204" s="1805"/>
      <c r="E204" s="35">
        <f t="shared" si="119"/>
        <v>0</v>
      </c>
      <c r="F204" s="36"/>
      <c r="G204" s="37">
        <f t="shared" si="94"/>
        <v>0</v>
      </c>
      <c r="H204" s="38">
        <f t="shared" si="95"/>
        <v>0</v>
      </c>
      <c r="I204" s="39"/>
      <c r="J204" s="39"/>
      <c r="K204" s="39"/>
      <c r="L204" s="39"/>
      <c r="M204" s="39"/>
      <c r="N204" s="39"/>
      <c r="O204" s="39"/>
      <c r="P204" s="39"/>
      <c r="Q204" s="39"/>
      <c r="R204" s="39"/>
      <c r="S204" s="39"/>
      <c r="T204" s="39"/>
      <c r="U204" s="39"/>
      <c r="V204" s="39"/>
      <c r="W204" s="39"/>
      <c r="X204" s="39"/>
      <c r="Y204" s="39"/>
      <c r="Z204" s="39"/>
      <c r="AA204" s="39"/>
      <c r="AB204" s="39"/>
      <c r="AC204" s="35">
        <f t="shared" si="96"/>
        <v>0</v>
      </c>
      <c r="AD204" s="40"/>
      <c r="AE204" s="40"/>
      <c r="AF204" s="40"/>
      <c r="AG204" s="40"/>
      <c r="AH204" s="40"/>
      <c r="AI204" s="40"/>
      <c r="AJ204" s="40"/>
      <c r="AK204" s="40"/>
      <c r="AL204" s="40"/>
      <c r="AM204" s="40"/>
      <c r="AN204" s="40"/>
      <c r="AO204" s="40"/>
      <c r="AP204" s="40"/>
      <c r="AQ204" s="40"/>
      <c r="AR204" s="40"/>
      <c r="AS204" s="40"/>
      <c r="AT204" s="41"/>
      <c r="AU204" s="1806"/>
      <c r="AV204" s="1517">
        <f t="shared" si="120"/>
        <v>0</v>
      </c>
      <c r="AW204" s="1517">
        <f t="shared" si="121"/>
        <v>0</v>
      </c>
      <c r="AX204" s="1517">
        <f t="shared" si="122"/>
        <v>0</v>
      </c>
      <c r="AY204" s="42">
        <f t="shared" si="97"/>
        <v>0</v>
      </c>
      <c r="AZ204" s="35">
        <f t="shared" si="98"/>
        <v>0</v>
      </c>
      <c r="BA204" s="35">
        <f t="shared" si="99"/>
        <v>0</v>
      </c>
      <c r="BB204" s="35">
        <f t="shared" si="100"/>
        <v>0</v>
      </c>
      <c r="BC204" s="35">
        <f t="shared" si="101"/>
        <v>0</v>
      </c>
      <c r="BD204" s="35">
        <f t="shared" si="102"/>
        <v>0</v>
      </c>
      <c r="BE204" s="35">
        <f t="shared" si="103"/>
        <v>0</v>
      </c>
      <c r="BF204" s="35">
        <f t="shared" si="104"/>
        <v>0</v>
      </c>
      <c r="BG204" s="35">
        <f t="shared" si="105"/>
        <v>0</v>
      </c>
      <c r="BH204" s="35">
        <f t="shared" si="106"/>
        <v>0</v>
      </c>
      <c r="BI204" s="35">
        <f t="shared" si="107"/>
        <v>0</v>
      </c>
      <c r="BJ204" s="35">
        <f t="shared" si="108"/>
        <v>0</v>
      </c>
      <c r="BK204" s="35">
        <f t="shared" si="109"/>
        <v>0</v>
      </c>
      <c r="BL204" s="35">
        <f t="shared" si="110"/>
        <v>0</v>
      </c>
      <c r="BM204" s="35">
        <f t="shared" si="111"/>
        <v>0</v>
      </c>
      <c r="BN204" s="35">
        <f t="shared" si="112"/>
        <v>0</v>
      </c>
      <c r="BO204" s="35">
        <f t="shared" si="113"/>
        <v>0</v>
      </c>
      <c r="BP204" s="35">
        <f t="shared" si="114"/>
        <v>0</v>
      </c>
      <c r="BQ204" s="35">
        <f t="shared" si="115"/>
        <v>0</v>
      </c>
      <c r="BR204" s="35">
        <f t="shared" si="116"/>
        <v>0</v>
      </c>
      <c r="BS204" s="35">
        <f t="shared" si="117"/>
        <v>0</v>
      </c>
      <c r="BT204" s="43">
        <f t="shared" si="118"/>
        <v>0</v>
      </c>
    </row>
    <row r="205" spans="1:72">
      <c r="A205" s="9"/>
      <c r="B205" s="9"/>
      <c r="C205" s="9"/>
      <c r="D205" s="1805"/>
      <c r="E205" s="35">
        <f t="shared" si="119"/>
        <v>0</v>
      </c>
      <c r="F205" s="44"/>
      <c r="G205" s="37">
        <f t="shared" si="94"/>
        <v>0</v>
      </c>
      <c r="H205" s="38">
        <f t="shared" si="95"/>
        <v>0</v>
      </c>
      <c r="I205" s="10"/>
      <c r="J205" s="10"/>
      <c r="K205" s="39"/>
      <c r="L205" s="39"/>
      <c r="M205" s="39"/>
      <c r="N205" s="39"/>
      <c r="O205" s="39"/>
      <c r="P205" s="39"/>
      <c r="Q205" s="39"/>
      <c r="R205" s="39"/>
      <c r="S205" s="39"/>
      <c r="T205" s="39"/>
      <c r="U205" s="39"/>
      <c r="V205" s="39"/>
      <c r="W205" s="39"/>
      <c r="X205" s="39"/>
      <c r="Y205" s="39"/>
      <c r="Z205" s="39"/>
      <c r="AA205" s="39"/>
      <c r="AB205" s="39"/>
      <c r="AC205" s="35">
        <f t="shared" si="96"/>
        <v>0</v>
      </c>
      <c r="AD205" s="40"/>
      <c r="AE205" s="40"/>
      <c r="AF205" s="40"/>
      <c r="AG205" s="40"/>
      <c r="AH205" s="40"/>
      <c r="AI205" s="40"/>
      <c r="AJ205" s="40"/>
      <c r="AK205" s="40"/>
      <c r="AL205" s="40"/>
      <c r="AM205" s="40"/>
      <c r="AN205" s="40"/>
      <c r="AO205" s="40"/>
      <c r="AP205" s="40"/>
      <c r="AQ205" s="40"/>
      <c r="AR205" s="40"/>
      <c r="AS205" s="40"/>
      <c r="AT205" s="40"/>
      <c r="AU205" s="1746"/>
      <c r="AV205" s="1517">
        <f t="shared" si="120"/>
        <v>0</v>
      </c>
      <c r="AW205" s="1517">
        <f t="shared" si="121"/>
        <v>0</v>
      </c>
      <c r="AX205" s="1517">
        <f t="shared" si="122"/>
        <v>0</v>
      </c>
      <c r="AY205" s="42">
        <f t="shared" si="97"/>
        <v>0</v>
      </c>
      <c r="AZ205" s="35">
        <f t="shared" si="98"/>
        <v>0</v>
      </c>
      <c r="BA205" s="35">
        <f t="shared" si="99"/>
        <v>0</v>
      </c>
      <c r="BB205" s="35">
        <f t="shared" si="100"/>
        <v>0</v>
      </c>
      <c r="BC205" s="35">
        <f t="shared" si="101"/>
        <v>0</v>
      </c>
      <c r="BD205" s="35">
        <f t="shared" si="102"/>
        <v>0</v>
      </c>
      <c r="BE205" s="35">
        <f t="shared" si="103"/>
        <v>0</v>
      </c>
      <c r="BF205" s="35">
        <f t="shared" si="104"/>
        <v>0</v>
      </c>
      <c r="BG205" s="35">
        <f t="shared" si="105"/>
        <v>0</v>
      </c>
      <c r="BH205" s="35">
        <f t="shared" si="106"/>
        <v>0</v>
      </c>
      <c r="BI205" s="35">
        <f t="shared" si="107"/>
        <v>0</v>
      </c>
      <c r="BJ205" s="35">
        <f t="shared" si="108"/>
        <v>0</v>
      </c>
      <c r="BK205" s="35">
        <f t="shared" si="109"/>
        <v>0</v>
      </c>
      <c r="BL205" s="35">
        <f t="shared" si="110"/>
        <v>0</v>
      </c>
      <c r="BM205" s="35">
        <f t="shared" si="111"/>
        <v>0</v>
      </c>
      <c r="BN205" s="35">
        <f t="shared" si="112"/>
        <v>0</v>
      </c>
      <c r="BO205" s="35">
        <f t="shared" si="113"/>
        <v>0</v>
      </c>
      <c r="BP205" s="35">
        <f t="shared" si="114"/>
        <v>0</v>
      </c>
      <c r="BQ205" s="35">
        <f t="shared" si="115"/>
        <v>0</v>
      </c>
      <c r="BR205" s="35">
        <f t="shared" si="116"/>
        <v>0</v>
      </c>
      <c r="BS205" s="35">
        <f t="shared" si="117"/>
        <v>0</v>
      </c>
      <c r="BT205" s="43">
        <f t="shared" si="118"/>
        <v>0</v>
      </c>
    </row>
    <row r="206" spans="1:72">
      <c r="A206" s="9"/>
      <c r="B206" s="9"/>
      <c r="C206" s="9"/>
      <c r="D206" s="1805"/>
      <c r="E206" s="35">
        <f t="shared" si="119"/>
        <v>0</v>
      </c>
      <c r="F206" s="44"/>
      <c r="G206" s="37">
        <f>H206+AC206+AT206</f>
        <v>0</v>
      </c>
      <c r="H206" s="38">
        <f>SUMIF(I$12:AB$12,"总值",I206:AB206)</f>
        <v>0</v>
      </c>
      <c r="I206" s="39"/>
      <c r="J206" s="39"/>
      <c r="K206" s="39"/>
      <c r="L206" s="39"/>
      <c r="M206" s="39"/>
      <c r="N206" s="39"/>
      <c r="O206" s="39"/>
      <c r="P206" s="39"/>
      <c r="Q206" s="39"/>
      <c r="R206" s="39"/>
      <c r="S206" s="39"/>
      <c r="T206" s="39"/>
      <c r="U206" s="39"/>
      <c r="V206" s="39"/>
      <c r="W206" s="39"/>
      <c r="X206" s="39"/>
      <c r="Y206" s="39"/>
      <c r="Z206" s="39"/>
      <c r="AA206" s="39"/>
      <c r="AB206" s="39"/>
      <c r="AC206" s="35">
        <f>SUMIF(AD$12:AS$12,"总值",AD206:AS206)</f>
        <v>0</v>
      </c>
      <c r="AD206" s="40"/>
      <c r="AE206" s="40"/>
      <c r="AF206" s="40"/>
      <c r="AG206" s="40"/>
      <c r="AH206" s="40"/>
      <c r="AI206" s="40"/>
      <c r="AJ206" s="40"/>
      <c r="AK206" s="40"/>
      <c r="AL206" s="40"/>
      <c r="AM206" s="40"/>
      <c r="AN206" s="40"/>
      <c r="AO206" s="40"/>
      <c r="AP206" s="40"/>
      <c r="AQ206" s="40"/>
      <c r="AR206" s="40"/>
      <c r="AS206" s="40"/>
      <c r="AT206" s="40"/>
      <c r="AU206" s="1746"/>
      <c r="AV206" s="1517">
        <f t="shared" si="120"/>
        <v>0</v>
      </c>
      <c r="AW206" s="1517">
        <f t="shared" si="121"/>
        <v>0</v>
      </c>
      <c r="AX206" s="1517">
        <f t="shared" si="122"/>
        <v>0</v>
      </c>
      <c r="AY206" s="42">
        <f>ROUND($AY$6*AZ206/$AZ$5,2)</f>
        <v>0</v>
      </c>
      <c r="AZ206" s="35">
        <f>BA206+BL206</f>
        <v>0</v>
      </c>
      <c r="BA206" s="35">
        <f>SUM(BB206:BK206)</f>
        <v>0</v>
      </c>
      <c r="BB206" s="35">
        <f t="shared" si="100"/>
        <v>0</v>
      </c>
      <c r="BC206" s="35">
        <f t="shared" si="101"/>
        <v>0</v>
      </c>
      <c r="BD206" s="35">
        <f t="shared" si="102"/>
        <v>0</v>
      </c>
      <c r="BE206" s="35">
        <f t="shared" si="103"/>
        <v>0</v>
      </c>
      <c r="BF206" s="35">
        <f t="shared" si="104"/>
        <v>0</v>
      </c>
      <c r="BG206" s="35">
        <f t="shared" si="105"/>
        <v>0</v>
      </c>
      <c r="BH206" s="35">
        <f t="shared" si="106"/>
        <v>0</v>
      </c>
      <c r="BI206" s="35">
        <f t="shared" si="107"/>
        <v>0</v>
      </c>
      <c r="BJ206" s="35">
        <f t="shared" si="108"/>
        <v>0</v>
      </c>
      <c r="BK206" s="35">
        <f t="shared" si="109"/>
        <v>0</v>
      </c>
      <c r="BL206" s="35">
        <f>SUM(BM206:BT206)</f>
        <v>0</v>
      </c>
      <c r="BM206" s="35">
        <f t="shared" si="111"/>
        <v>0</v>
      </c>
      <c r="BN206" s="35">
        <f t="shared" si="112"/>
        <v>0</v>
      </c>
      <c r="BO206" s="35">
        <f t="shared" si="113"/>
        <v>0</v>
      </c>
      <c r="BP206" s="35">
        <f t="shared" si="114"/>
        <v>0</v>
      </c>
      <c r="BQ206" s="35">
        <f t="shared" si="115"/>
        <v>0</v>
      </c>
      <c r="BR206" s="35">
        <f t="shared" si="116"/>
        <v>0</v>
      </c>
      <c r="BS206" s="35">
        <f t="shared" si="117"/>
        <v>0</v>
      </c>
      <c r="BT206" s="43">
        <f t="shared" si="118"/>
        <v>0</v>
      </c>
    </row>
    <row r="207" spans="1:72">
      <c r="A207" s="9"/>
      <c r="B207" s="9"/>
      <c r="C207" s="9"/>
      <c r="D207" s="1805"/>
      <c r="E207" s="35">
        <f t="shared" si="119"/>
        <v>0</v>
      </c>
      <c r="F207" s="44"/>
      <c r="G207" s="37">
        <f>H207+AC207+AT207</f>
        <v>0</v>
      </c>
      <c r="H207" s="38">
        <f>SUMIF(I$12:AB$12,"总值",I207:AB207)</f>
        <v>0</v>
      </c>
      <c r="I207" s="39"/>
      <c r="J207" s="39"/>
      <c r="K207" s="39"/>
      <c r="L207" s="39"/>
      <c r="M207" s="39"/>
      <c r="N207" s="39"/>
      <c r="O207" s="39"/>
      <c r="P207" s="39"/>
      <c r="Q207" s="39"/>
      <c r="R207" s="39"/>
      <c r="S207" s="39"/>
      <c r="T207" s="39"/>
      <c r="U207" s="39"/>
      <c r="V207" s="39"/>
      <c r="W207" s="39"/>
      <c r="X207" s="39"/>
      <c r="Y207" s="39"/>
      <c r="Z207" s="39"/>
      <c r="AA207" s="39"/>
      <c r="AB207" s="39"/>
      <c r="AC207" s="35">
        <f>SUMIF(AD$12:AS$12,"总值",AD207:AS207)</f>
        <v>0</v>
      </c>
      <c r="AD207" s="40"/>
      <c r="AE207" s="40"/>
      <c r="AF207" s="40"/>
      <c r="AG207" s="40"/>
      <c r="AH207" s="40"/>
      <c r="AI207" s="40"/>
      <c r="AJ207" s="40"/>
      <c r="AK207" s="40"/>
      <c r="AL207" s="40"/>
      <c r="AM207" s="40"/>
      <c r="AN207" s="40"/>
      <c r="AO207" s="40"/>
      <c r="AP207" s="40"/>
      <c r="AQ207" s="40"/>
      <c r="AR207" s="40"/>
      <c r="AS207" s="40"/>
      <c r="AT207" s="40"/>
      <c r="AU207" s="1746"/>
      <c r="AV207" s="1517">
        <f t="shared" si="120"/>
        <v>0</v>
      </c>
      <c r="AW207" s="1517">
        <f t="shared" si="121"/>
        <v>0</v>
      </c>
      <c r="AX207" s="1517">
        <f t="shared" si="122"/>
        <v>0</v>
      </c>
      <c r="AY207" s="42">
        <f>ROUND($AY$6*AZ207/$AZ$5,2)</f>
        <v>0</v>
      </c>
      <c r="AZ207" s="35">
        <f>BA207+BL207</f>
        <v>0</v>
      </c>
      <c r="BA207" s="35">
        <f>SUM(BB207:BK207)</f>
        <v>0</v>
      </c>
      <c r="BB207" s="35">
        <f t="shared" si="100"/>
        <v>0</v>
      </c>
      <c r="BC207" s="35">
        <f t="shared" si="101"/>
        <v>0</v>
      </c>
      <c r="BD207" s="35">
        <f t="shared" si="102"/>
        <v>0</v>
      </c>
      <c r="BE207" s="35">
        <f t="shared" si="103"/>
        <v>0</v>
      </c>
      <c r="BF207" s="35">
        <f t="shared" si="104"/>
        <v>0</v>
      </c>
      <c r="BG207" s="35">
        <f t="shared" si="105"/>
        <v>0</v>
      </c>
      <c r="BH207" s="35">
        <f t="shared" si="106"/>
        <v>0</v>
      </c>
      <c r="BI207" s="35">
        <f t="shared" si="107"/>
        <v>0</v>
      </c>
      <c r="BJ207" s="35">
        <f t="shared" si="108"/>
        <v>0</v>
      </c>
      <c r="BK207" s="35">
        <f t="shared" si="109"/>
        <v>0</v>
      </c>
      <c r="BL207" s="35">
        <f>SUM(BM207:BT207)</f>
        <v>0</v>
      </c>
      <c r="BM207" s="35">
        <f t="shared" si="111"/>
        <v>0</v>
      </c>
      <c r="BN207" s="35">
        <f t="shared" si="112"/>
        <v>0</v>
      </c>
      <c r="BO207" s="35">
        <f t="shared" si="113"/>
        <v>0</v>
      </c>
      <c r="BP207" s="35">
        <f t="shared" si="114"/>
        <v>0</v>
      </c>
      <c r="BQ207" s="35">
        <f t="shared" si="115"/>
        <v>0</v>
      </c>
      <c r="BR207" s="35">
        <f t="shared" si="116"/>
        <v>0</v>
      </c>
      <c r="BS207" s="35">
        <f t="shared" si="117"/>
        <v>0</v>
      </c>
      <c r="BT207" s="43">
        <f t="shared" si="118"/>
        <v>0</v>
      </c>
    </row>
    <row r="208" spans="1:72">
      <c r="A208" s="9"/>
      <c r="B208" s="34"/>
      <c r="C208" s="34"/>
      <c r="D208" s="1805"/>
      <c r="E208" s="35">
        <f t="shared" ref="E208:E302" si="123">IF($C$3="是",ROUND($A$3*G208/$B$3,2),ROUND($A$3*(G208-AT208)/$B$3,2))</f>
        <v>0</v>
      </c>
      <c r="F208" s="36"/>
      <c r="G208" s="37">
        <f t="shared" ref="G208:G299" si="124">H208+AC208+AT208</f>
        <v>0</v>
      </c>
      <c r="H208" s="38">
        <f t="shared" ref="H208:H299" si="125">SUMIF(I$12:AB$12,"总值",I208:AB208)</f>
        <v>0</v>
      </c>
      <c r="I208" s="39"/>
      <c r="J208" s="39"/>
      <c r="K208" s="39"/>
      <c r="L208" s="39"/>
      <c r="M208" s="39"/>
      <c r="N208" s="39"/>
      <c r="O208" s="39"/>
      <c r="P208" s="39"/>
      <c r="Q208" s="39"/>
      <c r="R208" s="39"/>
      <c r="S208" s="39"/>
      <c r="T208" s="39"/>
      <c r="U208" s="39"/>
      <c r="V208" s="39"/>
      <c r="W208" s="39"/>
      <c r="X208" s="39"/>
      <c r="Y208" s="39"/>
      <c r="Z208" s="39"/>
      <c r="AA208" s="39"/>
      <c r="AB208" s="39"/>
      <c r="AC208" s="35">
        <f t="shared" ref="AC208:AC299" si="126">SUMIF(AD$12:AS$12,"总值",AD208:AS208)</f>
        <v>0</v>
      </c>
      <c r="AD208" s="40"/>
      <c r="AE208" s="40"/>
      <c r="AF208" s="40"/>
      <c r="AG208" s="40"/>
      <c r="AH208" s="40"/>
      <c r="AI208" s="40"/>
      <c r="AJ208" s="40"/>
      <c r="AK208" s="40"/>
      <c r="AL208" s="40"/>
      <c r="AM208" s="40"/>
      <c r="AN208" s="40"/>
      <c r="AO208" s="40"/>
      <c r="AP208" s="40"/>
      <c r="AQ208" s="40"/>
      <c r="AR208" s="40"/>
      <c r="AS208" s="40"/>
      <c r="AT208" s="41"/>
      <c r="AU208" s="1806"/>
      <c r="AV208" s="1517">
        <f t="shared" ref="AV208:AV302" si="127">A208</f>
        <v>0</v>
      </c>
      <c r="AW208" s="1517">
        <f t="shared" ref="AW208:AW302" si="128">B208</f>
        <v>0</v>
      </c>
      <c r="AX208" s="1517">
        <f t="shared" ref="AX208:AX302" si="129">C208</f>
        <v>0</v>
      </c>
      <c r="AY208" s="42">
        <f t="shared" ref="AY208:AY299" si="130">ROUND($AY$6*AZ208/$AZ$5,2)</f>
        <v>0</v>
      </c>
      <c r="AZ208" s="35">
        <f t="shared" ref="AZ208:AZ299" si="131">BA208+BL208</f>
        <v>0</v>
      </c>
      <c r="BA208" s="35">
        <f t="shared" ref="BA208:BA299" si="132">SUM(BB208:BK208)</f>
        <v>0</v>
      </c>
      <c r="BB208" s="35">
        <f t="shared" ref="BB208:BB299" si="133">IF($D208="是",I208-J208,0)</f>
        <v>0</v>
      </c>
      <c r="BC208" s="35">
        <f t="shared" ref="BC208:BC299" si="134">IF($D208="是",K208-L208,0)</f>
        <v>0</v>
      </c>
      <c r="BD208" s="35">
        <f t="shared" ref="BD208:BD299" si="135">IF($D208="是",M208-N208,0)</f>
        <v>0</v>
      </c>
      <c r="BE208" s="35">
        <f t="shared" ref="BE208:BE299" si="136">IF($D208="是",O208-P208,0)</f>
        <v>0</v>
      </c>
      <c r="BF208" s="35">
        <f t="shared" ref="BF208:BF299" si="137">IF($D208="是",Q208-R208,0)</f>
        <v>0</v>
      </c>
      <c r="BG208" s="35">
        <f t="shared" ref="BG208:BG299" si="138">IF($D208="是",S208-T208,0)</f>
        <v>0</v>
      </c>
      <c r="BH208" s="35">
        <f t="shared" ref="BH208:BH299" si="139">IF($D208="是",U208-V208,0)</f>
        <v>0</v>
      </c>
      <c r="BI208" s="35">
        <f t="shared" ref="BI208:BI299" si="140">IF($D208="是",W208-X208,0)</f>
        <v>0</v>
      </c>
      <c r="BJ208" s="35">
        <f t="shared" ref="BJ208:BJ299" si="141">IF($D208="是",Y208-Z208,0)</f>
        <v>0</v>
      </c>
      <c r="BK208" s="35">
        <f t="shared" ref="BK208:BK299" si="142">IF($D208="是",AA208-AB208,0)</f>
        <v>0</v>
      </c>
      <c r="BL208" s="35">
        <f t="shared" ref="BL208:BL299" si="143">SUM(BM208:BT208)</f>
        <v>0</v>
      </c>
      <c r="BM208" s="35">
        <f t="shared" ref="BM208:BM299" si="144">IF($D208="是",AD208-AE208,0)</f>
        <v>0</v>
      </c>
      <c r="BN208" s="35">
        <f t="shared" ref="BN208:BN299" si="145">IF($D208="是",AF208-AG208,0)</f>
        <v>0</v>
      </c>
      <c r="BO208" s="35">
        <f t="shared" ref="BO208:BO299" si="146">IF($D208="是",AH208-AI208,0)</f>
        <v>0</v>
      </c>
      <c r="BP208" s="35">
        <f t="shared" ref="BP208:BP299" si="147">IF($D208="是",AJ208-AK208,0)</f>
        <v>0</v>
      </c>
      <c r="BQ208" s="35">
        <f t="shared" ref="BQ208:BQ299" si="148">IF($D208="是",AL208-AM208,0)</f>
        <v>0</v>
      </c>
      <c r="BR208" s="35">
        <f t="shared" ref="BR208:BR299" si="149">IF($D208="是",AN208-AO208,0)</f>
        <v>0</v>
      </c>
      <c r="BS208" s="35">
        <f t="shared" ref="BS208:BS299" si="150">IF($D208="是",AP208-AQ208,0)</f>
        <v>0</v>
      </c>
      <c r="BT208" s="43">
        <f t="shared" ref="BT208:BT299" si="151">IF($D208="是",AR208-AS208,0)</f>
        <v>0</v>
      </c>
    </row>
    <row r="209" spans="1:72">
      <c r="A209" s="9"/>
      <c r="B209" s="34"/>
      <c r="C209" s="34"/>
      <c r="D209" s="1805"/>
      <c r="E209" s="35">
        <f t="shared" si="123"/>
        <v>0</v>
      </c>
      <c r="F209" s="36"/>
      <c r="G209" s="37">
        <f t="shared" si="124"/>
        <v>0</v>
      </c>
      <c r="H209" s="38">
        <f t="shared" si="125"/>
        <v>0</v>
      </c>
      <c r="I209" s="39"/>
      <c r="J209" s="39"/>
      <c r="K209" s="39"/>
      <c r="L209" s="39"/>
      <c r="M209" s="39"/>
      <c r="N209" s="39"/>
      <c r="O209" s="39"/>
      <c r="P209" s="39"/>
      <c r="Q209" s="39"/>
      <c r="R209" s="39"/>
      <c r="S209" s="39"/>
      <c r="T209" s="39"/>
      <c r="U209" s="39"/>
      <c r="V209" s="39"/>
      <c r="W209" s="39"/>
      <c r="X209" s="39"/>
      <c r="Y209" s="39"/>
      <c r="Z209" s="39"/>
      <c r="AA209" s="39"/>
      <c r="AB209" s="39"/>
      <c r="AC209" s="35">
        <f t="shared" si="126"/>
        <v>0</v>
      </c>
      <c r="AD209" s="40"/>
      <c r="AE209" s="40"/>
      <c r="AF209" s="40"/>
      <c r="AG209" s="40"/>
      <c r="AH209" s="40"/>
      <c r="AI209" s="40"/>
      <c r="AJ209" s="40"/>
      <c r="AK209" s="40"/>
      <c r="AL209" s="40"/>
      <c r="AM209" s="40"/>
      <c r="AN209" s="40"/>
      <c r="AO209" s="40"/>
      <c r="AP209" s="40"/>
      <c r="AQ209" s="40"/>
      <c r="AR209" s="40"/>
      <c r="AS209" s="40"/>
      <c r="AT209" s="41"/>
      <c r="AU209" s="1806"/>
      <c r="AV209" s="1517">
        <f t="shared" si="127"/>
        <v>0</v>
      </c>
      <c r="AW209" s="1517">
        <f t="shared" si="128"/>
        <v>0</v>
      </c>
      <c r="AX209" s="1517">
        <f t="shared" si="129"/>
        <v>0</v>
      </c>
      <c r="AY209" s="42">
        <f t="shared" si="130"/>
        <v>0</v>
      </c>
      <c r="AZ209" s="35">
        <f t="shared" si="131"/>
        <v>0</v>
      </c>
      <c r="BA209" s="35">
        <f t="shared" si="132"/>
        <v>0</v>
      </c>
      <c r="BB209" s="35">
        <f t="shared" si="133"/>
        <v>0</v>
      </c>
      <c r="BC209" s="35">
        <f t="shared" si="134"/>
        <v>0</v>
      </c>
      <c r="BD209" s="35">
        <f t="shared" si="135"/>
        <v>0</v>
      </c>
      <c r="BE209" s="35">
        <f t="shared" si="136"/>
        <v>0</v>
      </c>
      <c r="BF209" s="35">
        <f t="shared" si="137"/>
        <v>0</v>
      </c>
      <c r="BG209" s="35">
        <f t="shared" si="138"/>
        <v>0</v>
      </c>
      <c r="BH209" s="35">
        <f t="shared" si="139"/>
        <v>0</v>
      </c>
      <c r="BI209" s="35">
        <f t="shared" si="140"/>
        <v>0</v>
      </c>
      <c r="BJ209" s="35">
        <f t="shared" si="141"/>
        <v>0</v>
      </c>
      <c r="BK209" s="35">
        <f t="shared" si="142"/>
        <v>0</v>
      </c>
      <c r="BL209" s="35">
        <f t="shared" si="143"/>
        <v>0</v>
      </c>
      <c r="BM209" s="35">
        <f t="shared" si="144"/>
        <v>0</v>
      </c>
      <c r="BN209" s="35">
        <f t="shared" si="145"/>
        <v>0</v>
      </c>
      <c r="BO209" s="35">
        <f t="shared" si="146"/>
        <v>0</v>
      </c>
      <c r="BP209" s="35">
        <f t="shared" si="147"/>
        <v>0</v>
      </c>
      <c r="BQ209" s="35">
        <f t="shared" si="148"/>
        <v>0</v>
      </c>
      <c r="BR209" s="35">
        <f t="shared" si="149"/>
        <v>0</v>
      </c>
      <c r="BS209" s="35">
        <f t="shared" si="150"/>
        <v>0</v>
      </c>
      <c r="BT209" s="43">
        <f t="shared" si="151"/>
        <v>0</v>
      </c>
    </row>
    <row r="210" spans="1:72">
      <c r="A210" s="9"/>
      <c r="B210" s="34"/>
      <c r="C210" s="34"/>
      <c r="D210" s="1805"/>
      <c r="E210" s="35">
        <f t="shared" si="123"/>
        <v>0</v>
      </c>
      <c r="F210" s="36"/>
      <c r="G210" s="37">
        <f t="shared" si="124"/>
        <v>0</v>
      </c>
      <c r="H210" s="38">
        <f t="shared" si="125"/>
        <v>0</v>
      </c>
      <c r="I210" s="39"/>
      <c r="J210" s="39"/>
      <c r="K210" s="39"/>
      <c r="L210" s="39"/>
      <c r="M210" s="39"/>
      <c r="N210" s="39"/>
      <c r="O210" s="39"/>
      <c r="P210" s="39"/>
      <c r="Q210" s="39"/>
      <c r="R210" s="39"/>
      <c r="S210" s="39"/>
      <c r="T210" s="39"/>
      <c r="U210" s="39"/>
      <c r="V210" s="39"/>
      <c r="W210" s="39"/>
      <c r="X210" s="39"/>
      <c r="Y210" s="39"/>
      <c r="Z210" s="39"/>
      <c r="AA210" s="39"/>
      <c r="AB210" s="39"/>
      <c r="AC210" s="35">
        <f t="shared" si="126"/>
        <v>0</v>
      </c>
      <c r="AD210" s="40"/>
      <c r="AE210" s="40"/>
      <c r="AF210" s="40"/>
      <c r="AG210" s="40"/>
      <c r="AH210" s="40"/>
      <c r="AI210" s="40"/>
      <c r="AJ210" s="40"/>
      <c r="AK210" s="40"/>
      <c r="AL210" s="40"/>
      <c r="AM210" s="40"/>
      <c r="AN210" s="40"/>
      <c r="AO210" s="40"/>
      <c r="AP210" s="40"/>
      <c r="AQ210" s="40"/>
      <c r="AR210" s="40"/>
      <c r="AS210" s="40"/>
      <c r="AT210" s="41"/>
      <c r="AU210" s="1806"/>
      <c r="AV210" s="1517">
        <f t="shared" si="127"/>
        <v>0</v>
      </c>
      <c r="AW210" s="1517">
        <f t="shared" si="128"/>
        <v>0</v>
      </c>
      <c r="AX210" s="1517">
        <f t="shared" si="129"/>
        <v>0</v>
      </c>
      <c r="AY210" s="42">
        <f t="shared" si="130"/>
        <v>0</v>
      </c>
      <c r="AZ210" s="35">
        <f t="shared" si="131"/>
        <v>0</v>
      </c>
      <c r="BA210" s="35">
        <f t="shared" si="132"/>
        <v>0</v>
      </c>
      <c r="BB210" s="35">
        <f t="shared" si="133"/>
        <v>0</v>
      </c>
      <c r="BC210" s="35">
        <f t="shared" si="134"/>
        <v>0</v>
      </c>
      <c r="BD210" s="35">
        <f t="shared" si="135"/>
        <v>0</v>
      </c>
      <c r="BE210" s="35">
        <f t="shared" si="136"/>
        <v>0</v>
      </c>
      <c r="BF210" s="35">
        <f t="shared" si="137"/>
        <v>0</v>
      </c>
      <c r="BG210" s="35">
        <f t="shared" si="138"/>
        <v>0</v>
      </c>
      <c r="BH210" s="35">
        <f t="shared" si="139"/>
        <v>0</v>
      </c>
      <c r="BI210" s="35">
        <f t="shared" si="140"/>
        <v>0</v>
      </c>
      <c r="BJ210" s="35">
        <f t="shared" si="141"/>
        <v>0</v>
      </c>
      <c r="BK210" s="35">
        <f t="shared" si="142"/>
        <v>0</v>
      </c>
      <c r="BL210" s="35">
        <f t="shared" si="143"/>
        <v>0</v>
      </c>
      <c r="BM210" s="35">
        <f t="shared" si="144"/>
        <v>0</v>
      </c>
      <c r="BN210" s="35">
        <f t="shared" si="145"/>
        <v>0</v>
      </c>
      <c r="BO210" s="35">
        <f t="shared" si="146"/>
        <v>0</v>
      </c>
      <c r="BP210" s="35">
        <f t="shared" si="147"/>
        <v>0</v>
      </c>
      <c r="BQ210" s="35">
        <f t="shared" si="148"/>
        <v>0</v>
      </c>
      <c r="BR210" s="35">
        <f t="shared" si="149"/>
        <v>0</v>
      </c>
      <c r="BS210" s="35">
        <f t="shared" si="150"/>
        <v>0</v>
      </c>
      <c r="BT210" s="43">
        <f t="shared" si="151"/>
        <v>0</v>
      </c>
    </row>
    <row r="211" spans="1:72">
      <c r="A211" s="9"/>
      <c r="B211" s="34"/>
      <c r="C211" s="34"/>
      <c r="D211" s="1805"/>
      <c r="E211" s="35">
        <f t="shared" si="123"/>
        <v>0</v>
      </c>
      <c r="F211" s="36"/>
      <c r="G211" s="37">
        <f t="shared" si="124"/>
        <v>0</v>
      </c>
      <c r="H211" s="38">
        <f t="shared" si="125"/>
        <v>0</v>
      </c>
      <c r="I211" s="39"/>
      <c r="J211" s="39"/>
      <c r="K211" s="39"/>
      <c r="L211" s="39"/>
      <c r="M211" s="39"/>
      <c r="N211" s="39"/>
      <c r="O211" s="39"/>
      <c r="P211" s="39"/>
      <c r="Q211" s="39"/>
      <c r="R211" s="39"/>
      <c r="S211" s="39"/>
      <c r="T211" s="39"/>
      <c r="U211" s="39"/>
      <c r="V211" s="39"/>
      <c r="W211" s="39"/>
      <c r="X211" s="39"/>
      <c r="Y211" s="39"/>
      <c r="Z211" s="39"/>
      <c r="AA211" s="39"/>
      <c r="AB211" s="39"/>
      <c r="AC211" s="35">
        <f t="shared" si="126"/>
        <v>0</v>
      </c>
      <c r="AD211" s="40"/>
      <c r="AE211" s="40"/>
      <c r="AF211" s="40"/>
      <c r="AG211" s="40"/>
      <c r="AH211" s="40"/>
      <c r="AI211" s="40"/>
      <c r="AJ211" s="40"/>
      <c r="AK211" s="40"/>
      <c r="AL211" s="40"/>
      <c r="AM211" s="40"/>
      <c r="AN211" s="40"/>
      <c r="AO211" s="40"/>
      <c r="AP211" s="40"/>
      <c r="AQ211" s="40"/>
      <c r="AR211" s="40"/>
      <c r="AS211" s="40"/>
      <c r="AT211" s="41"/>
      <c r="AU211" s="1806"/>
      <c r="AV211" s="1517">
        <f t="shared" si="127"/>
        <v>0</v>
      </c>
      <c r="AW211" s="1517">
        <f t="shared" si="128"/>
        <v>0</v>
      </c>
      <c r="AX211" s="1517">
        <f t="shared" si="129"/>
        <v>0</v>
      </c>
      <c r="AY211" s="42">
        <f t="shared" si="130"/>
        <v>0</v>
      </c>
      <c r="AZ211" s="35">
        <f t="shared" si="131"/>
        <v>0</v>
      </c>
      <c r="BA211" s="35">
        <f t="shared" si="132"/>
        <v>0</v>
      </c>
      <c r="BB211" s="35">
        <f t="shared" si="133"/>
        <v>0</v>
      </c>
      <c r="BC211" s="35">
        <f t="shared" si="134"/>
        <v>0</v>
      </c>
      <c r="BD211" s="35">
        <f t="shared" si="135"/>
        <v>0</v>
      </c>
      <c r="BE211" s="35">
        <f t="shared" si="136"/>
        <v>0</v>
      </c>
      <c r="BF211" s="35">
        <f t="shared" si="137"/>
        <v>0</v>
      </c>
      <c r="BG211" s="35">
        <f t="shared" si="138"/>
        <v>0</v>
      </c>
      <c r="BH211" s="35">
        <f t="shared" si="139"/>
        <v>0</v>
      </c>
      <c r="BI211" s="35">
        <f t="shared" si="140"/>
        <v>0</v>
      </c>
      <c r="BJ211" s="35">
        <f t="shared" si="141"/>
        <v>0</v>
      </c>
      <c r="BK211" s="35">
        <f t="shared" si="142"/>
        <v>0</v>
      </c>
      <c r="BL211" s="35">
        <f t="shared" si="143"/>
        <v>0</v>
      </c>
      <c r="BM211" s="35">
        <f t="shared" si="144"/>
        <v>0</v>
      </c>
      <c r="BN211" s="35">
        <f t="shared" si="145"/>
        <v>0</v>
      </c>
      <c r="BO211" s="35">
        <f t="shared" si="146"/>
        <v>0</v>
      </c>
      <c r="BP211" s="35">
        <f t="shared" si="147"/>
        <v>0</v>
      </c>
      <c r="BQ211" s="35">
        <f t="shared" si="148"/>
        <v>0</v>
      </c>
      <c r="BR211" s="35">
        <f t="shared" si="149"/>
        <v>0</v>
      </c>
      <c r="BS211" s="35">
        <f t="shared" si="150"/>
        <v>0</v>
      </c>
      <c r="BT211" s="43">
        <f t="shared" si="151"/>
        <v>0</v>
      </c>
    </row>
    <row r="212" spans="1:72">
      <c r="A212" s="9"/>
      <c r="B212" s="34"/>
      <c r="C212" s="34"/>
      <c r="D212" s="1805"/>
      <c r="E212" s="35">
        <f t="shared" si="123"/>
        <v>0</v>
      </c>
      <c r="F212" s="36"/>
      <c r="G212" s="37">
        <f t="shared" si="124"/>
        <v>0</v>
      </c>
      <c r="H212" s="38">
        <f t="shared" si="125"/>
        <v>0</v>
      </c>
      <c r="I212" s="39"/>
      <c r="J212" s="39"/>
      <c r="K212" s="39"/>
      <c r="L212" s="39"/>
      <c r="M212" s="39"/>
      <c r="N212" s="39"/>
      <c r="O212" s="39"/>
      <c r="P212" s="39"/>
      <c r="Q212" s="39"/>
      <c r="R212" s="39"/>
      <c r="S212" s="39"/>
      <c r="T212" s="39"/>
      <c r="U212" s="39"/>
      <c r="V212" s="39"/>
      <c r="W212" s="39"/>
      <c r="X212" s="39"/>
      <c r="Y212" s="39"/>
      <c r="Z212" s="39"/>
      <c r="AA212" s="39"/>
      <c r="AB212" s="39"/>
      <c r="AC212" s="35">
        <f t="shared" si="126"/>
        <v>0</v>
      </c>
      <c r="AD212" s="40"/>
      <c r="AE212" s="40"/>
      <c r="AF212" s="40"/>
      <c r="AG212" s="40"/>
      <c r="AH212" s="40"/>
      <c r="AI212" s="40"/>
      <c r="AJ212" s="40"/>
      <c r="AK212" s="40"/>
      <c r="AL212" s="40"/>
      <c r="AM212" s="40"/>
      <c r="AN212" s="40"/>
      <c r="AO212" s="40"/>
      <c r="AP212" s="40"/>
      <c r="AQ212" s="40"/>
      <c r="AR212" s="40"/>
      <c r="AS212" s="40"/>
      <c r="AT212" s="41"/>
      <c r="AU212" s="1806"/>
      <c r="AV212" s="1517">
        <f t="shared" si="127"/>
        <v>0</v>
      </c>
      <c r="AW212" s="1517">
        <f t="shared" si="128"/>
        <v>0</v>
      </c>
      <c r="AX212" s="1517">
        <f t="shared" si="129"/>
        <v>0</v>
      </c>
      <c r="AY212" s="42">
        <f t="shared" si="130"/>
        <v>0</v>
      </c>
      <c r="AZ212" s="35">
        <f t="shared" si="131"/>
        <v>0</v>
      </c>
      <c r="BA212" s="35">
        <f t="shared" si="132"/>
        <v>0</v>
      </c>
      <c r="BB212" s="35">
        <f t="shared" si="133"/>
        <v>0</v>
      </c>
      <c r="BC212" s="35">
        <f t="shared" si="134"/>
        <v>0</v>
      </c>
      <c r="BD212" s="35">
        <f t="shared" si="135"/>
        <v>0</v>
      </c>
      <c r="BE212" s="35">
        <f t="shared" si="136"/>
        <v>0</v>
      </c>
      <c r="BF212" s="35">
        <f t="shared" si="137"/>
        <v>0</v>
      </c>
      <c r="BG212" s="35">
        <f t="shared" si="138"/>
        <v>0</v>
      </c>
      <c r="BH212" s="35">
        <f t="shared" si="139"/>
        <v>0</v>
      </c>
      <c r="BI212" s="35">
        <f t="shared" si="140"/>
        <v>0</v>
      </c>
      <c r="BJ212" s="35">
        <f t="shared" si="141"/>
        <v>0</v>
      </c>
      <c r="BK212" s="35">
        <f t="shared" si="142"/>
        <v>0</v>
      </c>
      <c r="BL212" s="35">
        <f t="shared" si="143"/>
        <v>0</v>
      </c>
      <c r="BM212" s="35">
        <f t="shared" si="144"/>
        <v>0</v>
      </c>
      <c r="BN212" s="35">
        <f t="shared" si="145"/>
        <v>0</v>
      </c>
      <c r="BO212" s="35">
        <f t="shared" si="146"/>
        <v>0</v>
      </c>
      <c r="BP212" s="35">
        <f t="shared" si="147"/>
        <v>0</v>
      </c>
      <c r="BQ212" s="35">
        <f t="shared" si="148"/>
        <v>0</v>
      </c>
      <c r="BR212" s="35">
        <f t="shared" si="149"/>
        <v>0</v>
      </c>
      <c r="BS212" s="35">
        <f t="shared" si="150"/>
        <v>0</v>
      </c>
      <c r="BT212" s="43">
        <f t="shared" si="151"/>
        <v>0</v>
      </c>
    </row>
    <row r="213" spans="1:72">
      <c r="A213" s="9"/>
      <c r="B213" s="34"/>
      <c r="C213" s="34"/>
      <c r="D213" s="1805"/>
      <c r="E213" s="35">
        <f t="shared" si="123"/>
        <v>0</v>
      </c>
      <c r="F213" s="36"/>
      <c r="G213" s="37">
        <f t="shared" si="124"/>
        <v>0</v>
      </c>
      <c r="H213" s="38">
        <f t="shared" si="125"/>
        <v>0</v>
      </c>
      <c r="I213" s="39"/>
      <c r="J213" s="39"/>
      <c r="K213" s="39"/>
      <c r="L213" s="39"/>
      <c r="M213" s="39"/>
      <c r="N213" s="39"/>
      <c r="O213" s="39"/>
      <c r="P213" s="39"/>
      <c r="Q213" s="39"/>
      <c r="R213" s="39"/>
      <c r="S213" s="39"/>
      <c r="T213" s="39"/>
      <c r="U213" s="39"/>
      <c r="V213" s="39"/>
      <c r="W213" s="39"/>
      <c r="X213" s="39"/>
      <c r="Y213" s="39"/>
      <c r="Z213" s="39"/>
      <c r="AA213" s="39"/>
      <c r="AB213" s="39"/>
      <c r="AC213" s="35">
        <f t="shared" si="126"/>
        <v>0</v>
      </c>
      <c r="AD213" s="40"/>
      <c r="AE213" s="40"/>
      <c r="AF213" s="40"/>
      <c r="AG213" s="40"/>
      <c r="AH213" s="40"/>
      <c r="AI213" s="40"/>
      <c r="AJ213" s="40"/>
      <c r="AK213" s="40"/>
      <c r="AL213" s="40"/>
      <c r="AM213" s="40"/>
      <c r="AN213" s="40"/>
      <c r="AO213" s="40"/>
      <c r="AP213" s="40"/>
      <c r="AQ213" s="40"/>
      <c r="AR213" s="40"/>
      <c r="AS213" s="40"/>
      <c r="AT213" s="41"/>
      <c r="AU213" s="1806"/>
      <c r="AV213" s="1517">
        <f t="shared" si="127"/>
        <v>0</v>
      </c>
      <c r="AW213" s="1517">
        <f t="shared" si="128"/>
        <v>0</v>
      </c>
      <c r="AX213" s="1517">
        <f t="shared" si="129"/>
        <v>0</v>
      </c>
      <c r="AY213" s="42">
        <f t="shared" si="130"/>
        <v>0</v>
      </c>
      <c r="AZ213" s="35">
        <f t="shared" si="131"/>
        <v>0</v>
      </c>
      <c r="BA213" s="35">
        <f t="shared" si="132"/>
        <v>0</v>
      </c>
      <c r="BB213" s="35">
        <f t="shared" si="133"/>
        <v>0</v>
      </c>
      <c r="BC213" s="35">
        <f t="shared" si="134"/>
        <v>0</v>
      </c>
      <c r="BD213" s="35">
        <f t="shared" si="135"/>
        <v>0</v>
      </c>
      <c r="BE213" s="35">
        <f t="shared" si="136"/>
        <v>0</v>
      </c>
      <c r="BF213" s="35">
        <f t="shared" si="137"/>
        <v>0</v>
      </c>
      <c r="BG213" s="35">
        <f t="shared" si="138"/>
        <v>0</v>
      </c>
      <c r="BH213" s="35">
        <f t="shared" si="139"/>
        <v>0</v>
      </c>
      <c r="BI213" s="35">
        <f t="shared" si="140"/>
        <v>0</v>
      </c>
      <c r="BJ213" s="35">
        <f t="shared" si="141"/>
        <v>0</v>
      </c>
      <c r="BK213" s="35">
        <f t="shared" si="142"/>
        <v>0</v>
      </c>
      <c r="BL213" s="35">
        <f t="shared" si="143"/>
        <v>0</v>
      </c>
      <c r="BM213" s="35">
        <f t="shared" si="144"/>
        <v>0</v>
      </c>
      <c r="BN213" s="35">
        <f t="shared" si="145"/>
        <v>0</v>
      </c>
      <c r="BO213" s="35">
        <f t="shared" si="146"/>
        <v>0</v>
      </c>
      <c r="BP213" s="35">
        <f t="shared" si="147"/>
        <v>0</v>
      </c>
      <c r="BQ213" s="35">
        <f t="shared" si="148"/>
        <v>0</v>
      </c>
      <c r="BR213" s="35">
        <f t="shared" si="149"/>
        <v>0</v>
      </c>
      <c r="BS213" s="35">
        <f t="shared" si="150"/>
        <v>0</v>
      </c>
      <c r="BT213" s="43">
        <f t="shared" si="151"/>
        <v>0</v>
      </c>
    </row>
    <row r="214" spans="1:72">
      <c r="A214" s="9"/>
      <c r="B214" s="34"/>
      <c r="C214" s="34"/>
      <c r="D214" s="1805"/>
      <c r="E214" s="35">
        <f t="shared" si="123"/>
        <v>0</v>
      </c>
      <c r="F214" s="36"/>
      <c r="G214" s="37">
        <f t="shared" si="124"/>
        <v>0</v>
      </c>
      <c r="H214" s="38">
        <f t="shared" si="125"/>
        <v>0</v>
      </c>
      <c r="I214" s="39"/>
      <c r="J214" s="39"/>
      <c r="K214" s="39"/>
      <c r="L214" s="39"/>
      <c r="M214" s="39"/>
      <c r="N214" s="39"/>
      <c r="O214" s="39"/>
      <c r="P214" s="39"/>
      <c r="Q214" s="39"/>
      <c r="R214" s="39"/>
      <c r="S214" s="39"/>
      <c r="T214" s="39"/>
      <c r="U214" s="39"/>
      <c r="V214" s="39"/>
      <c r="W214" s="39"/>
      <c r="X214" s="39"/>
      <c r="Y214" s="39"/>
      <c r="Z214" s="39"/>
      <c r="AA214" s="39"/>
      <c r="AB214" s="39"/>
      <c r="AC214" s="35">
        <f t="shared" si="126"/>
        <v>0</v>
      </c>
      <c r="AD214" s="40"/>
      <c r="AE214" s="40"/>
      <c r="AF214" s="40"/>
      <c r="AG214" s="40"/>
      <c r="AH214" s="40"/>
      <c r="AI214" s="40"/>
      <c r="AJ214" s="40"/>
      <c r="AK214" s="40"/>
      <c r="AL214" s="40"/>
      <c r="AM214" s="40"/>
      <c r="AN214" s="40"/>
      <c r="AO214" s="40"/>
      <c r="AP214" s="40"/>
      <c r="AQ214" s="40"/>
      <c r="AR214" s="40"/>
      <c r="AS214" s="40"/>
      <c r="AT214" s="41"/>
      <c r="AU214" s="1806"/>
      <c r="AV214" s="1517">
        <f t="shared" si="127"/>
        <v>0</v>
      </c>
      <c r="AW214" s="1517">
        <f t="shared" si="128"/>
        <v>0</v>
      </c>
      <c r="AX214" s="1517">
        <f t="shared" si="129"/>
        <v>0</v>
      </c>
      <c r="AY214" s="42">
        <f t="shared" si="130"/>
        <v>0</v>
      </c>
      <c r="AZ214" s="35">
        <f t="shared" si="131"/>
        <v>0</v>
      </c>
      <c r="BA214" s="35">
        <f t="shared" si="132"/>
        <v>0</v>
      </c>
      <c r="BB214" s="35">
        <f t="shared" si="133"/>
        <v>0</v>
      </c>
      <c r="BC214" s="35">
        <f t="shared" si="134"/>
        <v>0</v>
      </c>
      <c r="BD214" s="35">
        <f t="shared" si="135"/>
        <v>0</v>
      </c>
      <c r="BE214" s="35">
        <f t="shared" si="136"/>
        <v>0</v>
      </c>
      <c r="BF214" s="35">
        <f t="shared" si="137"/>
        <v>0</v>
      </c>
      <c r="BG214" s="35">
        <f t="shared" si="138"/>
        <v>0</v>
      </c>
      <c r="BH214" s="35">
        <f t="shared" si="139"/>
        <v>0</v>
      </c>
      <c r="BI214" s="35">
        <f t="shared" si="140"/>
        <v>0</v>
      </c>
      <c r="BJ214" s="35">
        <f t="shared" si="141"/>
        <v>0</v>
      </c>
      <c r="BK214" s="35">
        <f t="shared" si="142"/>
        <v>0</v>
      </c>
      <c r="BL214" s="35">
        <f t="shared" si="143"/>
        <v>0</v>
      </c>
      <c r="BM214" s="35">
        <f t="shared" si="144"/>
        <v>0</v>
      </c>
      <c r="BN214" s="35">
        <f t="shared" si="145"/>
        <v>0</v>
      </c>
      <c r="BO214" s="35">
        <f t="shared" si="146"/>
        <v>0</v>
      </c>
      <c r="BP214" s="35">
        <f t="shared" si="147"/>
        <v>0</v>
      </c>
      <c r="BQ214" s="35">
        <f t="shared" si="148"/>
        <v>0</v>
      </c>
      <c r="BR214" s="35">
        <f t="shared" si="149"/>
        <v>0</v>
      </c>
      <c r="BS214" s="35">
        <f t="shared" si="150"/>
        <v>0</v>
      </c>
      <c r="BT214" s="43">
        <f t="shared" si="151"/>
        <v>0</v>
      </c>
    </row>
    <row r="215" spans="1:72">
      <c r="A215" s="9"/>
      <c r="B215" s="34"/>
      <c r="C215" s="34"/>
      <c r="D215" s="1805"/>
      <c r="E215" s="35">
        <f t="shared" si="123"/>
        <v>0</v>
      </c>
      <c r="F215" s="36"/>
      <c r="G215" s="37">
        <f t="shared" si="124"/>
        <v>0</v>
      </c>
      <c r="H215" s="38">
        <f t="shared" si="125"/>
        <v>0</v>
      </c>
      <c r="I215" s="39"/>
      <c r="J215" s="39"/>
      <c r="K215" s="39"/>
      <c r="L215" s="39"/>
      <c r="M215" s="39"/>
      <c r="N215" s="39"/>
      <c r="O215" s="39"/>
      <c r="P215" s="39"/>
      <c r="Q215" s="39"/>
      <c r="R215" s="39"/>
      <c r="S215" s="39"/>
      <c r="T215" s="39"/>
      <c r="U215" s="39"/>
      <c r="V215" s="39"/>
      <c r="W215" s="39"/>
      <c r="X215" s="39"/>
      <c r="Y215" s="39"/>
      <c r="Z215" s="39"/>
      <c r="AA215" s="39"/>
      <c r="AB215" s="39"/>
      <c r="AC215" s="35">
        <f t="shared" si="126"/>
        <v>0</v>
      </c>
      <c r="AD215" s="40"/>
      <c r="AE215" s="40"/>
      <c r="AF215" s="40"/>
      <c r="AG215" s="40"/>
      <c r="AH215" s="40"/>
      <c r="AI215" s="40"/>
      <c r="AJ215" s="40"/>
      <c r="AK215" s="40"/>
      <c r="AL215" s="40"/>
      <c r="AM215" s="40"/>
      <c r="AN215" s="40"/>
      <c r="AO215" s="40"/>
      <c r="AP215" s="40"/>
      <c r="AQ215" s="40"/>
      <c r="AR215" s="40"/>
      <c r="AS215" s="40"/>
      <c r="AT215" s="41"/>
      <c r="AU215" s="1806"/>
      <c r="AV215" s="1517">
        <f t="shared" si="127"/>
        <v>0</v>
      </c>
      <c r="AW215" s="1517">
        <f t="shared" si="128"/>
        <v>0</v>
      </c>
      <c r="AX215" s="1517">
        <f t="shared" si="129"/>
        <v>0</v>
      </c>
      <c r="AY215" s="42">
        <f t="shared" si="130"/>
        <v>0</v>
      </c>
      <c r="AZ215" s="35">
        <f t="shared" si="131"/>
        <v>0</v>
      </c>
      <c r="BA215" s="35">
        <f t="shared" si="132"/>
        <v>0</v>
      </c>
      <c r="BB215" s="35">
        <f t="shared" si="133"/>
        <v>0</v>
      </c>
      <c r="BC215" s="35">
        <f t="shared" si="134"/>
        <v>0</v>
      </c>
      <c r="BD215" s="35">
        <f t="shared" si="135"/>
        <v>0</v>
      </c>
      <c r="BE215" s="35">
        <f t="shared" si="136"/>
        <v>0</v>
      </c>
      <c r="BF215" s="35">
        <f t="shared" si="137"/>
        <v>0</v>
      </c>
      <c r="BG215" s="35">
        <f t="shared" si="138"/>
        <v>0</v>
      </c>
      <c r="BH215" s="35">
        <f t="shared" si="139"/>
        <v>0</v>
      </c>
      <c r="BI215" s="35">
        <f t="shared" si="140"/>
        <v>0</v>
      </c>
      <c r="BJ215" s="35">
        <f t="shared" si="141"/>
        <v>0</v>
      </c>
      <c r="BK215" s="35">
        <f t="shared" si="142"/>
        <v>0</v>
      </c>
      <c r="BL215" s="35">
        <f t="shared" si="143"/>
        <v>0</v>
      </c>
      <c r="BM215" s="35">
        <f t="shared" si="144"/>
        <v>0</v>
      </c>
      <c r="BN215" s="35">
        <f t="shared" si="145"/>
        <v>0</v>
      </c>
      <c r="BO215" s="35">
        <f t="shared" si="146"/>
        <v>0</v>
      </c>
      <c r="BP215" s="35">
        <f t="shared" si="147"/>
        <v>0</v>
      </c>
      <c r="BQ215" s="35">
        <f t="shared" si="148"/>
        <v>0</v>
      </c>
      <c r="BR215" s="35">
        <f t="shared" si="149"/>
        <v>0</v>
      </c>
      <c r="BS215" s="35">
        <f t="shared" si="150"/>
        <v>0</v>
      </c>
      <c r="BT215" s="43">
        <f t="shared" si="151"/>
        <v>0</v>
      </c>
    </row>
    <row r="216" spans="1:72">
      <c r="A216" s="9"/>
      <c r="B216" s="34"/>
      <c r="C216" s="34"/>
      <c r="D216" s="1805"/>
      <c r="E216" s="35">
        <f t="shared" si="123"/>
        <v>0</v>
      </c>
      <c r="F216" s="36"/>
      <c r="G216" s="37">
        <f t="shared" si="124"/>
        <v>0</v>
      </c>
      <c r="H216" s="38">
        <f t="shared" si="125"/>
        <v>0</v>
      </c>
      <c r="I216" s="39"/>
      <c r="J216" s="39"/>
      <c r="K216" s="39"/>
      <c r="L216" s="39"/>
      <c r="M216" s="39"/>
      <c r="N216" s="39"/>
      <c r="O216" s="39"/>
      <c r="P216" s="39"/>
      <c r="Q216" s="39"/>
      <c r="R216" s="39"/>
      <c r="S216" s="39"/>
      <c r="T216" s="39"/>
      <c r="U216" s="39"/>
      <c r="V216" s="39"/>
      <c r="W216" s="39"/>
      <c r="X216" s="39"/>
      <c r="Y216" s="39"/>
      <c r="Z216" s="39"/>
      <c r="AA216" s="39"/>
      <c r="AB216" s="39"/>
      <c r="AC216" s="35">
        <f t="shared" si="126"/>
        <v>0</v>
      </c>
      <c r="AD216" s="40"/>
      <c r="AE216" s="40"/>
      <c r="AF216" s="40"/>
      <c r="AG216" s="40"/>
      <c r="AH216" s="40"/>
      <c r="AI216" s="40"/>
      <c r="AJ216" s="40"/>
      <c r="AK216" s="40"/>
      <c r="AL216" s="40"/>
      <c r="AM216" s="40"/>
      <c r="AN216" s="40"/>
      <c r="AO216" s="40"/>
      <c r="AP216" s="40"/>
      <c r="AQ216" s="40"/>
      <c r="AR216" s="40"/>
      <c r="AS216" s="40"/>
      <c r="AT216" s="41"/>
      <c r="AU216" s="1806"/>
      <c r="AV216" s="1517">
        <f t="shared" si="127"/>
        <v>0</v>
      </c>
      <c r="AW216" s="1517">
        <f t="shared" si="128"/>
        <v>0</v>
      </c>
      <c r="AX216" s="1517">
        <f t="shared" si="129"/>
        <v>0</v>
      </c>
      <c r="AY216" s="42">
        <f t="shared" si="130"/>
        <v>0</v>
      </c>
      <c r="AZ216" s="35">
        <f t="shared" si="131"/>
        <v>0</v>
      </c>
      <c r="BA216" s="35">
        <f t="shared" si="132"/>
        <v>0</v>
      </c>
      <c r="BB216" s="35">
        <f t="shared" si="133"/>
        <v>0</v>
      </c>
      <c r="BC216" s="35">
        <f t="shared" si="134"/>
        <v>0</v>
      </c>
      <c r="BD216" s="35">
        <f t="shared" si="135"/>
        <v>0</v>
      </c>
      <c r="BE216" s="35">
        <f t="shared" si="136"/>
        <v>0</v>
      </c>
      <c r="BF216" s="35">
        <f t="shared" si="137"/>
        <v>0</v>
      </c>
      <c r="BG216" s="35">
        <f t="shared" si="138"/>
        <v>0</v>
      </c>
      <c r="BH216" s="35">
        <f t="shared" si="139"/>
        <v>0</v>
      </c>
      <c r="BI216" s="35">
        <f t="shared" si="140"/>
        <v>0</v>
      </c>
      <c r="BJ216" s="35">
        <f t="shared" si="141"/>
        <v>0</v>
      </c>
      <c r="BK216" s="35">
        <f t="shared" si="142"/>
        <v>0</v>
      </c>
      <c r="BL216" s="35">
        <f t="shared" si="143"/>
        <v>0</v>
      </c>
      <c r="BM216" s="35">
        <f t="shared" si="144"/>
        <v>0</v>
      </c>
      <c r="BN216" s="35">
        <f t="shared" si="145"/>
        <v>0</v>
      </c>
      <c r="BO216" s="35">
        <f t="shared" si="146"/>
        <v>0</v>
      </c>
      <c r="BP216" s="35">
        <f t="shared" si="147"/>
        <v>0</v>
      </c>
      <c r="BQ216" s="35">
        <f t="shared" si="148"/>
        <v>0</v>
      </c>
      <c r="BR216" s="35">
        <f t="shared" si="149"/>
        <v>0</v>
      </c>
      <c r="BS216" s="35">
        <f t="shared" si="150"/>
        <v>0</v>
      </c>
      <c r="BT216" s="43">
        <f t="shared" si="151"/>
        <v>0</v>
      </c>
    </row>
    <row r="217" spans="1:72">
      <c r="A217" s="9"/>
      <c r="B217" s="34"/>
      <c r="C217" s="34"/>
      <c r="D217" s="1805"/>
      <c r="E217" s="35">
        <f t="shared" si="123"/>
        <v>0</v>
      </c>
      <c r="F217" s="36"/>
      <c r="G217" s="37">
        <f t="shared" si="124"/>
        <v>0</v>
      </c>
      <c r="H217" s="38">
        <f t="shared" si="125"/>
        <v>0</v>
      </c>
      <c r="I217" s="39"/>
      <c r="J217" s="39"/>
      <c r="K217" s="39"/>
      <c r="L217" s="39"/>
      <c r="M217" s="39"/>
      <c r="N217" s="39"/>
      <c r="O217" s="39"/>
      <c r="P217" s="39"/>
      <c r="Q217" s="39"/>
      <c r="R217" s="39"/>
      <c r="S217" s="39"/>
      <c r="T217" s="39"/>
      <c r="U217" s="39"/>
      <c r="V217" s="39"/>
      <c r="W217" s="39"/>
      <c r="X217" s="39"/>
      <c r="Y217" s="39"/>
      <c r="Z217" s="39"/>
      <c r="AA217" s="39"/>
      <c r="AB217" s="39"/>
      <c r="AC217" s="35">
        <f t="shared" si="126"/>
        <v>0</v>
      </c>
      <c r="AD217" s="40"/>
      <c r="AE217" s="40"/>
      <c r="AF217" s="40"/>
      <c r="AG217" s="40"/>
      <c r="AH217" s="40"/>
      <c r="AI217" s="40"/>
      <c r="AJ217" s="40"/>
      <c r="AK217" s="40"/>
      <c r="AL217" s="40"/>
      <c r="AM217" s="40"/>
      <c r="AN217" s="40"/>
      <c r="AO217" s="40"/>
      <c r="AP217" s="40"/>
      <c r="AQ217" s="40"/>
      <c r="AR217" s="40"/>
      <c r="AS217" s="40"/>
      <c r="AT217" s="41"/>
      <c r="AU217" s="1806"/>
      <c r="AV217" s="1517">
        <f t="shared" si="127"/>
        <v>0</v>
      </c>
      <c r="AW217" s="1517">
        <f t="shared" si="128"/>
        <v>0</v>
      </c>
      <c r="AX217" s="1517">
        <f t="shared" si="129"/>
        <v>0</v>
      </c>
      <c r="AY217" s="42">
        <f t="shared" si="130"/>
        <v>0</v>
      </c>
      <c r="AZ217" s="35">
        <f t="shared" si="131"/>
        <v>0</v>
      </c>
      <c r="BA217" s="35">
        <f t="shared" si="132"/>
        <v>0</v>
      </c>
      <c r="BB217" s="35">
        <f t="shared" si="133"/>
        <v>0</v>
      </c>
      <c r="BC217" s="35">
        <f t="shared" si="134"/>
        <v>0</v>
      </c>
      <c r="BD217" s="35">
        <f t="shared" si="135"/>
        <v>0</v>
      </c>
      <c r="BE217" s="35">
        <f t="shared" si="136"/>
        <v>0</v>
      </c>
      <c r="BF217" s="35">
        <f t="shared" si="137"/>
        <v>0</v>
      </c>
      <c r="BG217" s="35">
        <f t="shared" si="138"/>
        <v>0</v>
      </c>
      <c r="BH217" s="35">
        <f t="shared" si="139"/>
        <v>0</v>
      </c>
      <c r="BI217" s="35">
        <f t="shared" si="140"/>
        <v>0</v>
      </c>
      <c r="BJ217" s="35">
        <f t="shared" si="141"/>
        <v>0</v>
      </c>
      <c r="BK217" s="35">
        <f t="shared" si="142"/>
        <v>0</v>
      </c>
      <c r="BL217" s="35">
        <f t="shared" si="143"/>
        <v>0</v>
      </c>
      <c r="BM217" s="35">
        <f t="shared" si="144"/>
        <v>0</v>
      </c>
      <c r="BN217" s="35">
        <f t="shared" si="145"/>
        <v>0</v>
      </c>
      <c r="BO217" s="35">
        <f t="shared" si="146"/>
        <v>0</v>
      </c>
      <c r="BP217" s="35">
        <f t="shared" si="147"/>
        <v>0</v>
      </c>
      <c r="BQ217" s="35">
        <f t="shared" si="148"/>
        <v>0</v>
      </c>
      <c r="BR217" s="35">
        <f t="shared" si="149"/>
        <v>0</v>
      </c>
      <c r="BS217" s="35">
        <f t="shared" si="150"/>
        <v>0</v>
      </c>
      <c r="BT217" s="43">
        <f t="shared" si="151"/>
        <v>0</v>
      </c>
    </row>
    <row r="218" spans="1:72">
      <c r="A218" s="9"/>
      <c r="B218" s="34"/>
      <c r="C218" s="34"/>
      <c r="D218" s="1805"/>
      <c r="E218" s="35">
        <f t="shared" si="123"/>
        <v>0</v>
      </c>
      <c r="F218" s="36"/>
      <c r="G218" s="37">
        <f t="shared" si="124"/>
        <v>0</v>
      </c>
      <c r="H218" s="38">
        <f t="shared" si="125"/>
        <v>0</v>
      </c>
      <c r="I218" s="39"/>
      <c r="J218" s="39"/>
      <c r="K218" s="39"/>
      <c r="L218" s="39"/>
      <c r="M218" s="39"/>
      <c r="N218" s="39"/>
      <c r="O218" s="39"/>
      <c r="P218" s="39"/>
      <c r="Q218" s="39"/>
      <c r="R218" s="39"/>
      <c r="S218" s="39"/>
      <c r="T218" s="39"/>
      <c r="U218" s="39"/>
      <c r="V218" s="39"/>
      <c r="W218" s="39"/>
      <c r="X218" s="39"/>
      <c r="Y218" s="39"/>
      <c r="Z218" s="39"/>
      <c r="AA218" s="39"/>
      <c r="AB218" s="39"/>
      <c r="AC218" s="35">
        <f t="shared" si="126"/>
        <v>0</v>
      </c>
      <c r="AD218" s="40"/>
      <c r="AE218" s="40"/>
      <c r="AF218" s="40"/>
      <c r="AG218" s="40"/>
      <c r="AH218" s="40"/>
      <c r="AI218" s="40"/>
      <c r="AJ218" s="40"/>
      <c r="AK218" s="40"/>
      <c r="AL218" s="40"/>
      <c r="AM218" s="40"/>
      <c r="AN218" s="40"/>
      <c r="AO218" s="40"/>
      <c r="AP218" s="40"/>
      <c r="AQ218" s="40"/>
      <c r="AR218" s="40"/>
      <c r="AS218" s="40"/>
      <c r="AT218" s="41"/>
      <c r="AU218" s="1806"/>
      <c r="AV218" s="1517">
        <f t="shared" si="127"/>
        <v>0</v>
      </c>
      <c r="AW218" s="1517">
        <f t="shared" si="128"/>
        <v>0</v>
      </c>
      <c r="AX218" s="1517">
        <f t="shared" si="129"/>
        <v>0</v>
      </c>
      <c r="AY218" s="42">
        <f t="shared" si="130"/>
        <v>0</v>
      </c>
      <c r="AZ218" s="35">
        <f t="shared" si="131"/>
        <v>0</v>
      </c>
      <c r="BA218" s="35">
        <f t="shared" si="132"/>
        <v>0</v>
      </c>
      <c r="BB218" s="35">
        <f t="shared" si="133"/>
        <v>0</v>
      </c>
      <c r="BC218" s="35">
        <f t="shared" si="134"/>
        <v>0</v>
      </c>
      <c r="BD218" s="35">
        <f t="shared" si="135"/>
        <v>0</v>
      </c>
      <c r="BE218" s="35">
        <f t="shared" si="136"/>
        <v>0</v>
      </c>
      <c r="BF218" s="35">
        <f t="shared" si="137"/>
        <v>0</v>
      </c>
      <c r="BG218" s="35">
        <f t="shared" si="138"/>
        <v>0</v>
      </c>
      <c r="BH218" s="35">
        <f t="shared" si="139"/>
        <v>0</v>
      </c>
      <c r="BI218" s="35">
        <f t="shared" si="140"/>
        <v>0</v>
      </c>
      <c r="BJ218" s="35">
        <f t="shared" si="141"/>
        <v>0</v>
      </c>
      <c r="BK218" s="35">
        <f t="shared" si="142"/>
        <v>0</v>
      </c>
      <c r="BL218" s="35">
        <f t="shared" si="143"/>
        <v>0</v>
      </c>
      <c r="BM218" s="35">
        <f t="shared" si="144"/>
        <v>0</v>
      </c>
      <c r="BN218" s="35">
        <f t="shared" si="145"/>
        <v>0</v>
      </c>
      <c r="BO218" s="35">
        <f t="shared" si="146"/>
        <v>0</v>
      </c>
      <c r="BP218" s="35">
        <f t="shared" si="147"/>
        <v>0</v>
      </c>
      <c r="BQ218" s="35">
        <f t="shared" si="148"/>
        <v>0</v>
      </c>
      <c r="BR218" s="35">
        <f t="shared" si="149"/>
        <v>0</v>
      </c>
      <c r="BS218" s="35">
        <f t="shared" si="150"/>
        <v>0</v>
      </c>
      <c r="BT218" s="43">
        <f t="shared" si="151"/>
        <v>0</v>
      </c>
    </row>
    <row r="219" spans="1:72">
      <c r="A219" s="9"/>
      <c r="B219" s="34"/>
      <c r="C219" s="34"/>
      <c r="D219" s="1805"/>
      <c r="E219" s="35">
        <f t="shared" si="123"/>
        <v>0</v>
      </c>
      <c r="F219" s="36"/>
      <c r="G219" s="37">
        <f t="shared" si="124"/>
        <v>0</v>
      </c>
      <c r="H219" s="38">
        <f t="shared" si="125"/>
        <v>0</v>
      </c>
      <c r="I219" s="39"/>
      <c r="J219" s="39"/>
      <c r="K219" s="39"/>
      <c r="L219" s="39"/>
      <c r="M219" s="39"/>
      <c r="N219" s="39"/>
      <c r="O219" s="39"/>
      <c r="P219" s="39"/>
      <c r="Q219" s="39"/>
      <c r="R219" s="39"/>
      <c r="S219" s="39"/>
      <c r="T219" s="39"/>
      <c r="U219" s="39"/>
      <c r="V219" s="39"/>
      <c r="W219" s="39"/>
      <c r="X219" s="39"/>
      <c r="Y219" s="39"/>
      <c r="Z219" s="39"/>
      <c r="AA219" s="39"/>
      <c r="AB219" s="39"/>
      <c r="AC219" s="35">
        <f t="shared" si="126"/>
        <v>0</v>
      </c>
      <c r="AD219" s="40"/>
      <c r="AE219" s="40"/>
      <c r="AF219" s="40"/>
      <c r="AG219" s="40"/>
      <c r="AH219" s="40"/>
      <c r="AI219" s="40"/>
      <c r="AJ219" s="40"/>
      <c r="AK219" s="40"/>
      <c r="AL219" s="40"/>
      <c r="AM219" s="40"/>
      <c r="AN219" s="40"/>
      <c r="AO219" s="40"/>
      <c r="AP219" s="40"/>
      <c r="AQ219" s="40"/>
      <c r="AR219" s="40"/>
      <c r="AS219" s="40"/>
      <c r="AT219" s="41"/>
      <c r="AU219" s="1806"/>
      <c r="AV219" s="1517">
        <f t="shared" si="127"/>
        <v>0</v>
      </c>
      <c r="AW219" s="1517">
        <f t="shared" si="128"/>
        <v>0</v>
      </c>
      <c r="AX219" s="1517">
        <f t="shared" si="129"/>
        <v>0</v>
      </c>
      <c r="AY219" s="42">
        <f t="shared" si="130"/>
        <v>0</v>
      </c>
      <c r="AZ219" s="35">
        <f t="shared" si="131"/>
        <v>0</v>
      </c>
      <c r="BA219" s="35">
        <f t="shared" si="132"/>
        <v>0</v>
      </c>
      <c r="BB219" s="35">
        <f t="shared" si="133"/>
        <v>0</v>
      </c>
      <c r="BC219" s="35">
        <f t="shared" si="134"/>
        <v>0</v>
      </c>
      <c r="BD219" s="35">
        <f t="shared" si="135"/>
        <v>0</v>
      </c>
      <c r="BE219" s="35">
        <f t="shared" si="136"/>
        <v>0</v>
      </c>
      <c r="BF219" s="35">
        <f t="shared" si="137"/>
        <v>0</v>
      </c>
      <c r="BG219" s="35">
        <f t="shared" si="138"/>
        <v>0</v>
      </c>
      <c r="BH219" s="35">
        <f t="shared" si="139"/>
        <v>0</v>
      </c>
      <c r="BI219" s="35">
        <f t="shared" si="140"/>
        <v>0</v>
      </c>
      <c r="BJ219" s="35">
        <f t="shared" si="141"/>
        <v>0</v>
      </c>
      <c r="BK219" s="35">
        <f t="shared" si="142"/>
        <v>0</v>
      </c>
      <c r="BL219" s="35">
        <f t="shared" si="143"/>
        <v>0</v>
      </c>
      <c r="BM219" s="35">
        <f t="shared" si="144"/>
        <v>0</v>
      </c>
      <c r="BN219" s="35">
        <f t="shared" si="145"/>
        <v>0</v>
      </c>
      <c r="BO219" s="35">
        <f t="shared" si="146"/>
        <v>0</v>
      </c>
      <c r="BP219" s="35">
        <f t="shared" si="147"/>
        <v>0</v>
      </c>
      <c r="BQ219" s="35">
        <f t="shared" si="148"/>
        <v>0</v>
      </c>
      <c r="BR219" s="35">
        <f t="shared" si="149"/>
        <v>0</v>
      </c>
      <c r="BS219" s="35">
        <f t="shared" si="150"/>
        <v>0</v>
      </c>
      <c r="BT219" s="43">
        <f t="shared" si="151"/>
        <v>0</v>
      </c>
    </row>
    <row r="220" spans="1:72">
      <c r="A220" s="9"/>
      <c r="B220" s="34"/>
      <c r="C220" s="34"/>
      <c r="D220" s="1805"/>
      <c r="E220" s="35">
        <f t="shared" si="123"/>
        <v>0</v>
      </c>
      <c r="F220" s="36"/>
      <c r="G220" s="37">
        <f t="shared" si="124"/>
        <v>0</v>
      </c>
      <c r="H220" s="38">
        <f t="shared" si="125"/>
        <v>0</v>
      </c>
      <c r="I220" s="39"/>
      <c r="J220" s="39"/>
      <c r="K220" s="39"/>
      <c r="L220" s="39"/>
      <c r="M220" s="39"/>
      <c r="N220" s="39"/>
      <c r="O220" s="39"/>
      <c r="P220" s="39"/>
      <c r="Q220" s="39"/>
      <c r="R220" s="39"/>
      <c r="S220" s="39"/>
      <c r="T220" s="39"/>
      <c r="U220" s="39"/>
      <c r="V220" s="39"/>
      <c r="W220" s="39"/>
      <c r="X220" s="39"/>
      <c r="Y220" s="39"/>
      <c r="Z220" s="39"/>
      <c r="AA220" s="39"/>
      <c r="AB220" s="39"/>
      <c r="AC220" s="35">
        <f t="shared" si="126"/>
        <v>0</v>
      </c>
      <c r="AD220" s="40"/>
      <c r="AE220" s="40"/>
      <c r="AF220" s="40"/>
      <c r="AG220" s="40"/>
      <c r="AH220" s="40"/>
      <c r="AI220" s="40"/>
      <c r="AJ220" s="40"/>
      <c r="AK220" s="40"/>
      <c r="AL220" s="40"/>
      <c r="AM220" s="40"/>
      <c r="AN220" s="40"/>
      <c r="AO220" s="40"/>
      <c r="AP220" s="40"/>
      <c r="AQ220" s="40"/>
      <c r="AR220" s="40"/>
      <c r="AS220" s="40"/>
      <c r="AT220" s="41"/>
      <c r="AU220" s="1806"/>
      <c r="AV220" s="1517">
        <f t="shared" si="127"/>
        <v>0</v>
      </c>
      <c r="AW220" s="1517">
        <f t="shared" si="128"/>
        <v>0</v>
      </c>
      <c r="AX220" s="1517">
        <f t="shared" si="129"/>
        <v>0</v>
      </c>
      <c r="AY220" s="42">
        <f t="shared" si="130"/>
        <v>0</v>
      </c>
      <c r="AZ220" s="35">
        <f t="shared" si="131"/>
        <v>0</v>
      </c>
      <c r="BA220" s="35">
        <f t="shared" si="132"/>
        <v>0</v>
      </c>
      <c r="BB220" s="35">
        <f t="shared" si="133"/>
        <v>0</v>
      </c>
      <c r="BC220" s="35">
        <f t="shared" si="134"/>
        <v>0</v>
      </c>
      <c r="BD220" s="35">
        <f t="shared" si="135"/>
        <v>0</v>
      </c>
      <c r="BE220" s="35">
        <f t="shared" si="136"/>
        <v>0</v>
      </c>
      <c r="BF220" s="35">
        <f t="shared" si="137"/>
        <v>0</v>
      </c>
      <c r="BG220" s="35">
        <f t="shared" si="138"/>
        <v>0</v>
      </c>
      <c r="BH220" s="35">
        <f t="shared" si="139"/>
        <v>0</v>
      </c>
      <c r="BI220" s="35">
        <f t="shared" si="140"/>
        <v>0</v>
      </c>
      <c r="BJ220" s="35">
        <f t="shared" si="141"/>
        <v>0</v>
      </c>
      <c r="BK220" s="35">
        <f t="shared" si="142"/>
        <v>0</v>
      </c>
      <c r="BL220" s="35">
        <f t="shared" si="143"/>
        <v>0</v>
      </c>
      <c r="BM220" s="35">
        <f t="shared" si="144"/>
        <v>0</v>
      </c>
      <c r="BN220" s="35">
        <f t="shared" si="145"/>
        <v>0</v>
      </c>
      <c r="BO220" s="35">
        <f t="shared" si="146"/>
        <v>0</v>
      </c>
      <c r="BP220" s="35">
        <f t="shared" si="147"/>
        <v>0</v>
      </c>
      <c r="BQ220" s="35">
        <f t="shared" si="148"/>
        <v>0</v>
      </c>
      <c r="BR220" s="35">
        <f t="shared" si="149"/>
        <v>0</v>
      </c>
      <c r="BS220" s="35">
        <f t="shared" si="150"/>
        <v>0</v>
      </c>
      <c r="BT220" s="43">
        <f t="shared" si="151"/>
        <v>0</v>
      </c>
    </row>
    <row r="221" spans="1:72">
      <c r="A221" s="9"/>
      <c r="B221" s="34"/>
      <c r="C221" s="34"/>
      <c r="D221" s="1805"/>
      <c r="E221" s="35">
        <f t="shared" si="123"/>
        <v>0</v>
      </c>
      <c r="F221" s="36"/>
      <c r="G221" s="37">
        <f t="shared" si="124"/>
        <v>0</v>
      </c>
      <c r="H221" s="38">
        <f t="shared" si="125"/>
        <v>0</v>
      </c>
      <c r="I221" s="39"/>
      <c r="J221" s="39"/>
      <c r="K221" s="39"/>
      <c r="L221" s="39"/>
      <c r="M221" s="39"/>
      <c r="N221" s="39"/>
      <c r="O221" s="39"/>
      <c r="P221" s="39"/>
      <c r="Q221" s="39"/>
      <c r="R221" s="39"/>
      <c r="S221" s="39"/>
      <c r="T221" s="39"/>
      <c r="U221" s="39"/>
      <c r="V221" s="39"/>
      <c r="W221" s="39"/>
      <c r="X221" s="39"/>
      <c r="Y221" s="39"/>
      <c r="Z221" s="39"/>
      <c r="AA221" s="39"/>
      <c r="AB221" s="39"/>
      <c r="AC221" s="35">
        <f t="shared" si="126"/>
        <v>0</v>
      </c>
      <c r="AD221" s="40"/>
      <c r="AE221" s="40"/>
      <c r="AF221" s="40"/>
      <c r="AG221" s="40"/>
      <c r="AH221" s="40"/>
      <c r="AI221" s="40"/>
      <c r="AJ221" s="40"/>
      <c r="AK221" s="40"/>
      <c r="AL221" s="40"/>
      <c r="AM221" s="40"/>
      <c r="AN221" s="40"/>
      <c r="AO221" s="40"/>
      <c r="AP221" s="40"/>
      <c r="AQ221" s="40"/>
      <c r="AR221" s="40"/>
      <c r="AS221" s="40"/>
      <c r="AT221" s="41"/>
      <c r="AU221" s="1806"/>
      <c r="AV221" s="1517">
        <f t="shared" si="127"/>
        <v>0</v>
      </c>
      <c r="AW221" s="1517">
        <f t="shared" si="128"/>
        <v>0</v>
      </c>
      <c r="AX221" s="1517">
        <f t="shared" si="129"/>
        <v>0</v>
      </c>
      <c r="AY221" s="42">
        <f t="shared" si="130"/>
        <v>0</v>
      </c>
      <c r="AZ221" s="35">
        <f t="shared" si="131"/>
        <v>0</v>
      </c>
      <c r="BA221" s="35">
        <f t="shared" si="132"/>
        <v>0</v>
      </c>
      <c r="BB221" s="35">
        <f t="shared" si="133"/>
        <v>0</v>
      </c>
      <c r="BC221" s="35">
        <f t="shared" si="134"/>
        <v>0</v>
      </c>
      <c r="BD221" s="35">
        <f t="shared" si="135"/>
        <v>0</v>
      </c>
      <c r="BE221" s="35">
        <f t="shared" si="136"/>
        <v>0</v>
      </c>
      <c r="BF221" s="35">
        <f t="shared" si="137"/>
        <v>0</v>
      </c>
      <c r="BG221" s="35">
        <f t="shared" si="138"/>
        <v>0</v>
      </c>
      <c r="BH221" s="35">
        <f t="shared" si="139"/>
        <v>0</v>
      </c>
      <c r="BI221" s="35">
        <f t="shared" si="140"/>
        <v>0</v>
      </c>
      <c r="BJ221" s="35">
        <f t="shared" si="141"/>
        <v>0</v>
      </c>
      <c r="BK221" s="35">
        <f t="shared" si="142"/>
        <v>0</v>
      </c>
      <c r="BL221" s="35">
        <f t="shared" si="143"/>
        <v>0</v>
      </c>
      <c r="BM221" s="35">
        <f t="shared" si="144"/>
        <v>0</v>
      </c>
      <c r="BN221" s="35">
        <f t="shared" si="145"/>
        <v>0</v>
      </c>
      <c r="BO221" s="35">
        <f t="shared" si="146"/>
        <v>0</v>
      </c>
      <c r="BP221" s="35">
        <f t="shared" si="147"/>
        <v>0</v>
      </c>
      <c r="BQ221" s="35">
        <f t="shared" si="148"/>
        <v>0</v>
      </c>
      <c r="BR221" s="35">
        <f t="shared" si="149"/>
        <v>0</v>
      </c>
      <c r="BS221" s="35">
        <f t="shared" si="150"/>
        <v>0</v>
      </c>
      <c r="BT221" s="43">
        <f t="shared" si="151"/>
        <v>0</v>
      </c>
    </row>
    <row r="222" spans="1:72">
      <c r="A222" s="9"/>
      <c r="B222" s="34"/>
      <c r="C222" s="34"/>
      <c r="D222" s="1805"/>
      <c r="E222" s="35">
        <f t="shared" si="123"/>
        <v>0</v>
      </c>
      <c r="F222" s="36"/>
      <c r="G222" s="37">
        <f t="shared" si="124"/>
        <v>0</v>
      </c>
      <c r="H222" s="38">
        <f t="shared" si="125"/>
        <v>0</v>
      </c>
      <c r="I222" s="39"/>
      <c r="J222" s="39"/>
      <c r="K222" s="39"/>
      <c r="L222" s="39"/>
      <c r="M222" s="39"/>
      <c r="N222" s="39"/>
      <c r="O222" s="39"/>
      <c r="P222" s="39"/>
      <c r="Q222" s="39"/>
      <c r="R222" s="39"/>
      <c r="S222" s="39"/>
      <c r="T222" s="39"/>
      <c r="U222" s="39"/>
      <c r="V222" s="39"/>
      <c r="W222" s="39"/>
      <c r="X222" s="39"/>
      <c r="Y222" s="39"/>
      <c r="Z222" s="39"/>
      <c r="AA222" s="39"/>
      <c r="AB222" s="39"/>
      <c r="AC222" s="35">
        <f t="shared" si="126"/>
        <v>0</v>
      </c>
      <c r="AD222" s="40"/>
      <c r="AE222" s="40"/>
      <c r="AF222" s="40"/>
      <c r="AG222" s="40"/>
      <c r="AH222" s="40"/>
      <c r="AI222" s="40"/>
      <c r="AJ222" s="40"/>
      <c r="AK222" s="40"/>
      <c r="AL222" s="40"/>
      <c r="AM222" s="40"/>
      <c r="AN222" s="40"/>
      <c r="AO222" s="40"/>
      <c r="AP222" s="40"/>
      <c r="AQ222" s="40"/>
      <c r="AR222" s="40"/>
      <c r="AS222" s="40"/>
      <c r="AT222" s="41"/>
      <c r="AU222" s="1806"/>
      <c r="AV222" s="1517">
        <f t="shared" si="127"/>
        <v>0</v>
      </c>
      <c r="AW222" s="1517">
        <f t="shared" si="128"/>
        <v>0</v>
      </c>
      <c r="AX222" s="1517">
        <f t="shared" si="129"/>
        <v>0</v>
      </c>
      <c r="AY222" s="42">
        <f t="shared" si="130"/>
        <v>0</v>
      </c>
      <c r="AZ222" s="35">
        <f t="shared" si="131"/>
        <v>0</v>
      </c>
      <c r="BA222" s="35">
        <f t="shared" si="132"/>
        <v>0</v>
      </c>
      <c r="BB222" s="35">
        <f t="shared" si="133"/>
        <v>0</v>
      </c>
      <c r="BC222" s="35">
        <f t="shared" si="134"/>
        <v>0</v>
      </c>
      <c r="BD222" s="35">
        <f t="shared" si="135"/>
        <v>0</v>
      </c>
      <c r="BE222" s="35">
        <f t="shared" si="136"/>
        <v>0</v>
      </c>
      <c r="BF222" s="35">
        <f t="shared" si="137"/>
        <v>0</v>
      </c>
      <c r="BG222" s="35">
        <f t="shared" si="138"/>
        <v>0</v>
      </c>
      <c r="BH222" s="35">
        <f t="shared" si="139"/>
        <v>0</v>
      </c>
      <c r="BI222" s="35">
        <f t="shared" si="140"/>
        <v>0</v>
      </c>
      <c r="BJ222" s="35">
        <f t="shared" si="141"/>
        <v>0</v>
      </c>
      <c r="BK222" s="35">
        <f t="shared" si="142"/>
        <v>0</v>
      </c>
      <c r="BL222" s="35">
        <f t="shared" si="143"/>
        <v>0</v>
      </c>
      <c r="BM222" s="35">
        <f t="shared" si="144"/>
        <v>0</v>
      </c>
      <c r="BN222" s="35">
        <f t="shared" si="145"/>
        <v>0</v>
      </c>
      <c r="BO222" s="35">
        <f t="shared" si="146"/>
        <v>0</v>
      </c>
      <c r="BP222" s="35">
        <f t="shared" si="147"/>
        <v>0</v>
      </c>
      <c r="BQ222" s="35">
        <f t="shared" si="148"/>
        <v>0</v>
      </c>
      <c r="BR222" s="35">
        <f t="shared" si="149"/>
        <v>0</v>
      </c>
      <c r="BS222" s="35">
        <f t="shared" si="150"/>
        <v>0</v>
      </c>
      <c r="BT222" s="43">
        <f t="shared" si="151"/>
        <v>0</v>
      </c>
    </row>
    <row r="223" spans="1:72">
      <c r="A223" s="9"/>
      <c r="B223" s="34"/>
      <c r="C223" s="34"/>
      <c r="D223" s="1805"/>
      <c r="E223" s="35">
        <f t="shared" si="123"/>
        <v>0</v>
      </c>
      <c r="F223" s="36"/>
      <c r="G223" s="37">
        <f t="shared" si="124"/>
        <v>0</v>
      </c>
      <c r="H223" s="38">
        <f t="shared" si="125"/>
        <v>0</v>
      </c>
      <c r="I223" s="39"/>
      <c r="J223" s="39"/>
      <c r="K223" s="39"/>
      <c r="L223" s="39"/>
      <c r="M223" s="39"/>
      <c r="N223" s="39"/>
      <c r="O223" s="39"/>
      <c r="P223" s="39"/>
      <c r="Q223" s="39"/>
      <c r="R223" s="39"/>
      <c r="S223" s="39"/>
      <c r="T223" s="39"/>
      <c r="U223" s="39"/>
      <c r="V223" s="39"/>
      <c r="W223" s="39"/>
      <c r="X223" s="39"/>
      <c r="Y223" s="39"/>
      <c r="Z223" s="39"/>
      <c r="AA223" s="39"/>
      <c r="AB223" s="39"/>
      <c r="AC223" s="35">
        <f t="shared" si="126"/>
        <v>0</v>
      </c>
      <c r="AD223" s="40"/>
      <c r="AE223" s="40"/>
      <c r="AF223" s="40"/>
      <c r="AG223" s="40"/>
      <c r="AH223" s="40"/>
      <c r="AI223" s="40"/>
      <c r="AJ223" s="40"/>
      <c r="AK223" s="40"/>
      <c r="AL223" s="40"/>
      <c r="AM223" s="40"/>
      <c r="AN223" s="40"/>
      <c r="AO223" s="40"/>
      <c r="AP223" s="40"/>
      <c r="AQ223" s="40"/>
      <c r="AR223" s="40"/>
      <c r="AS223" s="40"/>
      <c r="AT223" s="41"/>
      <c r="AU223" s="1806"/>
      <c r="AV223" s="1517">
        <f t="shared" si="127"/>
        <v>0</v>
      </c>
      <c r="AW223" s="1517">
        <f t="shared" si="128"/>
        <v>0</v>
      </c>
      <c r="AX223" s="1517">
        <f t="shared" si="129"/>
        <v>0</v>
      </c>
      <c r="AY223" s="42">
        <f t="shared" si="130"/>
        <v>0</v>
      </c>
      <c r="AZ223" s="35">
        <f t="shared" si="131"/>
        <v>0</v>
      </c>
      <c r="BA223" s="35">
        <f t="shared" si="132"/>
        <v>0</v>
      </c>
      <c r="BB223" s="35">
        <f t="shared" si="133"/>
        <v>0</v>
      </c>
      <c r="BC223" s="35">
        <f t="shared" si="134"/>
        <v>0</v>
      </c>
      <c r="BD223" s="35">
        <f t="shared" si="135"/>
        <v>0</v>
      </c>
      <c r="BE223" s="35">
        <f t="shared" si="136"/>
        <v>0</v>
      </c>
      <c r="BF223" s="35">
        <f t="shared" si="137"/>
        <v>0</v>
      </c>
      <c r="BG223" s="35">
        <f t="shared" si="138"/>
        <v>0</v>
      </c>
      <c r="BH223" s="35">
        <f t="shared" si="139"/>
        <v>0</v>
      </c>
      <c r="BI223" s="35">
        <f t="shared" si="140"/>
        <v>0</v>
      </c>
      <c r="BJ223" s="35">
        <f t="shared" si="141"/>
        <v>0</v>
      </c>
      <c r="BK223" s="35">
        <f t="shared" si="142"/>
        <v>0</v>
      </c>
      <c r="BL223" s="35">
        <f t="shared" si="143"/>
        <v>0</v>
      </c>
      <c r="BM223" s="35">
        <f t="shared" si="144"/>
        <v>0</v>
      </c>
      <c r="BN223" s="35">
        <f t="shared" si="145"/>
        <v>0</v>
      </c>
      <c r="BO223" s="35">
        <f t="shared" si="146"/>
        <v>0</v>
      </c>
      <c r="BP223" s="35">
        <f t="shared" si="147"/>
        <v>0</v>
      </c>
      <c r="BQ223" s="35">
        <f t="shared" si="148"/>
        <v>0</v>
      </c>
      <c r="BR223" s="35">
        <f t="shared" si="149"/>
        <v>0</v>
      </c>
      <c r="BS223" s="35">
        <f t="shared" si="150"/>
        <v>0</v>
      </c>
      <c r="BT223" s="43">
        <f t="shared" si="151"/>
        <v>0</v>
      </c>
    </row>
    <row r="224" spans="1:72">
      <c r="A224" s="9"/>
      <c r="B224" s="34"/>
      <c r="C224" s="34"/>
      <c r="D224" s="1805"/>
      <c r="E224" s="35">
        <f t="shared" si="123"/>
        <v>0</v>
      </c>
      <c r="F224" s="36"/>
      <c r="G224" s="37">
        <f t="shared" si="124"/>
        <v>0</v>
      </c>
      <c r="H224" s="38">
        <f t="shared" si="125"/>
        <v>0</v>
      </c>
      <c r="I224" s="39"/>
      <c r="J224" s="39"/>
      <c r="K224" s="39"/>
      <c r="L224" s="39"/>
      <c r="M224" s="39"/>
      <c r="N224" s="39"/>
      <c r="O224" s="39"/>
      <c r="P224" s="39"/>
      <c r="Q224" s="39"/>
      <c r="R224" s="39"/>
      <c r="S224" s="39"/>
      <c r="T224" s="39"/>
      <c r="U224" s="39"/>
      <c r="V224" s="39"/>
      <c r="W224" s="39"/>
      <c r="X224" s="39"/>
      <c r="Y224" s="39"/>
      <c r="Z224" s="39"/>
      <c r="AA224" s="39"/>
      <c r="AB224" s="39"/>
      <c r="AC224" s="35">
        <f t="shared" si="126"/>
        <v>0</v>
      </c>
      <c r="AD224" s="40"/>
      <c r="AE224" s="40"/>
      <c r="AF224" s="40"/>
      <c r="AG224" s="40"/>
      <c r="AH224" s="40"/>
      <c r="AI224" s="40"/>
      <c r="AJ224" s="40"/>
      <c r="AK224" s="40"/>
      <c r="AL224" s="40"/>
      <c r="AM224" s="40"/>
      <c r="AN224" s="40"/>
      <c r="AO224" s="40"/>
      <c r="AP224" s="40"/>
      <c r="AQ224" s="40"/>
      <c r="AR224" s="40"/>
      <c r="AS224" s="40"/>
      <c r="AT224" s="41"/>
      <c r="AU224" s="1806"/>
      <c r="AV224" s="1517">
        <f t="shared" si="127"/>
        <v>0</v>
      </c>
      <c r="AW224" s="1517">
        <f t="shared" si="128"/>
        <v>0</v>
      </c>
      <c r="AX224" s="1517">
        <f t="shared" si="129"/>
        <v>0</v>
      </c>
      <c r="AY224" s="42">
        <f t="shared" si="130"/>
        <v>0</v>
      </c>
      <c r="AZ224" s="35">
        <f t="shared" si="131"/>
        <v>0</v>
      </c>
      <c r="BA224" s="35">
        <f t="shared" si="132"/>
        <v>0</v>
      </c>
      <c r="BB224" s="35">
        <f t="shared" si="133"/>
        <v>0</v>
      </c>
      <c r="BC224" s="35">
        <f t="shared" si="134"/>
        <v>0</v>
      </c>
      <c r="BD224" s="35">
        <f t="shared" si="135"/>
        <v>0</v>
      </c>
      <c r="BE224" s="35">
        <f t="shared" si="136"/>
        <v>0</v>
      </c>
      <c r="BF224" s="35">
        <f t="shared" si="137"/>
        <v>0</v>
      </c>
      <c r="BG224" s="35">
        <f t="shared" si="138"/>
        <v>0</v>
      </c>
      <c r="BH224" s="35">
        <f t="shared" si="139"/>
        <v>0</v>
      </c>
      <c r="BI224" s="35">
        <f t="shared" si="140"/>
        <v>0</v>
      </c>
      <c r="BJ224" s="35">
        <f t="shared" si="141"/>
        <v>0</v>
      </c>
      <c r="BK224" s="35">
        <f t="shared" si="142"/>
        <v>0</v>
      </c>
      <c r="BL224" s="35">
        <f t="shared" si="143"/>
        <v>0</v>
      </c>
      <c r="BM224" s="35">
        <f t="shared" si="144"/>
        <v>0</v>
      </c>
      <c r="BN224" s="35">
        <f t="shared" si="145"/>
        <v>0</v>
      </c>
      <c r="BO224" s="35">
        <f t="shared" si="146"/>
        <v>0</v>
      </c>
      <c r="BP224" s="35">
        <f t="shared" si="147"/>
        <v>0</v>
      </c>
      <c r="BQ224" s="35">
        <f t="shared" si="148"/>
        <v>0</v>
      </c>
      <c r="BR224" s="35">
        <f t="shared" si="149"/>
        <v>0</v>
      </c>
      <c r="BS224" s="35">
        <f t="shared" si="150"/>
        <v>0</v>
      </c>
      <c r="BT224" s="43">
        <f t="shared" si="151"/>
        <v>0</v>
      </c>
    </row>
    <row r="225" spans="1:72">
      <c r="A225" s="9"/>
      <c r="B225" s="34"/>
      <c r="C225" s="34"/>
      <c r="D225" s="1805"/>
      <c r="E225" s="35">
        <f t="shared" si="123"/>
        <v>0</v>
      </c>
      <c r="F225" s="36"/>
      <c r="G225" s="37">
        <f t="shared" si="124"/>
        <v>0</v>
      </c>
      <c r="H225" s="38">
        <f t="shared" si="125"/>
        <v>0</v>
      </c>
      <c r="I225" s="39"/>
      <c r="J225" s="39"/>
      <c r="K225" s="39"/>
      <c r="L225" s="39"/>
      <c r="M225" s="39"/>
      <c r="N225" s="39"/>
      <c r="O225" s="39"/>
      <c r="P225" s="39"/>
      <c r="Q225" s="39"/>
      <c r="R225" s="39"/>
      <c r="S225" s="39"/>
      <c r="T225" s="39"/>
      <c r="U225" s="39"/>
      <c r="V225" s="39"/>
      <c r="W225" s="39"/>
      <c r="X225" s="39"/>
      <c r="Y225" s="39"/>
      <c r="Z225" s="39"/>
      <c r="AA225" s="39"/>
      <c r="AB225" s="39"/>
      <c r="AC225" s="35">
        <f t="shared" si="126"/>
        <v>0</v>
      </c>
      <c r="AD225" s="40"/>
      <c r="AE225" s="40"/>
      <c r="AF225" s="40"/>
      <c r="AG225" s="40"/>
      <c r="AH225" s="40"/>
      <c r="AI225" s="40"/>
      <c r="AJ225" s="40"/>
      <c r="AK225" s="40"/>
      <c r="AL225" s="40"/>
      <c r="AM225" s="40"/>
      <c r="AN225" s="40"/>
      <c r="AO225" s="40"/>
      <c r="AP225" s="40"/>
      <c r="AQ225" s="40"/>
      <c r="AR225" s="40"/>
      <c r="AS225" s="40"/>
      <c r="AT225" s="41"/>
      <c r="AU225" s="1806"/>
      <c r="AV225" s="1517">
        <f t="shared" si="127"/>
        <v>0</v>
      </c>
      <c r="AW225" s="1517">
        <f t="shared" si="128"/>
        <v>0</v>
      </c>
      <c r="AX225" s="1517">
        <f t="shared" si="129"/>
        <v>0</v>
      </c>
      <c r="AY225" s="42">
        <f t="shared" si="130"/>
        <v>0</v>
      </c>
      <c r="AZ225" s="35">
        <f t="shared" si="131"/>
        <v>0</v>
      </c>
      <c r="BA225" s="35">
        <f t="shared" si="132"/>
        <v>0</v>
      </c>
      <c r="BB225" s="35">
        <f t="shared" si="133"/>
        <v>0</v>
      </c>
      <c r="BC225" s="35">
        <f t="shared" si="134"/>
        <v>0</v>
      </c>
      <c r="BD225" s="35">
        <f t="shared" si="135"/>
        <v>0</v>
      </c>
      <c r="BE225" s="35">
        <f t="shared" si="136"/>
        <v>0</v>
      </c>
      <c r="BF225" s="35">
        <f t="shared" si="137"/>
        <v>0</v>
      </c>
      <c r="BG225" s="35">
        <f t="shared" si="138"/>
        <v>0</v>
      </c>
      <c r="BH225" s="35">
        <f t="shared" si="139"/>
        <v>0</v>
      </c>
      <c r="BI225" s="35">
        <f t="shared" si="140"/>
        <v>0</v>
      </c>
      <c r="BJ225" s="35">
        <f t="shared" si="141"/>
        <v>0</v>
      </c>
      <c r="BK225" s="35">
        <f t="shared" si="142"/>
        <v>0</v>
      </c>
      <c r="BL225" s="35">
        <f t="shared" si="143"/>
        <v>0</v>
      </c>
      <c r="BM225" s="35">
        <f t="shared" si="144"/>
        <v>0</v>
      </c>
      <c r="BN225" s="35">
        <f t="shared" si="145"/>
        <v>0</v>
      </c>
      <c r="BO225" s="35">
        <f t="shared" si="146"/>
        <v>0</v>
      </c>
      <c r="BP225" s="35">
        <f t="shared" si="147"/>
        <v>0</v>
      </c>
      <c r="BQ225" s="35">
        <f t="shared" si="148"/>
        <v>0</v>
      </c>
      <c r="BR225" s="35">
        <f t="shared" si="149"/>
        <v>0</v>
      </c>
      <c r="BS225" s="35">
        <f t="shared" si="150"/>
        <v>0</v>
      </c>
      <c r="BT225" s="43">
        <f t="shared" si="151"/>
        <v>0</v>
      </c>
    </row>
    <row r="226" spans="1:72">
      <c r="A226" s="9"/>
      <c r="B226" s="34"/>
      <c r="C226" s="34"/>
      <c r="D226" s="1805"/>
      <c r="E226" s="35">
        <f t="shared" si="123"/>
        <v>0</v>
      </c>
      <c r="F226" s="36"/>
      <c r="G226" s="37">
        <f t="shared" si="124"/>
        <v>0</v>
      </c>
      <c r="H226" s="38">
        <f t="shared" si="125"/>
        <v>0</v>
      </c>
      <c r="I226" s="39"/>
      <c r="J226" s="39"/>
      <c r="K226" s="39"/>
      <c r="L226" s="39"/>
      <c r="M226" s="39"/>
      <c r="N226" s="39"/>
      <c r="O226" s="39"/>
      <c r="P226" s="39"/>
      <c r="Q226" s="39"/>
      <c r="R226" s="39"/>
      <c r="S226" s="39"/>
      <c r="T226" s="39"/>
      <c r="U226" s="39"/>
      <c r="V226" s="39"/>
      <c r="W226" s="39"/>
      <c r="X226" s="39"/>
      <c r="Y226" s="39"/>
      <c r="Z226" s="39"/>
      <c r="AA226" s="39"/>
      <c r="AB226" s="39"/>
      <c r="AC226" s="35">
        <f t="shared" si="126"/>
        <v>0</v>
      </c>
      <c r="AD226" s="40"/>
      <c r="AE226" s="40"/>
      <c r="AF226" s="40"/>
      <c r="AG226" s="40"/>
      <c r="AH226" s="40"/>
      <c r="AI226" s="40"/>
      <c r="AJ226" s="40"/>
      <c r="AK226" s="40"/>
      <c r="AL226" s="40"/>
      <c r="AM226" s="40"/>
      <c r="AN226" s="40"/>
      <c r="AO226" s="40"/>
      <c r="AP226" s="40"/>
      <c r="AQ226" s="40"/>
      <c r="AR226" s="40"/>
      <c r="AS226" s="40"/>
      <c r="AT226" s="41"/>
      <c r="AU226" s="1806"/>
      <c r="AV226" s="1517">
        <f t="shared" si="127"/>
        <v>0</v>
      </c>
      <c r="AW226" s="1517">
        <f t="shared" si="128"/>
        <v>0</v>
      </c>
      <c r="AX226" s="1517">
        <f t="shared" si="129"/>
        <v>0</v>
      </c>
      <c r="AY226" s="42">
        <f t="shared" si="130"/>
        <v>0</v>
      </c>
      <c r="AZ226" s="35">
        <f t="shared" si="131"/>
        <v>0</v>
      </c>
      <c r="BA226" s="35">
        <f t="shared" si="132"/>
        <v>0</v>
      </c>
      <c r="BB226" s="35">
        <f t="shared" si="133"/>
        <v>0</v>
      </c>
      <c r="BC226" s="35">
        <f t="shared" si="134"/>
        <v>0</v>
      </c>
      <c r="BD226" s="35">
        <f t="shared" si="135"/>
        <v>0</v>
      </c>
      <c r="BE226" s="35">
        <f t="shared" si="136"/>
        <v>0</v>
      </c>
      <c r="BF226" s="35">
        <f t="shared" si="137"/>
        <v>0</v>
      </c>
      <c r="BG226" s="35">
        <f t="shared" si="138"/>
        <v>0</v>
      </c>
      <c r="BH226" s="35">
        <f t="shared" si="139"/>
        <v>0</v>
      </c>
      <c r="BI226" s="35">
        <f t="shared" si="140"/>
        <v>0</v>
      </c>
      <c r="BJ226" s="35">
        <f t="shared" si="141"/>
        <v>0</v>
      </c>
      <c r="BK226" s="35">
        <f t="shared" si="142"/>
        <v>0</v>
      </c>
      <c r="BL226" s="35">
        <f t="shared" si="143"/>
        <v>0</v>
      </c>
      <c r="BM226" s="35">
        <f t="shared" si="144"/>
        <v>0</v>
      </c>
      <c r="BN226" s="35">
        <f t="shared" si="145"/>
        <v>0</v>
      </c>
      <c r="BO226" s="35">
        <f t="shared" si="146"/>
        <v>0</v>
      </c>
      <c r="BP226" s="35">
        <f t="shared" si="147"/>
        <v>0</v>
      </c>
      <c r="BQ226" s="35">
        <f t="shared" si="148"/>
        <v>0</v>
      </c>
      <c r="BR226" s="35">
        <f t="shared" si="149"/>
        <v>0</v>
      </c>
      <c r="BS226" s="35">
        <f t="shared" si="150"/>
        <v>0</v>
      </c>
      <c r="BT226" s="43">
        <f t="shared" si="151"/>
        <v>0</v>
      </c>
    </row>
    <row r="227" spans="1:72">
      <c r="A227" s="9"/>
      <c r="B227" s="34"/>
      <c r="C227" s="34"/>
      <c r="D227" s="1805"/>
      <c r="E227" s="35">
        <f t="shared" si="123"/>
        <v>0</v>
      </c>
      <c r="F227" s="36"/>
      <c r="G227" s="37">
        <f t="shared" si="124"/>
        <v>0</v>
      </c>
      <c r="H227" s="38">
        <f t="shared" si="125"/>
        <v>0</v>
      </c>
      <c r="I227" s="39"/>
      <c r="J227" s="39"/>
      <c r="K227" s="39"/>
      <c r="L227" s="39"/>
      <c r="M227" s="39"/>
      <c r="N227" s="39"/>
      <c r="O227" s="39"/>
      <c r="P227" s="39"/>
      <c r="Q227" s="39"/>
      <c r="R227" s="39"/>
      <c r="S227" s="39"/>
      <c r="T227" s="39"/>
      <c r="U227" s="39"/>
      <c r="V227" s="39"/>
      <c r="W227" s="39"/>
      <c r="X227" s="39"/>
      <c r="Y227" s="39"/>
      <c r="Z227" s="39"/>
      <c r="AA227" s="39"/>
      <c r="AB227" s="39"/>
      <c r="AC227" s="35">
        <f t="shared" si="126"/>
        <v>0</v>
      </c>
      <c r="AD227" s="40"/>
      <c r="AE227" s="40"/>
      <c r="AF227" s="40"/>
      <c r="AG227" s="40"/>
      <c r="AH227" s="40"/>
      <c r="AI227" s="40"/>
      <c r="AJ227" s="40"/>
      <c r="AK227" s="40"/>
      <c r="AL227" s="40"/>
      <c r="AM227" s="40"/>
      <c r="AN227" s="40"/>
      <c r="AO227" s="40"/>
      <c r="AP227" s="40"/>
      <c r="AQ227" s="40"/>
      <c r="AR227" s="40"/>
      <c r="AS227" s="40"/>
      <c r="AT227" s="41"/>
      <c r="AU227" s="1806"/>
      <c r="AV227" s="1517">
        <f t="shared" si="127"/>
        <v>0</v>
      </c>
      <c r="AW227" s="1517">
        <f t="shared" si="128"/>
        <v>0</v>
      </c>
      <c r="AX227" s="1517">
        <f t="shared" si="129"/>
        <v>0</v>
      </c>
      <c r="AY227" s="42">
        <f t="shared" si="130"/>
        <v>0</v>
      </c>
      <c r="AZ227" s="35">
        <f t="shared" si="131"/>
        <v>0</v>
      </c>
      <c r="BA227" s="35">
        <f t="shared" si="132"/>
        <v>0</v>
      </c>
      <c r="BB227" s="35">
        <f t="shared" si="133"/>
        <v>0</v>
      </c>
      <c r="BC227" s="35">
        <f t="shared" si="134"/>
        <v>0</v>
      </c>
      <c r="BD227" s="35">
        <f t="shared" si="135"/>
        <v>0</v>
      </c>
      <c r="BE227" s="35">
        <f t="shared" si="136"/>
        <v>0</v>
      </c>
      <c r="BF227" s="35">
        <f t="shared" si="137"/>
        <v>0</v>
      </c>
      <c r="BG227" s="35">
        <f t="shared" si="138"/>
        <v>0</v>
      </c>
      <c r="BH227" s="35">
        <f t="shared" si="139"/>
        <v>0</v>
      </c>
      <c r="BI227" s="35">
        <f t="shared" si="140"/>
        <v>0</v>
      </c>
      <c r="BJ227" s="35">
        <f t="shared" si="141"/>
        <v>0</v>
      </c>
      <c r="BK227" s="35">
        <f t="shared" si="142"/>
        <v>0</v>
      </c>
      <c r="BL227" s="35">
        <f t="shared" si="143"/>
        <v>0</v>
      </c>
      <c r="BM227" s="35">
        <f t="shared" si="144"/>
        <v>0</v>
      </c>
      <c r="BN227" s="35">
        <f t="shared" si="145"/>
        <v>0</v>
      </c>
      <c r="BO227" s="35">
        <f t="shared" si="146"/>
        <v>0</v>
      </c>
      <c r="BP227" s="35">
        <f t="shared" si="147"/>
        <v>0</v>
      </c>
      <c r="BQ227" s="35">
        <f t="shared" si="148"/>
        <v>0</v>
      </c>
      <c r="BR227" s="35">
        <f t="shared" si="149"/>
        <v>0</v>
      </c>
      <c r="BS227" s="35">
        <f t="shared" si="150"/>
        <v>0</v>
      </c>
      <c r="BT227" s="43">
        <f t="shared" si="151"/>
        <v>0</v>
      </c>
    </row>
    <row r="228" spans="1:72">
      <c r="A228" s="9"/>
      <c r="B228" s="34"/>
      <c r="C228" s="34"/>
      <c r="D228" s="1805"/>
      <c r="E228" s="35">
        <f t="shared" si="123"/>
        <v>0</v>
      </c>
      <c r="F228" s="36"/>
      <c r="G228" s="37">
        <f t="shared" si="124"/>
        <v>0</v>
      </c>
      <c r="H228" s="38">
        <f t="shared" si="125"/>
        <v>0</v>
      </c>
      <c r="I228" s="39"/>
      <c r="J228" s="39"/>
      <c r="K228" s="39"/>
      <c r="L228" s="39"/>
      <c r="M228" s="39"/>
      <c r="N228" s="39"/>
      <c r="O228" s="39"/>
      <c r="P228" s="39"/>
      <c r="Q228" s="39"/>
      <c r="R228" s="39"/>
      <c r="S228" s="39"/>
      <c r="T228" s="39"/>
      <c r="U228" s="39"/>
      <c r="V228" s="39"/>
      <c r="W228" s="39"/>
      <c r="X228" s="39"/>
      <c r="Y228" s="39"/>
      <c r="Z228" s="39"/>
      <c r="AA228" s="39"/>
      <c r="AB228" s="39"/>
      <c r="AC228" s="35">
        <f t="shared" si="126"/>
        <v>0</v>
      </c>
      <c r="AD228" s="40"/>
      <c r="AE228" s="40"/>
      <c r="AF228" s="40"/>
      <c r="AG228" s="40"/>
      <c r="AH228" s="40"/>
      <c r="AI228" s="40"/>
      <c r="AJ228" s="40"/>
      <c r="AK228" s="40"/>
      <c r="AL228" s="40"/>
      <c r="AM228" s="40"/>
      <c r="AN228" s="40"/>
      <c r="AO228" s="40"/>
      <c r="AP228" s="40"/>
      <c r="AQ228" s="40"/>
      <c r="AR228" s="40"/>
      <c r="AS228" s="40"/>
      <c r="AT228" s="41"/>
      <c r="AU228" s="1806"/>
      <c r="AV228" s="1517">
        <f t="shared" si="127"/>
        <v>0</v>
      </c>
      <c r="AW228" s="1517">
        <f t="shared" si="128"/>
        <v>0</v>
      </c>
      <c r="AX228" s="1517">
        <f t="shared" si="129"/>
        <v>0</v>
      </c>
      <c r="AY228" s="42">
        <f t="shared" si="130"/>
        <v>0</v>
      </c>
      <c r="AZ228" s="35">
        <f t="shared" si="131"/>
        <v>0</v>
      </c>
      <c r="BA228" s="35">
        <f t="shared" si="132"/>
        <v>0</v>
      </c>
      <c r="BB228" s="35">
        <f t="shared" si="133"/>
        <v>0</v>
      </c>
      <c r="BC228" s="35">
        <f t="shared" si="134"/>
        <v>0</v>
      </c>
      <c r="BD228" s="35">
        <f t="shared" si="135"/>
        <v>0</v>
      </c>
      <c r="BE228" s="35">
        <f t="shared" si="136"/>
        <v>0</v>
      </c>
      <c r="BF228" s="35">
        <f t="shared" si="137"/>
        <v>0</v>
      </c>
      <c r="BG228" s="35">
        <f t="shared" si="138"/>
        <v>0</v>
      </c>
      <c r="BH228" s="35">
        <f t="shared" si="139"/>
        <v>0</v>
      </c>
      <c r="BI228" s="35">
        <f t="shared" si="140"/>
        <v>0</v>
      </c>
      <c r="BJ228" s="35">
        <f t="shared" si="141"/>
        <v>0</v>
      </c>
      <c r="BK228" s="35">
        <f t="shared" si="142"/>
        <v>0</v>
      </c>
      <c r="BL228" s="35">
        <f t="shared" si="143"/>
        <v>0</v>
      </c>
      <c r="BM228" s="35">
        <f t="shared" si="144"/>
        <v>0</v>
      </c>
      <c r="BN228" s="35">
        <f t="shared" si="145"/>
        <v>0</v>
      </c>
      <c r="BO228" s="35">
        <f t="shared" si="146"/>
        <v>0</v>
      </c>
      <c r="BP228" s="35">
        <f t="shared" si="147"/>
        <v>0</v>
      </c>
      <c r="BQ228" s="35">
        <f t="shared" si="148"/>
        <v>0</v>
      </c>
      <c r="BR228" s="35">
        <f t="shared" si="149"/>
        <v>0</v>
      </c>
      <c r="BS228" s="35">
        <f t="shared" si="150"/>
        <v>0</v>
      </c>
      <c r="BT228" s="43">
        <f t="shared" si="151"/>
        <v>0</v>
      </c>
    </row>
    <row r="229" spans="1:72">
      <c r="A229" s="9"/>
      <c r="B229" s="34"/>
      <c r="C229" s="34"/>
      <c r="D229" s="1805"/>
      <c r="E229" s="35">
        <f t="shared" si="123"/>
        <v>0</v>
      </c>
      <c r="F229" s="36"/>
      <c r="G229" s="37">
        <f t="shared" si="124"/>
        <v>0</v>
      </c>
      <c r="H229" s="38">
        <f t="shared" si="125"/>
        <v>0</v>
      </c>
      <c r="I229" s="39"/>
      <c r="J229" s="39"/>
      <c r="K229" s="39"/>
      <c r="L229" s="39"/>
      <c r="M229" s="39"/>
      <c r="N229" s="39"/>
      <c r="O229" s="39"/>
      <c r="P229" s="39"/>
      <c r="Q229" s="39"/>
      <c r="R229" s="39"/>
      <c r="S229" s="39"/>
      <c r="T229" s="39"/>
      <c r="U229" s="39"/>
      <c r="V229" s="39"/>
      <c r="W229" s="39"/>
      <c r="X229" s="39"/>
      <c r="Y229" s="39"/>
      <c r="Z229" s="39"/>
      <c r="AA229" s="39"/>
      <c r="AB229" s="39"/>
      <c r="AC229" s="35">
        <f t="shared" si="126"/>
        <v>0</v>
      </c>
      <c r="AD229" s="40"/>
      <c r="AE229" s="40"/>
      <c r="AF229" s="40"/>
      <c r="AG229" s="40"/>
      <c r="AH229" s="40"/>
      <c r="AI229" s="40"/>
      <c r="AJ229" s="40"/>
      <c r="AK229" s="40"/>
      <c r="AL229" s="40"/>
      <c r="AM229" s="40"/>
      <c r="AN229" s="40"/>
      <c r="AO229" s="40"/>
      <c r="AP229" s="40"/>
      <c r="AQ229" s="40"/>
      <c r="AR229" s="40"/>
      <c r="AS229" s="40"/>
      <c r="AT229" s="41"/>
      <c r="AU229" s="1806"/>
      <c r="AV229" s="1517">
        <f t="shared" si="127"/>
        <v>0</v>
      </c>
      <c r="AW229" s="1517">
        <f t="shared" si="128"/>
        <v>0</v>
      </c>
      <c r="AX229" s="1517">
        <f t="shared" si="129"/>
        <v>0</v>
      </c>
      <c r="AY229" s="42">
        <f t="shared" si="130"/>
        <v>0</v>
      </c>
      <c r="AZ229" s="35">
        <f t="shared" si="131"/>
        <v>0</v>
      </c>
      <c r="BA229" s="35">
        <f t="shared" si="132"/>
        <v>0</v>
      </c>
      <c r="BB229" s="35">
        <f t="shared" si="133"/>
        <v>0</v>
      </c>
      <c r="BC229" s="35">
        <f t="shared" si="134"/>
        <v>0</v>
      </c>
      <c r="BD229" s="35">
        <f t="shared" si="135"/>
        <v>0</v>
      </c>
      <c r="BE229" s="35">
        <f t="shared" si="136"/>
        <v>0</v>
      </c>
      <c r="BF229" s="35">
        <f t="shared" si="137"/>
        <v>0</v>
      </c>
      <c r="BG229" s="35">
        <f t="shared" si="138"/>
        <v>0</v>
      </c>
      <c r="BH229" s="35">
        <f t="shared" si="139"/>
        <v>0</v>
      </c>
      <c r="BI229" s="35">
        <f t="shared" si="140"/>
        <v>0</v>
      </c>
      <c r="BJ229" s="35">
        <f t="shared" si="141"/>
        <v>0</v>
      </c>
      <c r="BK229" s="35">
        <f t="shared" si="142"/>
        <v>0</v>
      </c>
      <c r="BL229" s="35">
        <f t="shared" si="143"/>
        <v>0</v>
      </c>
      <c r="BM229" s="35">
        <f t="shared" si="144"/>
        <v>0</v>
      </c>
      <c r="BN229" s="35">
        <f t="shared" si="145"/>
        <v>0</v>
      </c>
      <c r="BO229" s="35">
        <f t="shared" si="146"/>
        <v>0</v>
      </c>
      <c r="BP229" s="35">
        <f t="shared" si="147"/>
        <v>0</v>
      </c>
      <c r="BQ229" s="35">
        <f t="shared" si="148"/>
        <v>0</v>
      </c>
      <c r="BR229" s="35">
        <f t="shared" si="149"/>
        <v>0</v>
      </c>
      <c r="BS229" s="35">
        <f t="shared" si="150"/>
        <v>0</v>
      </c>
      <c r="BT229" s="43">
        <f t="shared" si="151"/>
        <v>0</v>
      </c>
    </row>
    <row r="230" spans="1:72">
      <c r="A230" s="9"/>
      <c r="B230" s="34"/>
      <c r="C230" s="34"/>
      <c r="D230" s="1805"/>
      <c r="E230" s="35">
        <f t="shared" si="123"/>
        <v>0</v>
      </c>
      <c r="F230" s="36"/>
      <c r="G230" s="37">
        <f t="shared" si="124"/>
        <v>0</v>
      </c>
      <c r="H230" s="38">
        <f t="shared" si="125"/>
        <v>0</v>
      </c>
      <c r="I230" s="39"/>
      <c r="J230" s="39"/>
      <c r="K230" s="39"/>
      <c r="L230" s="39"/>
      <c r="M230" s="39"/>
      <c r="N230" s="39"/>
      <c r="O230" s="39"/>
      <c r="P230" s="39"/>
      <c r="Q230" s="39"/>
      <c r="R230" s="39"/>
      <c r="S230" s="39"/>
      <c r="T230" s="39"/>
      <c r="U230" s="39"/>
      <c r="V230" s="39"/>
      <c r="W230" s="39"/>
      <c r="X230" s="39"/>
      <c r="Y230" s="39"/>
      <c r="Z230" s="39"/>
      <c r="AA230" s="39"/>
      <c r="AB230" s="39"/>
      <c r="AC230" s="35">
        <f t="shared" si="126"/>
        <v>0</v>
      </c>
      <c r="AD230" s="40"/>
      <c r="AE230" s="40"/>
      <c r="AF230" s="40"/>
      <c r="AG230" s="40"/>
      <c r="AH230" s="40"/>
      <c r="AI230" s="40"/>
      <c r="AJ230" s="40"/>
      <c r="AK230" s="40"/>
      <c r="AL230" s="40"/>
      <c r="AM230" s="40"/>
      <c r="AN230" s="40"/>
      <c r="AO230" s="40"/>
      <c r="AP230" s="40"/>
      <c r="AQ230" s="40"/>
      <c r="AR230" s="40"/>
      <c r="AS230" s="40"/>
      <c r="AT230" s="41"/>
      <c r="AU230" s="1806"/>
      <c r="AV230" s="1517">
        <f t="shared" si="127"/>
        <v>0</v>
      </c>
      <c r="AW230" s="1517">
        <f t="shared" si="128"/>
        <v>0</v>
      </c>
      <c r="AX230" s="1517">
        <f t="shared" si="129"/>
        <v>0</v>
      </c>
      <c r="AY230" s="42">
        <f t="shared" si="130"/>
        <v>0</v>
      </c>
      <c r="AZ230" s="35">
        <f t="shared" si="131"/>
        <v>0</v>
      </c>
      <c r="BA230" s="35">
        <f t="shared" si="132"/>
        <v>0</v>
      </c>
      <c r="BB230" s="35">
        <f t="shared" si="133"/>
        <v>0</v>
      </c>
      <c r="BC230" s="35">
        <f t="shared" si="134"/>
        <v>0</v>
      </c>
      <c r="BD230" s="35">
        <f t="shared" si="135"/>
        <v>0</v>
      </c>
      <c r="BE230" s="35">
        <f t="shared" si="136"/>
        <v>0</v>
      </c>
      <c r="BF230" s="35">
        <f t="shared" si="137"/>
        <v>0</v>
      </c>
      <c r="BG230" s="35">
        <f t="shared" si="138"/>
        <v>0</v>
      </c>
      <c r="BH230" s="35">
        <f t="shared" si="139"/>
        <v>0</v>
      </c>
      <c r="BI230" s="35">
        <f t="shared" si="140"/>
        <v>0</v>
      </c>
      <c r="BJ230" s="35">
        <f t="shared" si="141"/>
        <v>0</v>
      </c>
      <c r="BK230" s="35">
        <f t="shared" si="142"/>
        <v>0</v>
      </c>
      <c r="BL230" s="35">
        <f t="shared" si="143"/>
        <v>0</v>
      </c>
      <c r="BM230" s="35">
        <f t="shared" si="144"/>
        <v>0</v>
      </c>
      <c r="BN230" s="35">
        <f t="shared" si="145"/>
        <v>0</v>
      </c>
      <c r="BO230" s="35">
        <f t="shared" si="146"/>
        <v>0</v>
      </c>
      <c r="BP230" s="35">
        <f t="shared" si="147"/>
        <v>0</v>
      </c>
      <c r="BQ230" s="35">
        <f t="shared" si="148"/>
        <v>0</v>
      </c>
      <c r="BR230" s="35">
        <f t="shared" si="149"/>
        <v>0</v>
      </c>
      <c r="BS230" s="35">
        <f t="shared" si="150"/>
        <v>0</v>
      </c>
      <c r="BT230" s="43">
        <f t="shared" si="151"/>
        <v>0</v>
      </c>
    </row>
    <row r="231" spans="1:72">
      <c r="A231" s="9"/>
      <c r="B231" s="34"/>
      <c r="C231" s="34"/>
      <c r="D231" s="1805"/>
      <c r="E231" s="35">
        <f t="shared" si="123"/>
        <v>0</v>
      </c>
      <c r="F231" s="36"/>
      <c r="G231" s="37">
        <f t="shared" si="124"/>
        <v>0</v>
      </c>
      <c r="H231" s="38">
        <f t="shared" si="125"/>
        <v>0</v>
      </c>
      <c r="I231" s="39"/>
      <c r="J231" s="39"/>
      <c r="K231" s="39"/>
      <c r="L231" s="39"/>
      <c r="M231" s="39"/>
      <c r="N231" s="39"/>
      <c r="O231" s="39"/>
      <c r="P231" s="39"/>
      <c r="Q231" s="39"/>
      <c r="R231" s="39"/>
      <c r="S231" s="39"/>
      <c r="T231" s="39"/>
      <c r="U231" s="39"/>
      <c r="V231" s="39"/>
      <c r="W231" s="39"/>
      <c r="X231" s="39"/>
      <c r="Y231" s="39"/>
      <c r="Z231" s="39"/>
      <c r="AA231" s="39"/>
      <c r="AB231" s="39"/>
      <c r="AC231" s="35">
        <f t="shared" si="126"/>
        <v>0</v>
      </c>
      <c r="AD231" s="40"/>
      <c r="AE231" s="40"/>
      <c r="AF231" s="40"/>
      <c r="AG231" s="40"/>
      <c r="AH231" s="40"/>
      <c r="AI231" s="40"/>
      <c r="AJ231" s="40"/>
      <c r="AK231" s="40"/>
      <c r="AL231" s="40"/>
      <c r="AM231" s="40"/>
      <c r="AN231" s="40"/>
      <c r="AO231" s="40"/>
      <c r="AP231" s="40"/>
      <c r="AQ231" s="40"/>
      <c r="AR231" s="40"/>
      <c r="AS231" s="40"/>
      <c r="AT231" s="41"/>
      <c r="AU231" s="1806"/>
      <c r="AV231" s="1517">
        <f t="shared" si="127"/>
        <v>0</v>
      </c>
      <c r="AW231" s="1517">
        <f t="shared" si="128"/>
        <v>0</v>
      </c>
      <c r="AX231" s="1517">
        <f t="shared" si="129"/>
        <v>0</v>
      </c>
      <c r="AY231" s="42">
        <f t="shared" si="130"/>
        <v>0</v>
      </c>
      <c r="AZ231" s="35">
        <f t="shared" si="131"/>
        <v>0</v>
      </c>
      <c r="BA231" s="35">
        <f t="shared" si="132"/>
        <v>0</v>
      </c>
      <c r="BB231" s="35">
        <f t="shared" si="133"/>
        <v>0</v>
      </c>
      <c r="BC231" s="35">
        <f t="shared" si="134"/>
        <v>0</v>
      </c>
      <c r="BD231" s="35">
        <f t="shared" si="135"/>
        <v>0</v>
      </c>
      <c r="BE231" s="35">
        <f t="shared" si="136"/>
        <v>0</v>
      </c>
      <c r="BF231" s="35">
        <f t="shared" si="137"/>
        <v>0</v>
      </c>
      <c r="BG231" s="35">
        <f t="shared" si="138"/>
        <v>0</v>
      </c>
      <c r="BH231" s="35">
        <f t="shared" si="139"/>
        <v>0</v>
      </c>
      <c r="BI231" s="35">
        <f t="shared" si="140"/>
        <v>0</v>
      </c>
      <c r="BJ231" s="35">
        <f t="shared" si="141"/>
        <v>0</v>
      </c>
      <c r="BK231" s="35">
        <f t="shared" si="142"/>
        <v>0</v>
      </c>
      <c r="BL231" s="35">
        <f t="shared" si="143"/>
        <v>0</v>
      </c>
      <c r="BM231" s="35">
        <f t="shared" si="144"/>
        <v>0</v>
      </c>
      <c r="BN231" s="35">
        <f t="shared" si="145"/>
        <v>0</v>
      </c>
      <c r="BO231" s="35">
        <f t="shared" si="146"/>
        <v>0</v>
      </c>
      <c r="BP231" s="35">
        <f t="shared" si="147"/>
        <v>0</v>
      </c>
      <c r="BQ231" s="35">
        <f t="shared" si="148"/>
        <v>0</v>
      </c>
      <c r="BR231" s="35">
        <f t="shared" si="149"/>
        <v>0</v>
      </c>
      <c r="BS231" s="35">
        <f t="shared" si="150"/>
        <v>0</v>
      </c>
      <c r="BT231" s="43">
        <f t="shared" si="151"/>
        <v>0</v>
      </c>
    </row>
    <row r="232" spans="1:72">
      <c r="A232" s="9"/>
      <c r="B232" s="34"/>
      <c r="C232" s="34"/>
      <c r="D232" s="1805"/>
      <c r="E232" s="35">
        <f t="shared" si="123"/>
        <v>0</v>
      </c>
      <c r="F232" s="36"/>
      <c r="G232" s="37">
        <f t="shared" si="124"/>
        <v>0</v>
      </c>
      <c r="H232" s="38">
        <f t="shared" si="125"/>
        <v>0</v>
      </c>
      <c r="I232" s="39"/>
      <c r="J232" s="39"/>
      <c r="K232" s="39"/>
      <c r="L232" s="39"/>
      <c r="M232" s="39"/>
      <c r="N232" s="39"/>
      <c r="O232" s="39"/>
      <c r="P232" s="39"/>
      <c r="Q232" s="39"/>
      <c r="R232" s="39"/>
      <c r="S232" s="39"/>
      <c r="T232" s="39"/>
      <c r="U232" s="39"/>
      <c r="V232" s="39"/>
      <c r="W232" s="39"/>
      <c r="X232" s="39"/>
      <c r="Y232" s="39"/>
      <c r="Z232" s="39"/>
      <c r="AA232" s="39"/>
      <c r="AB232" s="39"/>
      <c r="AC232" s="35">
        <f t="shared" si="126"/>
        <v>0</v>
      </c>
      <c r="AD232" s="40"/>
      <c r="AE232" s="40"/>
      <c r="AF232" s="40"/>
      <c r="AG232" s="40"/>
      <c r="AH232" s="40"/>
      <c r="AI232" s="40"/>
      <c r="AJ232" s="40"/>
      <c r="AK232" s="40"/>
      <c r="AL232" s="40"/>
      <c r="AM232" s="40"/>
      <c r="AN232" s="40"/>
      <c r="AO232" s="40"/>
      <c r="AP232" s="40"/>
      <c r="AQ232" s="40"/>
      <c r="AR232" s="40"/>
      <c r="AS232" s="40"/>
      <c r="AT232" s="41"/>
      <c r="AU232" s="1806"/>
      <c r="AV232" s="1517">
        <f t="shared" si="127"/>
        <v>0</v>
      </c>
      <c r="AW232" s="1517">
        <f t="shared" si="128"/>
        <v>0</v>
      </c>
      <c r="AX232" s="1517">
        <f t="shared" si="129"/>
        <v>0</v>
      </c>
      <c r="AY232" s="42">
        <f t="shared" si="130"/>
        <v>0</v>
      </c>
      <c r="AZ232" s="35">
        <f t="shared" si="131"/>
        <v>0</v>
      </c>
      <c r="BA232" s="35">
        <f t="shared" si="132"/>
        <v>0</v>
      </c>
      <c r="BB232" s="35">
        <f t="shared" si="133"/>
        <v>0</v>
      </c>
      <c r="BC232" s="35">
        <f t="shared" si="134"/>
        <v>0</v>
      </c>
      <c r="BD232" s="35">
        <f t="shared" si="135"/>
        <v>0</v>
      </c>
      <c r="BE232" s="35">
        <f t="shared" si="136"/>
        <v>0</v>
      </c>
      <c r="BF232" s="35">
        <f t="shared" si="137"/>
        <v>0</v>
      </c>
      <c r="BG232" s="35">
        <f t="shared" si="138"/>
        <v>0</v>
      </c>
      <c r="BH232" s="35">
        <f t="shared" si="139"/>
        <v>0</v>
      </c>
      <c r="BI232" s="35">
        <f t="shared" si="140"/>
        <v>0</v>
      </c>
      <c r="BJ232" s="35">
        <f t="shared" si="141"/>
        <v>0</v>
      </c>
      <c r="BK232" s="35">
        <f t="shared" si="142"/>
        <v>0</v>
      </c>
      <c r="BL232" s="35">
        <f t="shared" si="143"/>
        <v>0</v>
      </c>
      <c r="BM232" s="35">
        <f t="shared" si="144"/>
        <v>0</v>
      </c>
      <c r="BN232" s="35">
        <f t="shared" si="145"/>
        <v>0</v>
      </c>
      <c r="BO232" s="35">
        <f t="shared" si="146"/>
        <v>0</v>
      </c>
      <c r="BP232" s="35">
        <f t="shared" si="147"/>
        <v>0</v>
      </c>
      <c r="BQ232" s="35">
        <f t="shared" si="148"/>
        <v>0</v>
      </c>
      <c r="BR232" s="35">
        <f t="shared" si="149"/>
        <v>0</v>
      </c>
      <c r="BS232" s="35">
        <f t="shared" si="150"/>
        <v>0</v>
      </c>
      <c r="BT232" s="43">
        <f t="shared" si="151"/>
        <v>0</v>
      </c>
    </row>
    <row r="233" spans="1:72">
      <c r="A233" s="9"/>
      <c r="B233" s="34"/>
      <c r="C233" s="34"/>
      <c r="D233" s="1805"/>
      <c r="E233" s="35">
        <f t="shared" si="123"/>
        <v>0</v>
      </c>
      <c r="F233" s="36"/>
      <c r="G233" s="37">
        <f t="shared" si="124"/>
        <v>0</v>
      </c>
      <c r="H233" s="38">
        <f t="shared" si="125"/>
        <v>0</v>
      </c>
      <c r="I233" s="39"/>
      <c r="J233" s="39"/>
      <c r="K233" s="39"/>
      <c r="L233" s="39"/>
      <c r="M233" s="39"/>
      <c r="N233" s="39"/>
      <c r="O233" s="39"/>
      <c r="P233" s="39"/>
      <c r="Q233" s="39"/>
      <c r="R233" s="39"/>
      <c r="S233" s="39"/>
      <c r="T233" s="39"/>
      <c r="U233" s="39"/>
      <c r="V233" s="39"/>
      <c r="W233" s="39"/>
      <c r="X233" s="39"/>
      <c r="Y233" s="39"/>
      <c r="Z233" s="39"/>
      <c r="AA233" s="39"/>
      <c r="AB233" s="39"/>
      <c r="AC233" s="35">
        <f t="shared" si="126"/>
        <v>0</v>
      </c>
      <c r="AD233" s="40"/>
      <c r="AE233" s="40"/>
      <c r="AF233" s="40"/>
      <c r="AG233" s="40"/>
      <c r="AH233" s="40"/>
      <c r="AI233" s="40"/>
      <c r="AJ233" s="40"/>
      <c r="AK233" s="40"/>
      <c r="AL233" s="40"/>
      <c r="AM233" s="40"/>
      <c r="AN233" s="40"/>
      <c r="AO233" s="40"/>
      <c r="AP233" s="40"/>
      <c r="AQ233" s="40"/>
      <c r="AR233" s="40"/>
      <c r="AS233" s="40"/>
      <c r="AT233" s="41"/>
      <c r="AU233" s="1806"/>
      <c r="AV233" s="1517">
        <f t="shared" si="127"/>
        <v>0</v>
      </c>
      <c r="AW233" s="1517">
        <f t="shared" si="128"/>
        <v>0</v>
      </c>
      <c r="AX233" s="1517">
        <f t="shared" si="129"/>
        <v>0</v>
      </c>
      <c r="AY233" s="42">
        <f t="shared" si="130"/>
        <v>0</v>
      </c>
      <c r="AZ233" s="35">
        <f t="shared" si="131"/>
        <v>0</v>
      </c>
      <c r="BA233" s="35">
        <f t="shared" si="132"/>
        <v>0</v>
      </c>
      <c r="BB233" s="35">
        <f t="shared" si="133"/>
        <v>0</v>
      </c>
      <c r="BC233" s="35">
        <f t="shared" si="134"/>
        <v>0</v>
      </c>
      <c r="BD233" s="35">
        <f t="shared" si="135"/>
        <v>0</v>
      </c>
      <c r="BE233" s="35">
        <f t="shared" si="136"/>
        <v>0</v>
      </c>
      <c r="BF233" s="35">
        <f t="shared" si="137"/>
        <v>0</v>
      </c>
      <c r="BG233" s="35">
        <f t="shared" si="138"/>
        <v>0</v>
      </c>
      <c r="BH233" s="35">
        <f t="shared" si="139"/>
        <v>0</v>
      </c>
      <c r="BI233" s="35">
        <f t="shared" si="140"/>
        <v>0</v>
      </c>
      <c r="BJ233" s="35">
        <f t="shared" si="141"/>
        <v>0</v>
      </c>
      <c r="BK233" s="35">
        <f t="shared" si="142"/>
        <v>0</v>
      </c>
      <c r="BL233" s="35">
        <f t="shared" si="143"/>
        <v>0</v>
      </c>
      <c r="BM233" s="35">
        <f t="shared" si="144"/>
        <v>0</v>
      </c>
      <c r="BN233" s="35">
        <f t="shared" si="145"/>
        <v>0</v>
      </c>
      <c r="BO233" s="35">
        <f t="shared" si="146"/>
        <v>0</v>
      </c>
      <c r="BP233" s="35">
        <f t="shared" si="147"/>
        <v>0</v>
      </c>
      <c r="BQ233" s="35">
        <f t="shared" si="148"/>
        <v>0</v>
      </c>
      <c r="BR233" s="35">
        <f t="shared" si="149"/>
        <v>0</v>
      </c>
      <c r="BS233" s="35">
        <f t="shared" si="150"/>
        <v>0</v>
      </c>
      <c r="BT233" s="43">
        <f t="shared" si="151"/>
        <v>0</v>
      </c>
    </row>
    <row r="234" spans="1:72">
      <c r="A234" s="9"/>
      <c r="B234" s="34"/>
      <c r="C234" s="34"/>
      <c r="D234" s="1805"/>
      <c r="E234" s="35">
        <f t="shared" si="123"/>
        <v>0</v>
      </c>
      <c r="F234" s="36"/>
      <c r="G234" s="37">
        <f t="shared" si="124"/>
        <v>0</v>
      </c>
      <c r="H234" s="38">
        <f t="shared" si="125"/>
        <v>0</v>
      </c>
      <c r="I234" s="39"/>
      <c r="J234" s="39"/>
      <c r="K234" s="39"/>
      <c r="L234" s="39"/>
      <c r="M234" s="39"/>
      <c r="N234" s="39"/>
      <c r="O234" s="39"/>
      <c r="P234" s="39"/>
      <c r="Q234" s="39"/>
      <c r="R234" s="39"/>
      <c r="S234" s="39"/>
      <c r="T234" s="39"/>
      <c r="U234" s="39"/>
      <c r="V234" s="39"/>
      <c r="W234" s="39"/>
      <c r="X234" s="39"/>
      <c r="Y234" s="39"/>
      <c r="Z234" s="39"/>
      <c r="AA234" s="39"/>
      <c r="AB234" s="39"/>
      <c r="AC234" s="35">
        <f t="shared" si="126"/>
        <v>0</v>
      </c>
      <c r="AD234" s="40"/>
      <c r="AE234" s="40"/>
      <c r="AF234" s="40"/>
      <c r="AG234" s="40"/>
      <c r="AH234" s="40"/>
      <c r="AI234" s="40"/>
      <c r="AJ234" s="40"/>
      <c r="AK234" s="40"/>
      <c r="AL234" s="40"/>
      <c r="AM234" s="40"/>
      <c r="AN234" s="40"/>
      <c r="AO234" s="40"/>
      <c r="AP234" s="40"/>
      <c r="AQ234" s="40"/>
      <c r="AR234" s="40"/>
      <c r="AS234" s="40"/>
      <c r="AT234" s="41"/>
      <c r="AU234" s="1806"/>
      <c r="AV234" s="1517">
        <f t="shared" si="127"/>
        <v>0</v>
      </c>
      <c r="AW234" s="1517">
        <f t="shared" si="128"/>
        <v>0</v>
      </c>
      <c r="AX234" s="1517">
        <f t="shared" si="129"/>
        <v>0</v>
      </c>
      <c r="AY234" s="42">
        <f t="shared" si="130"/>
        <v>0</v>
      </c>
      <c r="AZ234" s="35">
        <f t="shared" si="131"/>
        <v>0</v>
      </c>
      <c r="BA234" s="35">
        <f t="shared" si="132"/>
        <v>0</v>
      </c>
      <c r="BB234" s="35">
        <f t="shared" si="133"/>
        <v>0</v>
      </c>
      <c r="BC234" s="35">
        <f t="shared" si="134"/>
        <v>0</v>
      </c>
      <c r="BD234" s="35">
        <f t="shared" si="135"/>
        <v>0</v>
      </c>
      <c r="BE234" s="35">
        <f t="shared" si="136"/>
        <v>0</v>
      </c>
      <c r="BF234" s="35">
        <f t="shared" si="137"/>
        <v>0</v>
      </c>
      <c r="BG234" s="35">
        <f t="shared" si="138"/>
        <v>0</v>
      </c>
      <c r="BH234" s="35">
        <f t="shared" si="139"/>
        <v>0</v>
      </c>
      <c r="BI234" s="35">
        <f t="shared" si="140"/>
        <v>0</v>
      </c>
      <c r="BJ234" s="35">
        <f t="shared" si="141"/>
        <v>0</v>
      </c>
      <c r="BK234" s="35">
        <f t="shared" si="142"/>
        <v>0</v>
      </c>
      <c r="BL234" s="35">
        <f t="shared" si="143"/>
        <v>0</v>
      </c>
      <c r="BM234" s="35">
        <f t="shared" si="144"/>
        <v>0</v>
      </c>
      <c r="BN234" s="35">
        <f t="shared" si="145"/>
        <v>0</v>
      </c>
      <c r="BO234" s="35">
        <f t="shared" si="146"/>
        <v>0</v>
      </c>
      <c r="BP234" s="35">
        <f t="shared" si="147"/>
        <v>0</v>
      </c>
      <c r="BQ234" s="35">
        <f t="shared" si="148"/>
        <v>0</v>
      </c>
      <c r="BR234" s="35">
        <f t="shared" si="149"/>
        <v>0</v>
      </c>
      <c r="BS234" s="35">
        <f t="shared" si="150"/>
        <v>0</v>
      </c>
      <c r="BT234" s="43">
        <f t="shared" si="151"/>
        <v>0</v>
      </c>
    </row>
    <row r="235" spans="1:72">
      <c r="A235" s="9"/>
      <c r="B235" s="34"/>
      <c r="C235" s="34"/>
      <c r="D235" s="1805"/>
      <c r="E235" s="35">
        <f t="shared" si="123"/>
        <v>0</v>
      </c>
      <c r="F235" s="36"/>
      <c r="G235" s="37">
        <f t="shared" si="124"/>
        <v>0</v>
      </c>
      <c r="H235" s="38">
        <f t="shared" si="125"/>
        <v>0</v>
      </c>
      <c r="I235" s="39"/>
      <c r="J235" s="39"/>
      <c r="K235" s="39"/>
      <c r="L235" s="39"/>
      <c r="M235" s="39"/>
      <c r="N235" s="39"/>
      <c r="O235" s="39"/>
      <c r="P235" s="39"/>
      <c r="Q235" s="39"/>
      <c r="R235" s="39"/>
      <c r="S235" s="39"/>
      <c r="T235" s="39"/>
      <c r="U235" s="39"/>
      <c r="V235" s="39"/>
      <c r="W235" s="39"/>
      <c r="X235" s="39"/>
      <c r="Y235" s="39"/>
      <c r="Z235" s="39"/>
      <c r="AA235" s="39"/>
      <c r="AB235" s="39"/>
      <c r="AC235" s="35">
        <f t="shared" si="126"/>
        <v>0</v>
      </c>
      <c r="AD235" s="40"/>
      <c r="AE235" s="40"/>
      <c r="AF235" s="40"/>
      <c r="AG235" s="40"/>
      <c r="AH235" s="40"/>
      <c r="AI235" s="40"/>
      <c r="AJ235" s="40"/>
      <c r="AK235" s="40"/>
      <c r="AL235" s="40"/>
      <c r="AM235" s="40"/>
      <c r="AN235" s="40"/>
      <c r="AO235" s="40"/>
      <c r="AP235" s="40"/>
      <c r="AQ235" s="40"/>
      <c r="AR235" s="40"/>
      <c r="AS235" s="40"/>
      <c r="AT235" s="41"/>
      <c r="AU235" s="1806"/>
      <c r="AV235" s="1517">
        <f t="shared" si="127"/>
        <v>0</v>
      </c>
      <c r="AW235" s="1517">
        <f t="shared" si="128"/>
        <v>0</v>
      </c>
      <c r="AX235" s="1517">
        <f t="shared" si="129"/>
        <v>0</v>
      </c>
      <c r="AY235" s="42">
        <f t="shared" si="130"/>
        <v>0</v>
      </c>
      <c r="AZ235" s="35">
        <f t="shared" si="131"/>
        <v>0</v>
      </c>
      <c r="BA235" s="35">
        <f t="shared" si="132"/>
        <v>0</v>
      </c>
      <c r="BB235" s="35">
        <f t="shared" si="133"/>
        <v>0</v>
      </c>
      <c r="BC235" s="35">
        <f t="shared" si="134"/>
        <v>0</v>
      </c>
      <c r="BD235" s="35">
        <f t="shared" si="135"/>
        <v>0</v>
      </c>
      <c r="BE235" s="35">
        <f t="shared" si="136"/>
        <v>0</v>
      </c>
      <c r="BF235" s="35">
        <f t="shared" si="137"/>
        <v>0</v>
      </c>
      <c r="BG235" s="35">
        <f t="shared" si="138"/>
        <v>0</v>
      </c>
      <c r="BH235" s="35">
        <f t="shared" si="139"/>
        <v>0</v>
      </c>
      <c r="BI235" s="35">
        <f t="shared" si="140"/>
        <v>0</v>
      </c>
      <c r="BJ235" s="35">
        <f t="shared" si="141"/>
        <v>0</v>
      </c>
      <c r="BK235" s="35">
        <f t="shared" si="142"/>
        <v>0</v>
      </c>
      <c r="BL235" s="35">
        <f t="shared" si="143"/>
        <v>0</v>
      </c>
      <c r="BM235" s="35">
        <f t="shared" si="144"/>
        <v>0</v>
      </c>
      <c r="BN235" s="35">
        <f t="shared" si="145"/>
        <v>0</v>
      </c>
      <c r="BO235" s="35">
        <f t="shared" si="146"/>
        <v>0</v>
      </c>
      <c r="BP235" s="35">
        <f t="shared" si="147"/>
        <v>0</v>
      </c>
      <c r="BQ235" s="35">
        <f t="shared" si="148"/>
        <v>0</v>
      </c>
      <c r="BR235" s="35">
        <f t="shared" si="149"/>
        <v>0</v>
      </c>
      <c r="BS235" s="35">
        <f t="shared" si="150"/>
        <v>0</v>
      </c>
      <c r="BT235" s="43">
        <f t="shared" si="151"/>
        <v>0</v>
      </c>
    </row>
    <row r="236" spans="1:72">
      <c r="A236" s="9"/>
      <c r="B236" s="34"/>
      <c r="C236" s="34"/>
      <c r="D236" s="1805"/>
      <c r="E236" s="35">
        <f t="shared" si="123"/>
        <v>0</v>
      </c>
      <c r="F236" s="36"/>
      <c r="G236" s="37">
        <f t="shared" si="124"/>
        <v>0</v>
      </c>
      <c r="H236" s="38">
        <f t="shared" si="125"/>
        <v>0</v>
      </c>
      <c r="I236" s="39"/>
      <c r="J236" s="39"/>
      <c r="K236" s="39"/>
      <c r="L236" s="39"/>
      <c r="M236" s="39"/>
      <c r="N236" s="39"/>
      <c r="O236" s="39"/>
      <c r="P236" s="39"/>
      <c r="Q236" s="39"/>
      <c r="R236" s="39"/>
      <c r="S236" s="39"/>
      <c r="T236" s="39"/>
      <c r="U236" s="39"/>
      <c r="V236" s="39"/>
      <c r="W236" s="39"/>
      <c r="X236" s="39"/>
      <c r="Y236" s="39"/>
      <c r="Z236" s="39"/>
      <c r="AA236" s="39"/>
      <c r="AB236" s="39"/>
      <c r="AC236" s="35">
        <f t="shared" si="126"/>
        <v>0</v>
      </c>
      <c r="AD236" s="40"/>
      <c r="AE236" s="40"/>
      <c r="AF236" s="40"/>
      <c r="AG236" s="40"/>
      <c r="AH236" s="40"/>
      <c r="AI236" s="40"/>
      <c r="AJ236" s="40"/>
      <c r="AK236" s="40"/>
      <c r="AL236" s="40"/>
      <c r="AM236" s="40"/>
      <c r="AN236" s="40"/>
      <c r="AO236" s="40"/>
      <c r="AP236" s="40"/>
      <c r="AQ236" s="40"/>
      <c r="AR236" s="40"/>
      <c r="AS236" s="40"/>
      <c r="AT236" s="41"/>
      <c r="AU236" s="1806"/>
      <c r="AV236" s="1517">
        <f t="shared" si="127"/>
        <v>0</v>
      </c>
      <c r="AW236" s="1517">
        <f t="shared" si="128"/>
        <v>0</v>
      </c>
      <c r="AX236" s="1517">
        <f t="shared" si="129"/>
        <v>0</v>
      </c>
      <c r="AY236" s="42">
        <f t="shared" si="130"/>
        <v>0</v>
      </c>
      <c r="AZ236" s="35">
        <f t="shared" si="131"/>
        <v>0</v>
      </c>
      <c r="BA236" s="35">
        <f t="shared" si="132"/>
        <v>0</v>
      </c>
      <c r="BB236" s="35">
        <f t="shared" si="133"/>
        <v>0</v>
      </c>
      <c r="BC236" s="35">
        <f t="shared" si="134"/>
        <v>0</v>
      </c>
      <c r="BD236" s="35">
        <f t="shared" si="135"/>
        <v>0</v>
      </c>
      <c r="BE236" s="35">
        <f t="shared" si="136"/>
        <v>0</v>
      </c>
      <c r="BF236" s="35">
        <f t="shared" si="137"/>
        <v>0</v>
      </c>
      <c r="BG236" s="35">
        <f t="shared" si="138"/>
        <v>0</v>
      </c>
      <c r="BH236" s="35">
        <f t="shared" si="139"/>
        <v>0</v>
      </c>
      <c r="BI236" s="35">
        <f t="shared" si="140"/>
        <v>0</v>
      </c>
      <c r="BJ236" s="35">
        <f t="shared" si="141"/>
        <v>0</v>
      </c>
      <c r="BK236" s="35">
        <f t="shared" si="142"/>
        <v>0</v>
      </c>
      <c r="BL236" s="35">
        <f t="shared" si="143"/>
        <v>0</v>
      </c>
      <c r="BM236" s="35">
        <f t="shared" si="144"/>
        <v>0</v>
      </c>
      <c r="BN236" s="35">
        <f t="shared" si="145"/>
        <v>0</v>
      </c>
      <c r="BO236" s="35">
        <f t="shared" si="146"/>
        <v>0</v>
      </c>
      <c r="BP236" s="35">
        <f t="shared" si="147"/>
        <v>0</v>
      </c>
      <c r="BQ236" s="35">
        <f t="shared" si="148"/>
        <v>0</v>
      </c>
      <c r="BR236" s="35">
        <f t="shared" si="149"/>
        <v>0</v>
      </c>
      <c r="BS236" s="35">
        <f t="shared" si="150"/>
        <v>0</v>
      </c>
      <c r="BT236" s="43">
        <f t="shared" si="151"/>
        <v>0</v>
      </c>
    </row>
    <row r="237" spans="1:72">
      <c r="A237" s="9"/>
      <c r="B237" s="34"/>
      <c r="C237" s="34"/>
      <c r="D237" s="1805"/>
      <c r="E237" s="35">
        <f t="shared" si="123"/>
        <v>0</v>
      </c>
      <c r="F237" s="36"/>
      <c r="G237" s="37">
        <f t="shared" si="124"/>
        <v>0</v>
      </c>
      <c r="H237" s="38">
        <f t="shared" si="125"/>
        <v>0</v>
      </c>
      <c r="I237" s="39"/>
      <c r="J237" s="39"/>
      <c r="K237" s="39"/>
      <c r="L237" s="39"/>
      <c r="M237" s="39"/>
      <c r="N237" s="39"/>
      <c r="O237" s="39"/>
      <c r="P237" s="39"/>
      <c r="Q237" s="39"/>
      <c r="R237" s="39"/>
      <c r="S237" s="39"/>
      <c r="T237" s="39"/>
      <c r="U237" s="39"/>
      <c r="V237" s="39"/>
      <c r="W237" s="39"/>
      <c r="X237" s="39"/>
      <c r="Y237" s="39"/>
      <c r="Z237" s="39"/>
      <c r="AA237" s="39"/>
      <c r="AB237" s="39"/>
      <c r="AC237" s="35">
        <f t="shared" si="126"/>
        <v>0</v>
      </c>
      <c r="AD237" s="40"/>
      <c r="AE237" s="40"/>
      <c r="AF237" s="40"/>
      <c r="AG237" s="40"/>
      <c r="AH237" s="40"/>
      <c r="AI237" s="40"/>
      <c r="AJ237" s="40"/>
      <c r="AK237" s="40"/>
      <c r="AL237" s="40"/>
      <c r="AM237" s="40"/>
      <c r="AN237" s="40"/>
      <c r="AO237" s="40"/>
      <c r="AP237" s="40"/>
      <c r="AQ237" s="40"/>
      <c r="AR237" s="40"/>
      <c r="AS237" s="40"/>
      <c r="AT237" s="41"/>
      <c r="AU237" s="1806"/>
      <c r="AV237" s="1517">
        <f t="shared" si="127"/>
        <v>0</v>
      </c>
      <c r="AW237" s="1517">
        <f t="shared" si="128"/>
        <v>0</v>
      </c>
      <c r="AX237" s="1517">
        <f t="shared" si="129"/>
        <v>0</v>
      </c>
      <c r="AY237" s="42">
        <f t="shared" si="130"/>
        <v>0</v>
      </c>
      <c r="AZ237" s="35">
        <f t="shared" si="131"/>
        <v>0</v>
      </c>
      <c r="BA237" s="35">
        <f t="shared" si="132"/>
        <v>0</v>
      </c>
      <c r="BB237" s="35">
        <f t="shared" si="133"/>
        <v>0</v>
      </c>
      <c r="BC237" s="35">
        <f t="shared" si="134"/>
        <v>0</v>
      </c>
      <c r="BD237" s="35">
        <f t="shared" si="135"/>
        <v>0</v>
      </c>
      <c r="BE237" s="35">
        <f t="shared" si="136"/>
        <v>0</v>
      </c>
      <c r="BF237" s="35">
        <f t="shared" si="137"/>
        <v>0</v>
      </c>
      <c r="BG237" s="35">
        <f t="shared" si="138"/>
        <v>0</v>
      </c>
      <c r="BH237" s="35">
        <f t="shared" si="139"/>
        <v>0</v>
      </c>
      <c r="BI237" s="35">
        <f t="shared" si="140"/>
        <v>0</v>
      </c>
      <c r="BJ237" s="35">
        <f t="shared" si="141"/>
        <v>0</v>
      </c>
      <c r="BK237" s="35">
        <f t="shared" si="142"/>
        <v>0</v>
      </c>
      <c r="BL237" s="35">
        <f t="shared" si="143"/>
        <v>0</v>
      </c>
      <c r="BM237" s="35">
        <f t="shared" si="144"/>
        <v>0</v>
      </c>
      <c r="BN237" s="35">
        <f t="shared" si="145"/>
        <v>0</v>
      </c>
      <c r="BO237" s="35">
        <f t="shared" si="146"/>
        <v>0</v>
      </c>
      <c r="BP237" s="35">
        <f t="shared" si="147"/>
        <v>0</v>
      </c>
      <c r="BQ237" s="35">
        <f t="shared" si="148"/>
        <v>0</v>
      </c>
      <c r="BR237" s="35">
        <f t="shared" si="149"/>
        <v>0</v>
      </c>
      <c r="BS237" s="35">
        <f t="shared" si="150"/>
        <v>0</v>
      </c>
      <c r="BT237" s="43">
        <f t="shared" si="151"/>
        <v>0</v>
      </c>
    </row>
    <row r="238" spans="1:72">
      <c r="A238" s="9"/>
      <c r="B238" s="34"/>
      <c r="C238" s="34"/>
      <c r="D238" s="1805"/>
      <c r="E238" s="35">
        <f t="shared" si="123"/>
        <v>0</v>
      </c>
      <c r="F238" s="36"/>
      <c r="G238" s="37">
        <f t="shared" si="124"/>
        <v>0</v>
      </c>
      <c r="H238" s="38">
        <f t="shared" si="125"/>
        <v>0</v>
      </c>
      <c r="I238" s="39"/>
      <c r="J238" s="39"/>
      <c r="K238" s="39"/>
      <c r="L238" s="39"/>
      <c r="M238" s="39"/>
      <c r="N238" s="39"/>
      <c r="O238" s="39"/>
      <c r="P238" s="39"/>
      <c r="Q238" s="39"/>
      <c r="R238" s="39"/>
      <c r="S238" s="39"/>
      <c r="T238" s="39"/>
      <c r="U238" s="39"/>
      <c r="V238" s="39"/>
      <c r="W238" s="39"/>
      <c r="X238" s="39"/>
      <c r="Y238" s="39"/>
      <c r="Z238" s="39"/>
      <c r="AA238" s="39"/>
      <c r="AB238" s="39"/>
      <c r="AC238" s="35">
        <f t="shared" si="126"/>
        <v>0</v>
      </c>
      <c r="AD238" s="40"/>
      <c r="AE238" s="40"/>
      <c r="AF238" s="40"/>
      <c r="AG238" s="40"/>
      <c r="AH238" s="40"/>
      <c r="AI238" s="40"/>
      <c r="AJ238" s="40"/>
      <c r="AK238" s="40"/>
      <c r="AL238" s="40"/>
      <c r="AM238" s="40"/>
      <c r="AN238" s="40"/>
      <c r="AO238" s="40"/>
      <c r="AP238" s="40"/>
      <c r="AQ238" s="40"/>
      <c r="AR238" s="40"/>
      <c r="AS238" s="40"/>
      <c r="AT238" s="41"/>
      <c r="AU238" s="1806"/>
      <c r="AV238" s="1517">
        <f t="shared" si="127"/>
        <v>0</v>
      </c>
      <c r="AW238" s="1517">
        <f t="shared" si="128"/>
        <v>0</v>
      </c>
      <c r="AX238" s="1517">
        <f t="shared" si="129"/>
        <v>0</v>
      </c>
      <c r="AY238" s="42">
        <f t="shared" si="130"/>
        <v>0</v>
      </c>
      <c r="AZ238" s="35">
        <f t="shared" si="131"/>
        <v>0</v>
      </c>
      <c r="BA238" s="35">
        <f t="shared" si="132"/>
        <v>0</v>
      </c>
      <c r="BB238" s="35">
        <f t="shared" si="133"/>
        <v>0</v>
      </c>
      <c r="BC238" s="35">
        <f t="shared" si="134"/>
        <v>0</v>
      </c>
      <c r="BD238" s="35">
        <f t="shared" si="135"/>
        <v>0</v>
      </c>
      <c r="BE238" s="35">
        <f t="shared" si="136"/>
        <v>0</v>
      </c>
      <c r="BF238" s="35">
        <f t="shared" si="137"/>
        <v>0</v>
      </c>
      <c r="BG238" s="35">
        <f t="shared" si="138"/>
        <v>0</v>
      </c>
      <c r="BH238" s="35">
        <f t="shared" si="139"/>
        <v>0</v>
      </c>
      <c r="BI238" s="35">
        <f t="shared" si="140"/>
        <v>0</v>
      </c>
      <c r="BJ238" s="35">
        <f t="shared" si="141"/>
        <v>0</v>
      </c>
      <c r="BK238" s="35">
        <f t="shared" si="142"/>
        <v>0</v>
      </c>
      <c r="BL238" s="35">
        <f t="shared" si="143"/>
        <v>0</v>
      </c>
      <c r="BM238" s="35">
        <f t="shared" si="144"/>
        <v>0</v>
      </c>
      <c r="BN238" s="35">
        <f t="shared" si="145"/>
        <v>0</v>
      </c>
      <c r="BO238" s="35">
        <f t="shared" si="146"/>
        <v>0</v>
      </c>
      <c r="BP238" s="35">
        <f t="shared" si="147"/>
        <v>0</v>
      </c>
      <c r="BQ238" s="35">
        <f t="shared" si="148"/>
        <v>0</v>
      </c>
      <c r="BR238" s="35">
        <f t="shared" si="149"/>
        <v>0</v>
      </c>
      <c r="BS238" s="35">
        <f t="shared" si="150"/>
        <v>0</v>
      </c>
      <c r="BT238" s="43">
        <f t="shared" si="151"/>
        <v>0</v>
      </c>
    </row>
    <row r="239" spans="1:72">
      <c r="A239" s="9"/>
      <c r="B239" s="34"/>
      <c r="C239" s="34"/>
      <c r="D239" s="1805"/>
      <c r="E239" s="35">
        <f t="shared" si="123"/>
        <v>0</v>
      </c>
      <c r="F239" s="36"/>
      <c r="G239" s="37">
        <f t="shared" si="124"/>
        <v>0</v>
      </c>
      <c r="H239" s="38">
        <f t="shared" si="125"/>
        <v>0</v>
      </c>
      <c r="I239" s="39"/>
      <c r="J239" s="39"/>
      <c r="K239" s="39"/>
      <c r="L239" s="39"/>
      <c r="M239" s="39"/>
      <c r="N239" s="39"/>
      <c r="O239" s="39"/>
      <c r="P239" s="39"/>
      <c r="Q239" s="39"/>
      <c r="R239" s="39"/>
      <c r="S239" s="39"/>
      <c r="T239" s="39"/>
      <c r="U239" s="39"/>
      <c r="V239" s="39"/>
      <c r="W239" s="39"/>
      <c r="X239" s="39"/>
      <c r="Y239" s="39"/>
      <c r="Z239" s="39"/>
      <c r="AA239" s="39"/>
      <c r="AB239" s="39"/>
      <c r="AC239" s="35">
        <f t="shared" si="126"/>
        <v>0</v>
      </c>
      <c r="AD239" s="40"/>
      <c r="AE239" s="40"/>
      <c r="AF239" s="40"/>
      <c r="AG239" s="40"/>
      <c r="AH239" s="40"/>
      <c r="AI239" s="40"/>
      <c r="AJ239" s="40"/>
      <c r="AK239" s="40"/>
      <c r="AL239" s="40"/>
      <c r="AM239" s="40"/>
      <c r="AN239" s="40"/>
      <c r="AO239" s="40"/>
      <c r="AP239" s="40"/>
      <c r="AQ239" s="40"/>
      <c r="AR239" s="40"/>
      <c r="AS239" s="40"/>
      <c r="AT239" s="41"/>
      <c r="AU239" s="1806"/>
      <c r="AV239" s="1517">
        <f t="shared" si="127"/>
        <v>0</v>
      </c>
      <c r="AW239" s="1517">
        <f t="shared" si="128"/>
        <v>0</v>
      </c>
      <c r="AX239" s="1517">
        <f t="shared" si="129"/>
        <v>0</v>
      </c>
      <c r="AY239" s="42">
        <f t="shared" si="130"/>
        <v>0</v>
      </c>
      <c r="AZ239" s="35">
        <f t="shared" si="131"/>
        <v>0</v>
      </c>
      <c r="BA239" s="35">
        <f t="shared" si="132"/>
        <v>0</v>
      </c>
      <c r="BB239" s="35">
        <f t="shared" si="133"/>
        <v>0</v>
      </c>
      <c r="BC239" s="35">
        <f t="shared" si="134"/>
        <v>0</v>
      </c>
      <c r="BD239" s="35">
        <f t="shared" si="135"/>
        <v>0</v>
      </c>
      <c r="BE239" s="35">
        <f t="shared" si="136"/>
        <v>0</v>
      </c>
      <c r="BF239" s="35">
        <f t="shared" si="137"/>
        <v>0</v>
      </c>
      <c r="BG239" s="35">
        <f t="shared" si="138"/>
        <v>0</v>
      </c>
      <c r="BH239" s="35">
        <f t="shared" si="139"/>
        <v>0</v>
      </c>
      <c r="BI239" s="35">
        <f t="shared" si="140"/>
        <v>0</v>
      </c>
      <c r="BJ239" s="35">
        <f t="shared" si="141"/>
        <v>0</v>
      </c>
      <c r="BK239" s="35">
        <f t="shared" si="142"/>
        <v>0</v>
      </c>
      <c r="BL239" s="35">
        <f t="shared" si="143"/>
        <v>0</v>
      </c>
      <c r="BM239" s="35">
        <f t="shared" si="144"/>
        <v>0</v>
      </c>
      <c r="BN239" s="35">
        <f t="shared" si="145"/>
        <v>0</v>
      </c>
      <c r="BO239" s="35">
        <f t="shared" si="146"/>
        <v>0</v>
      </c>
      <c r="BP239" s="35">
        <f t="shared" si="147"/>
        <v>0</v>
      </c>
      <c r="BQ239" s="35">
        <f t="shared" si="148"/>
        <v>0</v>
      </c>
      <c r="BR239" s="35">
        <f t="shared" si="149"/>
        <v>0</v>
      </c>
      <c r="BS239" s="35">
        <f t="shared" si="150"/>
        <v>0</v>
      </c>
      <c r="BT239" s="43">
        <f t="shared" si="151"/>
        <v>0</v>
      </c>
    </row>
    <row r="240" spans="1:72">
      <c r="A240" s="9"/>
      <c r="B240" s="34"/>
      <c r="C240" s="34"/>
      <c r="D240" s="1805"/>
      <c r="E240" s="35">
        <f t="shared" si="123"/>
        <v>0</v>
      </c>
      <c r="F240" s="36"/>
      <c r="G240" s="37">
        <f t="shared" si="124"/>
        <v>0</v>
      </c>
      <c r="H240" s="38">
        <f t="shared" si="125"/>
        <v>0</v>
      </c>
      <c r="I240" s="39"/>
      <c r="J240" s="39"/>
      <c r="K240" s="39"/>
      <c r="L240" s="39"/>
      <c r="M240" s="39"/>
      <c r="N240" s="39"/>
      <c r="O240" s="39"/>
      <c r="P240" s="39"/>
      <c r="Q240" s="39"/>
      <c r="R240" s="39"/>
      <c r="S240" s="39"/>
      <c r="T240" s="39"/>
      <c r="U240" s="39"/>
      <c r="V240" s="39"/>
      <c r="W240" s="39"/>
      <c r="X240" s="39"/>
      <c r="Y240" s="39"/>
      <c r="Z240" s="39"/>
      <c r="AA240" s="39"/>
      <c r="AB240" s="39"/>
      <c r="AC240" s="35">
        <f t="shared" si="126"/>
        <v>0</v>
      </c>
      <c r="AD240" s="40"/>
      <c r="AE240" s="40"/>
      <c r="AF240" s="40"/>
      <c r="AG240" s="40"/>
      <c r="AH240" s="40"/>
      <c r="AI240" s="40"/>
      <c r="AJ240" s="40"/>
      <c r="AK240" s="40"/>
      <c r="AL240" s="40"/>
      <c r="AM240" s="40"/>
      <c r="AN240" s="40"/>
      <c r="AO240" s="40"/>
      <c r="AP240" s="40"/>
      <c r="AQ240" s="40"/>
      <c r="AR240" s="40"/>
      <c r="AS240" s="40"/>
      <c r="AT240" s="41"/>
      <c r="AU240" s="1806"/>
      <c r="AV240" s="1517">
        <f t="shared" si="127"/>
        <v>0</v>
      </c>
      <c r="AW240" s="1517">
        <f t="shared" si="128"/>
        <v>0</v>
      </c>
      <c r="AX240" s="1517">
        <f t="shared" si="129"/>
        <v>0</v>
      </c>
      <c r="AY240" s="42">
        <f t="shared" si="130"/>
        <v>0</v>
      </c>
      <c r="AZ240" s="35">
        <f t="shared" si="131"/>
        <v>0</v>
      </c>
      <c r="BA240" s="35">
        <f t="shared" si="132"/>
        <v>0</v>
      </c>
      <c r="BB240" s="35">
        <f t="shared" si="133"/>
        <v>0</v>
      </c>
      <c r="BC240" s="35">
        <f t="shared" si="134"/>
        <v>0</v>
      </c>
      <c r="BD240" s="35">
        <f t="shared" si="135"/>
        <v>0</v>
      </c>
      <c r="BE240" s="35">
        <f t="shared" si="136"/>
        <v>0</v>
      </c>
      <c r="BF240" s="35">
        <f t="shared" si="137"/>
        <v>0</v>
      </c>
      <c r="BG240" s="35">
        <f t="shared" si="138"/>
        <v>0</v>
      </c>
      <c r="BH240" s="35">
        <f t="shared" si="139"/>
        <v>0</v>
      </c>
      <c r="BI240" s="35">
        <f t="shared" si="140"/>
        <v>0</v>
      </c>
      <c r="BJ240" s="35">
        <f t="shared" si="141"/>
        <v>0</v>
      </c>
      <c r="BK240" s="35">
        <f t="shared" si="142"/>
        <v>0</v>
      </c>
      <c r="BL240" s="35">
        <f t="shared" si="143"/>
        <v>0</v>
      </c>
      <c r="BM240" s="35">
        <f t="shared" si="144"/>
        <v>0</v>
      </c>
      <c r="BN240" s="35">
        <f t="shared" si="145"/>
        <v>0</v>
      </c>
      <c r="BO240" s="35">
        <f t="shared" si="146"/>
        <v>0</v>
      </c>
      <c r="BP240" s="35">
        <f t="shared" si="147"/>
        <v>0</v>
      </c>
      <c r="BQ240" s="35">
        <f t="shared" si="148"/>
        <v>0</v>
      </c>
      <c r="BR240" s="35">
        <f t="shared" si="149"/>
        <v>0</v>
      </c>
      <c r="BS240" s="35">
        <f t="shared" si="150"/>
        <v>0</v>
      </c>
      <c r="BT240" s="43">
        <f t="shared" si="151"/>
        <v>0</v>
      </c>
    </row>
    <row r="241" spans="1:72">
      <c r="A241" s="9"/>
      <c r="B241" s="34"/>
      <c r="C241" s="34"/>
      <c r="D241" s="1805"/>
      <c r="E241" s="35">
        <f t="shared" si="123"/>
        <v>0</v>
      </c>
      <c r="F241" s="36"/>
      <c r="G241" s="37">
        <f t="shared" si="124"/>
        <v>0</v>
      </c>
      <c r="H241" s="38">
        <f t="shared" si="125"/>
        <v>0</v>
      </c>
      <c r="I241" s="39"/>
      <c r="J241" s="39"/>
      <c r="K241" s="39"/>
      <c r="L241" s="39"/>
      <c r="M241" s="39"/>
      <c r="N241" s="39"/>
      <c r="O241" s="39"/>
      <c r="P241" s="39"/>
      <c r="Q241" s="39"/>
      <c r="R241" s="39"/>
      <c r="S241" s="39"/>
      <c r="T241" s="39"/>
      <c r="U241" s="39"/>
      <c r="V241" s="39"/>
      <c r="W241" s="39"/>
      <c r="X241" s="39"/>
      <c r="Y241" s="39"/>
      <c r="Z241" s="39"/>
      <c r="AA241" s="39"/>
      <c r="AB241" s="39"/>
      <c r="AC241" s="35">
        <f t="shared" si="126"/>
        <v>0</v>
      </c>
      <c r="AD241" s="40"/>
      <c r="AE241" s="40"/>
      <c r="AF241" s="40"/>
      <c r="AG241" s="40"/>
      <c r="AH241" s="40"/>
      <c r="AI241" s="40"/>
      <c r="AJ241" s="40"/>
      <c r="AK241" s="40"/>
      <c r="AL241" s="40"/>
      <c r="AM241" s="40"/>
      <c r="AN241" s="40"/>
      <c r="AO241" s="40"/>
      <c r="AP241" s="40"/>
      <c r="AQ241" s="40"/>
      <c r="AR241" s="40"/>
      <c r="AS241" s="40"/>
      <c r="AT241" s="41"/>
      <c r="AU241" s="1806"/>
      <c r="AV241" s="1517">
        <f t="shared" si="127"/>
        <v>0</v>
      </c>
      <c r="AW241" s="1517">
        <f t="shared" si="128"/>
        <v>0</v>
      </c>
      <c r="AX241" s="1517">
        <f t="shared" si="129"/>
        <v>0</v>
      </c>
      <c r="AY241" s="42">
        <f t="shared" si="130"/>
        <v>0</v>
      </c>
      <c r="AZ241" s="35">
        <f t="shared" si="131"/>
        <v>0</v>
      </c>
      <c r="BA241" s="35">
        <f t="shared" si="132"/>
        <v>0</v>
      </c>
      <c r="BB241" s="35">
        <f t="shared" si="133"/>
        <v>0</v>
      </c>
      <c r="BC241" s="35">
        <f t="shared" si="134"/>
        <v>0</v>
      </c>
      <c r="BD241" s="35">
        <f t="shared" si="135"/>
        <v>0</v>
      </c>
      <c r="BE241" s="35">
        <f t="shared" si="136"/>
        <v>0</v>
      </c>
      <c r="BF241" s="35">
        <f t="shared" si="137"/>
        <v>0</v>
      </c>
      <c r="BG241" s="35">
        <f t="shared" si="138"/>
        <v>0</v>
      </c>
      <c r="BH241" s="35">
        <f t="shared" si="139"/>
        <v>0</v>
      </c>
      <c r="BI241" s="35">
        <f t="shared" si="140"/>
        <v>0</v>
      </c>
      <c r="BJ241" s="35">
        <f t="shared" si="141"/>
        <v>0</v>
      </c>
      <c r="BK241" s="35">
        <f t="shared" si="142"/>
        <v>0</v>
      </c>
      <c r="BL241" s="35">
        <f t="shared" si="143"/>
        <v>0</v>
      </c>
      <c r="BM241" s="35">
        <f t="shared" si="144"/>
        <v>0</v>
      </c>
      <c r="BN241" s="35">
        <f t="shared" si="145"/>
        <v>0</v>
      </c>
      <c r="BO241" s="35">
        <f t="shared" si="146"/>
        <v>0</v>
      </c>
      <c r="BP241" s="35">
        <f t="shared" si="147"/>
        <v>0</v>
      </c>
      <c r="BQ241" s="35">
        <f t="shared" si="148"/>
        <v>0</v>
      </c>
      <c r="BR241" s="35">
        <f t="shared" si="149"/>
        <v>0</v>
      </c>
      <c r="BS241" s="35">
        <f t="shared" si="150"/>
        <v>0</v>
      </c>
      <c r="BT241" s="43">
        <f t="shared" si="151"/>
        <v>0</v>
      </c>
    </row>
    <row r="242" spans="1:72">
      <c r="A242" s="9"/>
      <c r="B242" s="34"/>
      <c r="C242" s="34"/>
      <c r="D242" s="1805"/>
      <c r="E242" s="35">
        <f t="shared" si="123"/>
        <v>0</v>
      </c>
      <c r="F242" s="36"/>
      <c r="G242" s="37">
        <f t="shared" si="124"/>
        <v>0</v>
      </c>
      <c r="H242" s="38">
        <f t="shared" si="125"/>
        <v>0</v>
      </c>
      <c r="I242" s="39"/>
      <c r="J242" s="39"/>
      <c r="K242" s="39"/>
      <c r="L242" s="39"/>
      <c r="M242" s="39"/>
      <c r="N242" s="39"/>
      <c r="O242" s="39"/>
      <c r="P242" s="39"/>
      <c r="Q242" s="39"/>
      <c r="R242" s="39"/>
      <c r="S242" s="39"/>
      <c r="T242" s="39"/>
      <c r="U242" s="39"/>
      <c r="V242" s="39"/>
      <c r="W242" s="39"/>
      <c r="X242" s="39"/>
      <c r="Y242" s="39"/>
      <c r="Z242" s="39"/>
      <c r="AA242" s="39"/>
      <c r="AB242" s="39"/>
      <c r="AC242" s="35">
        <f t="shared" si="126"/>
        <v>0</v>
      </c>
      <c r="AD242" s="40"/>
      <c r="AE242" s="40"/>
      <c r="AF242" s="40"/>
      <c r="AG242" s="40"/>
      <c r="AH242" s="40"/>
      <c r="AI242" s="40"/>
      <c r="AJ242" s="40"/>
      <c r="AK242" s="40"/>
      <c r="AL242" s="40"/>
      <c r="AM242" s="40"/>
      <c r="AN242" s="40"/>
      <c r="AO242" s="40"/>
      <c r="AP242" s="40"/>
      <c r="AQ242" s="40"/>
      <c r="AR242" s="40"/>
      <c r="AS242" s="40"/>
      <c r="AT242" s="41"/>
      <c r="AU242" s="1806"/>
      <c r="AV242" s="1517">
        <f t="shared" si="127"/>
        <v>0</v>
      </c>
      <c r="AW242" s="1517">
        <f t="shared" si="128"/>
        <v>0</v>
      </c>
      <c r="AX242" s="1517">
        <f t="shared" si="129"/>
        <v>0</v>
      </c>
      <c r="AY242" s="42">
        <f t="shared" si="130"/>
        <v>0</v>
      </c>
      <c r="AZ242" s="35">
        <f t="shared" si="131"/>
        <v>0</v>
      </c>
      <c r="BA242" s="35">
        <f t="shared" si="132"/>
        <v>0</v>
      </c>
      <c r="BB242" s="35">
        <f t="shared" si="133"/>
        <v>0</v>
      </c>
      <c r="BC242" s="35">
        <f t="shared" si="134"/>
        <v>0</v>
      </c>
      <c r="BD242" s="35">
        <f t="shared" si="135"/>
        <v>0</v>
      </c>
      <c r="BE242" s="35">
        <f t="shared" si="136"/>
        <v>0</v>
      </c>
      <c r="BF242" s="35">
        <f t="shared" si="137"/>
        <v>0</v>
      </c>
      <c r="BG242" s="35">
        <f t="shared" si="138"/>
        <v>0</v>
      </c>
      <c r="BH242" s="35">
        <f t="shared" si="139"/>
        <v>0</v>
      </c>
      <c r="BI242" s="35">
        <f t="shared" si="140"/>
        <v>0</v>
      </c>
      <c r="BJ242" s="35">
        <f t="shared" si="141"/>
        <v>0</v>
      </c>
      <c r="BK242" s="35">
        <f t="shared" si="142"/>
        <v>0</v>
      </c>
      <c r="BL242" s="35">
        <f t="shared" si="143"/>
        <v>0</v>
      </c>
      <c r="BM242" s="35">
        <f t="shared" si="144"/>
        <v>0</v>
      </c>
      <c r="BN242" s="35">
        <f t="shared" si="145"/>
        <v>0</v>
      </c>
      <c r="BO242" s="35">
        <f t="shared" si="146"/>
        <v>0</v>
      </c>
      <c r="BP242" s="35">
        <f t="shared" si="147"/>
        <v>0</v>
      </c>
      <c r="BQ242" s="35">
        <f t="shared" si="148"/>
        <v>0</v>
      </c>
      <c r="BR242" s="35">
        <f t="shared" si="149"/>
        <v>0</v>
      </c>
      <c r="BS242" s="35">
        <f t="shared" si="150"/>
        <v>0</v>
      </c>
      <c r="BT242" s="43">
        <f t="shared" si="151"/>
        <v>0</v>
      </c>
    </row>
    <row r="243" spans="1:72">
      <c r="A243" s="9"/>
      <c r="B243" s="34"/>
      <c r="C243" s="34"/>
      <c r="D243" s="1805"/>
      <c r="E243" s="35">
        <f t="shared" si="123"/>
        <v>0</v>
      </c>
      <c r="F243" s="36"/>
      <c r="G243" s="37">
        <f t="shared" si="124"/>
        <v>0</v>
      </c>
      <c r="H243" s="38">
        <f t="shared" si="125"/>
        <v>0</v>
      </c>
      <c r="I243" s="39"/>
      <c r="J243" s="39"/>
      <c r="K243" s="39"/>
      <c r="L243" s="39"/>
      <c r="M243" s="39"/>
      <c r="N243" s="39"/>
      <c r="O243" s="39"/>
      <c r="P243" s="39"/>
      <c r="Q243" s="39"/>
      <c r="R243" s="39"/>
      <c r="S243" s="39"/>
      <c r="T243" s="39"/>
      <c r="U243" s="39"/>
      <c r="V243" s="39"/>
      <c r="W243" s="39"/>
      <c r="X243" s="39"/>
      <c r="Y243" s="39"/>
      <c r="Z243" s="39"/>
      <c r="AA243" s="39"/>
      <c r="AB243" s="39"/>
      <c r="AC243" s="35">
        <f t="shared" si="126"/>
        <v>0</v>
      </c>
      <c r="AD243" s="40"/>
      <c r="AE243" s="40"/>
      <c r="AF243" s="40"/>
      <c r="AG243" s="40"/>
      <c r="AH243" s="40"/>
      <c r="AI243" s="40"/>
      <c r="AJ243" s="40"/>
      <c r="AK243" s="40"/>
      <c r="AL243" s="40"/>
      <c r="AM243" s="40"/>
      <c r="AN243" s="40"/>
      <c r="AO243" s="40"/>
      <c r="AP243" s="40"/>
      <c r="AQ243" s="40"/>
      <c r="AR243" s="40"/>
      <c r="AS243" s="40"/>
      <c r="AT243" s="41"/>
      <c r="AU243" s="1806"/>
      <c r="AV243" s="1517">
        <f t="shared" si="127"/>
        <v>0</v>
      </c>
      <c r="AW243" s="1517">
        <f t="shared" si="128"/>
        <v>0</v>
      </c>
      <c r="AX243" s="1517">
        <f t="shared" si="129"/>
        <v>0</v>
      </c>
      <c r="AY243" s="42">
        <f t="shared" si="130"/>
        <v>0</v>
      </c>
      <c r="AZ243" s="35">
        <f t="shared" si="131"/>
        <v>0</v>
      </c>
      <c r="BA243" s="35">
        <f t="shared" si="132"/>
        <v>0</v>
      </c>
      <c r="BB243" s="35">
        <f t="shared" si="133"/>
        <v>0</v>
      </c>
      <c r="BC243" s="35">
        <f t="shared" si="134"/>
        <v>0</v>
      </c>
      <c r="BD243" s="35">
        <f t="shared" si="135"/>
        <v>0</v>
      </c>
      <c r="BE243" s="35">
        <f t="shared" si="136"/>
        <v>0</v>
      </c>
      <c r="BF243" s="35">
        <f t="shared" si="137"/>
        <v>0</v>
      </c>
      <c r="BG243" s="35">
        <f t="shared" si="138"/>
        <v>0</v>
      </c>
      <c r="BH243" s="35">
        <f t="shared" si="139"/>
        <v>0</v>
      </c>
      <c r="BI243" s="35">
        <f t="shared" si="140"/>
        <v>0</v>
      </c>
      <c r="BJ243" s="35">
        <f t="shared" si="141"/>
        <v>0</v>
      </c>
      <c r="BK243" s="35">
        <f t="shared" si="142"/>
        <v>0</v>
      </c>
      <c r="BL243" s="35">
        <f t="shared" si="143"/>
        <v>0</v>
      </c>
      <c r="BM243" s="35">
        <f t="shared" si="144"/>
        <v>0</v>
      </c>
      <c r="BN243" s="35">
        <f t="shared" si="145"/>
        <v>0</v>
      </c>
      <c r="BO243" s="35">
        <f t="shared" si="146"/>
        <v>0</v>
      </c>
      <c r="BP243" s="35">
        <f t="shared" si="147"/>
        <v>0</v>
      </c>
      <c r="BQ243" s="35">
        <f t="shared" si="148"/>
        <v>0</v>
      </c>
      <c r="BR243" s="35">
        <f t="shared" si="149"/>
        <v>0</v>
      </c>
      <c r="BS243" s="35">
        <f t="shared" si="150"/>
        <v>0</v>
      </c>
      <c r="BT243" s="43">
        <f t="shared" si="151"/>
        <v>0</v>
      </c>
    </row>
    <row r="244" spans="1:72">
      <c r="A244" s="9"/>
      <c r="B244" s="34"/>
      <c r="C244" s="34"/>
      <c r="D244" s="1805"/>
      <c r="E244" s="35">
        <f t="shared" si="123"/>
        <v>0</v>
      </c>
      <c r="F244" s="36"/>
      <c r="G244" s="37">
        <f t="shared" si="124"/>
        <v>0</v>
      </c>
      <c r="H244" s="38">
        <f t="shared" si="125"/>
        <v>0</v>
      </c>
      <c r="I244" s="39"/>
      <c r="J244" s="39"/>
      <c r="K244" s="39"/>
      <c r="L244" s="39"/>
      <c r="M244" s="39"/>
      <c r="N244" s="39"/>
      <c r="O244" s="39"/>
      <c r="P244" s="39"/>
      <c r="Q244" s="39"/>
      <c r="R244" s="39"/>
      <c r="S244" s="39"/>
      <c r="T244" s="39"/>
      <c r="U244" s="39"/>
      <c r="V244" s="39"/>
      <c r="W244" s="39"/>
      <c r="X244" s="39"/>
      <c r="Y244" s="39"/>
      <c r="Z244" s="39"/>
      <c r="AA244" s="39"/>
      <c r="AB244" s="39"/>
      <c r="AC244" s="35">
        <f t="shared" si="126"/>
        <v>0</v>
      </c>
      <c r="AD244" s="40"/>
      <c r="AE244" s="40"/>
      <c r="AF244" s="40"/>
      <c r="AG244" s="40"/>
      <c r="AH244" s="40"/>
      <c r="AI244" s="40"/>
      <c r="AJ244" s="40"/>
      <c r="AK244" s="40"/>
      <c r="AL244" s="40"/>
      <c r="AM244" s="40"/>
      <c r="AN244" s="40"/>
      <c r="AO244" s="40"/>
      <c r="AP244" s="40"/>
      <c r="AQ244" s="40"/>
      <c r="AR244" s="40"/>
      <c r="AS244" s="40"/>
      <c r="AT244" s="41"/>
      <c r="AU244" s="1806"/>
      <c r="AV244" s="1517">
        <f t="shared" si="127"/>
        <v>0</v>
      </c>
      <c r="AW244" s="1517">
        <f t="shared" si="128"/>
        <v>0</v>
      </c>
      <c r="AX244" s="1517">
        <f t="shared" si="129"/>
        <v>0</v>
      </c>
      <c r="AY244" s="42">
        <f t="shared" si="130"/>
        <v>0</v>
      </c>
      <c r="AZ244" s="35">
        <f t="shared" si="131"/>
        <v>0</v>
      </c>
      <c r="BA244" s="35">
        <f t="shared" si="132"/>
        <v>0</v>
      </c>
      <c r="BB244" s="35">
        <f t="shared" si="133"/>
        <v>0</v>
      </c>
      <c r="BC244" s="35">
        <f t="shared" si="134"/>
        <v>0</v>
      </c>
      <c r="BD244" s="35">
        <f t="shared" si="135"/>
        <v>0</v>
      </c>
      <c r="BE244" s="35">
        <f t="shared" si="136"/>
        <v>0</v>
      </c>
      <c r="BF244" s="35">
        <f t="shared" si="137"/>
        <v>0</v>
      </c>
      <c r="BG244" s="35">
        <f t="shared" si="138"/>
        <v>0</v>
      </c>
      <c r="BH244" s="35">
        <f t="shared" si="139"/>
        <v>0</v>
      </c>
      <c r="BI244" s="35">
        <f t="shared" si="140"/>
        <v>0</v>
      </c>
      <c r="BJ244" s="35">
        <f t="shared" si="141"/>
        <v>0</v>
      </c>
      <c r="BK244" s="35">
        <f t="shared" si="142"/>
        <v>0</v>
      </c>
      <c r="BL244" s="35">
        <f t="shared" si="143"/>
        <v>0</v>
      </c>
      <c r="BM244" s="35">
        <f t="shared" si="144"/>
        <v>0</v>
      </c>
      <c r="BN244" s="35">
        <f t="shared" si="145"/>
        <v>0</v>
      </c>
      <c r="BO244" s="35">
        <f t="shared" si="146"/>
        <v>0</v>
      </c>
      <c r="BP244" s="35">
        <f t="shared" si="147"/>
        <v>0</v>
      </c>
      <c r="BQ244" s="35">
        <f t="shared" si="148"/>
        <v>0</v>
      </c>
      <c r="BR244" s="35">
        <f t="shared" si="149"/>
        <v>0</v>
      </c>
      <c r="BS244" s="35">
        <f t="shared" si="150"/>
        <v>0</v>
      </c>
      <c r="BT244" s="43">
        <f t="shared" si="151"/>
        <v>0</v>
      </c>
    </row>
    <row r="245" spans="1:72">
      <c r="A245" s="9"/>
      <c r="B245" s="34"/>
      <c r="C245" s="34"/>
      <c r="D245" s="1805"/>
      <c r="E245" s="35">
        <f t="shared" si="123"/>
        <v>0</v>
      </c>
      <c r="F245" s="36"/>
      <c r="G245" s="37">
        <f t="shared" si="124"/>
        <v>0</v>
      </c>
      <c r="H245" s="38">
        <f t="shared" si="125"/>
        <v>0</v>
      </c>
      <c r="I245" s="39"/>
      <c r="J245" s="39"/>
      <c r="K245" s="39"/>
      <c r="L245" s="39"/>
      <c r="M245" s="39"/>
      <c r="N245" s="39"/>
      <c r="O245" s="39"/>
      <c r="P245" s="39"/>
      <c r="Q245" s="39"/>
      <c r="R245" s="39"/>
      <c r="S245" s="39"/>
      <c r="T245" s="39"/>
      <c r="U245" s="39"/>
      <c r="V245" s="39"/>
      <c r="W245" s="39"/>
      <c r="X245" s="39"/>
      <c r="Y245" s="39"/>
      <c r="Z245" s="39"/>
      <c r="AA245" s="39"/>
      <c r="AB245" s="39"/>
      <c r="AC245" s="35">
        <f t="shared" si="126"/>
        <v>0</v>
      </c>
      <c r="AD245" s="40"/>
      <c r="AE245" s="40"/>
      <c r="AF245" s="40"/>
      <c r="AG245" s="40"/>
      <c r="AH245" s="40"/>
      <c r="AI245" s="40"/>
      <c r="AJ245" s="40"/>
      <c r="AK245" s="40"/>
      <c r="AL245" s="40"/>
      <c r="AM245" s="40"/>
      <c r="AN245" s="40"/>
      <c r="AO245" s="40"/>
      <c r="AP245" s="40"/>
      <c r="AQ245" s="40"/>
      <c r="AR245" s="40"/>
      <c r="AS245" s="40"/>
      <c r="AT245" s="41"/>
      <c r="AU245" s="1806"/>
      <c r="AV245" s="1517">
        <f t="shared" si="127"/>
        <v>0</v>
      </c>
      <c r="AW245" s="1517">
        <f t="shared" si="128"/>
        <v>0</v>
      </c>
      <c r="AX245" s="1517">
        <f t="shared" si="129"/>
        <v>0</v>
      </c>
      <c r="AY245" s="42">
        <f t="shared" si="130"/>
        <v>0</v>
      </c>
      <c r="AZ245" s="35">
        <f t="shared" si="131"/>
        <v>0</v>
      </c>
      <c r="BA245" s="35">
        <f t="shared" si="132"/>
        <v>0</v>
      </c>
      <c r="BB245" s="35">
        <f t="shared" si="133"/>
        <v>0</v>
      </c>
      <c r="BC245" s="35">
        <f t="shared" si="134"/>
        <v>0</v>
      </c>
      <c r="BD245" s="35">
        <f t="shared" si="135"/>
        <v>0</v>
      </c>
      <c r="BE245" s="35">
        <f t="shared" si="136"/>
        <v>0</v>
      </c>
      <c r="BF245" s="35">
        <f t="shared" si="137"/>
        <v>0</v>
      </c>
      <c r="BG245" s="35">
        <f t="shared" si="138"/>
        <v>0</v>
      </c>
      <c r="BH245" s="35">
        <f t="shared" si="139"/>
        <v>0</v>
      </c>
      <c r="BI245" s="35">
        <f t="shared" si="140"/>
        <v>0</v>
      </c>
      <c r="BJ245" s="35">
        <f t="shared" si="141"/>
        <v>0</v>
      </c>
      <c r="BK245" s="35">
        <f t="shared" si="142"/>
        <v>0</v>
      </c>
      <c r="BL245" s="35">
        <f t="shared" si="143"/>
        <v>0</v>
      </c>
      <c r="BM245" s="35">
        <f t="shared" si="144"/>
        <v>0</v>
      </c>
      <c r="BN245" s="35">
        <f t="shared" si="145"/>
        <v>0</v>
      </c>
      <c r="BO245" s="35">
        <f t="shared" si="146"/>
        <v>0</v>
      </c>
      <c r="BP245" s="35">
        <f t="shared" si="147"/>
        <v>0</v>
      </c>
      <c r="BQ245" s="35">
        <f t="shared" si="148"/>
        <v>0</v>
      </c>
      <c r="BR245" s="35">
        <f t="shared" si="149"/>
        <v>0</v>
      </c>
      <c r="BS245" s="35">
        <f t="shared" si="150"/>
        <v>0</v>
      </c>
      <c r="BT245" s="43">
        <f t="shared" si="151"/>
        <v>0</v>
      </c>
    </row>
    <row r="246" spans="1:72">
      <c r="A246" s="9"/>
      <c r="B246" s="34"/>
      <c r="C246" s="34"/>
      <c r="D246" s="1805"/>
      <c r="E246" s="35">
        <f t="shared" si="123"/>
        <v>0</v>
      </c>
      <c r="F246" s="36"/>
      <c r="G246" s="37">
        <f t="shared" si="124"/>
        <v>0</v>
      </c>
      <c r="H246" s="38">
        <f t="shared" si="125"/>
        <v>0</v>
      </c>
      <c r="I246" s="39"/>
      <c r="J246" s="39"/>
      <c r="K246" s="39"/>
      <c r="L246" s="39"/>
      <c r="M246" s="39"/>
      <c r="N246" s="39"/>
      <c r="O246" s="39"/>
      <c r="P246" s="39"/>
      <c r="Q246" s="39"/>
      <c r="R246" s="39"/>
      <c r="S246" s="39"/>
      <c r="T246" s="39"/>
      <c r="U246" s="39"/>
      <c r="V246" s="39"/>
      <c r="W246" s="39"/>
      <c r="X246" s="39"/>
      <c r="Y246" s="39"/>
      <c r="Z246" s="39"/>
      <c r="AA246" s="39"/>
      <c r="AB246" s="39"/>
      <c r="AC246" s="35">
        <f t="shared" si="126"/>
        <v>0</v>
      </c>
      <c r="AD246" s="40"/>
      <c r="AE246" s="40"/>
      <c r="AF246" s="40"/>
      <c r="AG246" s="40"/>
      <c r="AH246" s="40"/>
      <c r="AI246" s="40"/>
      <c r="AJ246" s="40"/>
      <c r="AK246" s="40"/>
      <c r="AL246" s="40"/>
      <c r="AM246" s="40"/>
      <c r="AN246" s="40"/>
      <c r="AO246" s="40"/>
      <c r="AP246" s="40"/>
      <c r="AQ246" s="40"/>
      <c r="AR246" s="40"/>
      <c r="AS246" s="40"/>
      <c r="AT246" s="41"/>
      <c r="AU246" s="1806"/>
      <c r="AV246" s="1517">
        <f t="shared" si="127"/>
        <v>0</v>
      </c>
      <c r="AW246" s="1517">
        <f t="shared" si="128"/>
        <v>0</v>
      </c>
      <c r="AX246" s="1517">
        <f t="shared" si="129"/>
        <v>0</v>
      </c>
      <c r="AY246" s="42">
        <f t="shared" si="130"/>
        <v>0</v>
      </c>
      <c r="AZ246" s="35">
        <f t="shared" si="131"/>
        <v>0</v>
      </c>
      <c r="BA246" s="35">
        <f t="shared" si="132"/>
        <v>0</v>
      </c>
      <c r="BB246" s="35">
        <f t="shared" si="133"/>
        <v>0</v>
      </c>
      <c r="BC246" s="35">
        <f t="shared" si="134"/>
        <v>0</v>
      </c>
      <c r="BD246" s="35">
        <f t="shared" si="135"/>
        <v>0</v>
      </c>
      <c r="BE246" s="35">
        <f t="shared" si="136"/>
        <v>0</v>
      </c>
      <c r="BF246" s="35">
        <f t="shared" si="137"/>
        <v>0</v>
      </c>
      <c r="BG246" s="35">
        <f t="shared" si="138"/>
        <v>0</v>
      </c>
      <c r="BH246" s="35">
        <f t="shared" si="139"/>
        <v>0</v>
      </c>
      <c r="BI246" s="35">
        <f t="shared" si="140"/>
        <v>0</v>
      </c>
      <c r="BJ246" s="35">
        <f t="shared" si="141"/>
        <v>0</v>
      </c>
      <c r="BK246" s="35">
        <f t="shared" si="142"/>
        <v>0</v>
      </c>
      <c r="BL246" s="35">
        <f t="shared" si="143"/>
        <v>0</v>
      </c>
      <c r="BM246" s="35">
        <f t="shared" si="144"/>
        <v>0</v>
      </c>
      <c r="BN246" s="35">
        <f t="shared" si="145"/>
        <v>0</v>
      </c>
      <c r="BO246" s="35">
        <f t="shared" si="146"/>
        <v>0</v>
      </c>
      <c r="BP246" s="35">
        <f t="shared" si="147"/>
        <v>0</v>
      </c>
      <c r="BQ246" s="35">
        <f t="shared" si="148"/>
        <v>0</v>
      </c>
      <c r="BR246" s="35">
        <f t="shared" si="149"/>
        <v>0</v>
      </c>
      <c r="BS246" s="35">
        <f t="shared" si="150"/>
        <v>0</v>
      </c>
      <c r="BT246" s="43">
        <f t="shared" si="151"/>
        <v>0</v>
      </c>
    </row>
    <row r="247" spans="1:72">
      <c r="A247" s="9"/>
      <c r="B247" s="34"/>
      <c r="C247" s="34"/>
      <c r="D247" s="1805"/>
      <c r="E247" s="35">
        <f t="shared" si="123"/>
        <v>0</v>
      </c>
      <c r="F247" s="36"/>
      <c r="G247" s="37">
        <f t="shared" si="124"/>
        <v>0</v>
      </c>
      <c r="H247" s="38">
        <f t="shared" si="125"/>
        <v>0</v>
      </c>
      <c r="I247" s="39"/>
      <c r="J247" s="39"/>
      <c r="K247" s="39"/>
      <c r="L247" s="39"/>
      <c r="M247" s="39"/>
      <c r="N247" s="39"/>
      <c r="O247" s="39"/>
      <c r="P247" s="39"/>
      <c r="Q247" s="39"/>
      <c r="R247" s="39"/>
      <c r="S247" s="39"/>
      <c r="T247" s="39"/>
      <c r="U247" s="39"/>
      <c r="V247" s="39"/>
      <c r="W247" s="39"/>
      <c r="X247" s="39"/>
      <c r="Y247" s="39"/>
      <c r="Z247" s="39"/>
      <c r="AA247" s="39"/>
      <c r="AB247" s="39"/>
      <c r="AC247" s="35">
        <f t="shared" si="126"/>
        <v>0</v>
      </c>
      <c r="AD247" s="40"/>
      <c r="AE247" s="40"/>
      <c r="AF247" s="40"/>
      <c r="AG247" s="40"/>
      <c r="AH247" s="40"/>
      <c r="AI247" s="40"/>
      <c r="AJ247" s="40"/>
      <c r="AK247" s="40"/>
      <c r="AL247" s="40"/>
      <c r="AM247" s="40"/>
      <c r="AN247" s="40"/>
      <c r="AO247" s="40"/>
      <c r="AP247" s="40"/>
      <c r="AQ247" s="40"/>
      <c r="AR247" s="40"/>
      <c r="AS247" s="40"/>
      <c r="AT247" s="41"/>
      <c r="AU247" s="1806"/>
      <c r="AV247" s="1517">
        <f t="shared" si="127"/>
        <v>0</v>
      </c>
      <c r="AW247" s="1517">
        <f t="shared" si="128"/>
        <v>0</v>
      </c>
      <c r="AX247" s="1517">
        <f t="shared" si="129"/>
        <v>0</v>
      </c>
      <c r="AY247" s="42">
        <f t="shared" si="130"/>
        <v>0</v>
      </c>
      <c r="AZ247" s="35">
        <f t="shared" si="131"/>
        <v>0</v>
      </c>
      <c r="BA247" s="35">
        <f t="shared" si="132"/>
        <v>0</v>
      </c>
      <c r="BB247" s="35">
        <f t="shared" si="133"/>
        <v>0</v>
      </c>
      <c r="BC247" s="35">
        <f t="shared" si="134"/>
        <v>0</v>
      </c>
      <c r="BD247" s="35">
        <f t="shared" si="135"/>
        <v>0</v>
      </c>
      <c r="BE247" s="35">
        <f t="shared" si="136"/>
        <v>0</v>
      </c>
      <c r="BF247" s="35">
        <f t="shared" si="137"/>
        <v>0</v>
      </c>
      <c r="BG247" s="35">
        <f t="shared" si="138"/>
        <v>0</v>
      </c>
      <c r="BH247" s="35">
        <f t="shared" si="139"/>
        <v>0</v>
      </c>
      <c r="BI247" s="35">
        <f t="shared" si="140"/>
        <v>0</v>
      </c>
      <c r="BJ247" s="35">
        <f t="shared" si="141"/>
        <v>0</v>
      </c>
      <c r="BK247" s="35">
        <f t="shared" si="142"/>
        <v>0</v>
      </c>
      <c r="BL247" s="35">
        <f t="shared" si="143"/>
        <v>0</v>
      </c>
      <c r="BM247" s="35">
        <f t="shared" si="144"/>
        <v>0</v>
      </c>
      <c r="BN247" s="35">
        <f t="shared" si="145"/>
        <v>0</v>
      </c>
      <c r="BO247" s="35">
        <f t="shared" si="146"/>
        <v>0</v>
      </c>
      <c r="BP247" s="35">
        <f t="shared" si="147"/>
        <v>0</v>
      </c>
      <c r="BQ247" s="35">
        <f t="shared" si="148"/>
        <v>0</v>
      </c>
      <c r="BR247" s="35">
        <f t="shared" si="149"/>
        <v>0</v>
      </c>
      <c r="BS247" s="35">
        <f t="shared" si="150"/>
        <v>0</v>
      </c>
      <c r="BT247" s="43">
        <f t="shared" si="151"/>
        <v>0</v>
      </c>
    </row>
    <row r="248" spans="1:72">
      <c r="A248" s="9"/>
      <c r="B248" s="34"/>
      <c r="C248" s="34"/>
      <c r="D248" s="1805"/>
      <c r="E248" s="35">
        <f t="shared" si="123"/>
        <v>0</v>
      </c>
      <c r="F248" s="36"/>
      <c r="G248" s="37">
        <f t="shared" si="124"/>
        <v>0</v>
      </c>
      <c r="H248" s="38">
        <f t="shared" si="125"/>
        <v>0</v>
      </c>
      <c r="I248" s="39"/>
      <c r="J248" s="39"/>
      <c r="K248" s="39"/>
      <c r="L248" s="39"/>
      <c r="M248" s="39"/>
      <c r="N248" s="39"/>
      <c r="O248" s="39"/>
      <c r="P248" s="39"/>
      <c r="Q248" s="39"/>
      <c r="R248" s="39"/>
      <c r="S248" s="39"/>
      <c r="T248" s="39"/>
      <c r="U248" s="39"/>
      <c r="V248" s="39"/>
      <c r="W248" s="39"/>
      <c r="X248" s="39"/>
      <c r="Y248" s="39"/>
      <c r="Z248" s="39"/>
      <c r="AA248" s="39"/>
      <c r="AB248" s="39"/>
      <c r="AC248" s="35">
        <f t="shared" si="126"/>
        <v>0</v>
      </c>
      <c r="AD248" s="40"/>
      <c r="AE248" s="40"/>
      <c r="AF248" s="40"/>
      <c r="AG248" s="40"/>
      <c r="AH248" s="40"/>
      <c r="AI248" s="40"/>
      <c r="AJ248" s="40"/>
      <c r="AK248" s="40"/>
      <c r="AL248" s="40"/>
      <c r="AM248" s="40"/>
      <c r="AN248" s="40"/>
      <c r="AO248" s="40"/>
      <c r="AP248" s="40"/>
      <c r="AQ248" s="40"/>
      <c r="AR248" s="40"/>
      <c r="AS248" s="40"/>
      <c r="AT248" s="41"/>
      <c r="AU248" s="1806"/>
      <c r="AV248" s="1517">
        <f t="shared" si="127"/>
        <v>0</v>
      </c>
      <c r="AW248" s="1517">
        <f t="shared" si="128"/>
        <v>0</v>
      </c>
      <c r="AX248" s="1517">
        <f t="shared" si="129"/>
        <v>0</v>
      </c>
      <c r="AY248" s="42">
        <f t="shared" si="130"/>
        <v>0</v>
      </c>
      <c r="AZ248" s="35">
        <f t="shared" si="131"/>
        <v>0</v>
      </c>
      <c r="BA248" s="35">
        <f t="shared" si="132"/>
        <v>0</v>
      </c>
      <c r="BB248" s="35">
        <f t="shared" si="133"/>
        <v>0</v>
      </c>
      <c r="BC248" s="35">
        <f t="shared" si="134"/>
        <v>0</v>
      </c>
      <c r="BD248" s="35">
        <f t="shared" si="135"/>
        <v>0</v>
      </c>
      <c r="BE248" s="35">
        <f t="shared" si="136"/>
        <v>0</v>
      </c>
      <c r="BF248" s="35">
        <f t="shared" si="137"/>
        <v>0</v>
      </c>
      <c r="BG248" s="35">
        <f t="shared" si="138"/>
        <v>0</v>
      </c>
      <c r="BH248" s="35">
        <f t="shared" si="139"/>
        <v>0</v>
      </c>
      <c r="BI248" s="35">
        <f t="shared" si="140"/>
        <v>0</v>
      </c>
      <c r="BJ248" s="35">
        <f t="shared" si="141"/>
        <v>0</v>
      </c>
      <c r="BK248" s="35">
        <f t="shared" si="142"/>
        <v>0</v>
      </c>
      <c r="BL248" s="35">
        <f t="shared" si="143"/>
        <v>0</v>
      </c>
      <c r="BM248" s="35">
        <f t="shared" si="144"/>
        <v>0</v>
      </c>
      <c r="BN248" s="35">
        <f t="shared" si="145"/>
        <v>0</v>
      </c>
      <c r="BO248" s="35">
        <f t="shared" si="146"/>
        <v>0</v>
      </c>
      <c r="BP248" s="35">
        <f t="shared" si="147"/>
        <v>0</v>
      </c>
      <c r="BQ248" s="35">
        <f t="shared" si="148"/>
        <v>0</v>
      </c>
      <c r="BR248" s="35">
        <f t="shared" si="149"/>
        <v>0</v>
      </c>
      <c r="BS248" s="35">
        <f t="shared" si="150"/>
        <v>0</v>
      </c>
      <c r="BT248" s="43">
        <f t="shared" si="151"/>
        <v>0</v>
      </c>
    </row>
    <row r="249" spans="1:72">
      <c r="A249" s="9"/>
      <c r="B249" s="34"/>
      <c r="C249" s="34"/>
      <c r="D249" s="1805"/>
      <c r="E249" s="35">
        <f t="shared" si="123"/>
        <v>0</v>
      </c>
      <c r="F249" s="36"/>
      <c r="G249" s="37">
        <f t="shared" si="124"/>
        <v>0</v>
      </c>
      <c r="H249" s="38">
        <f t="shared" si="125"/>
        <v>0</v>
      </c>
      <c r="I249" s="39"/>
      <c r="J249" s="39"/>
      <c r="K249" s="39"/>
      <c r="L249" s="39"/>
      <c r="M249" s="39"/>
      <c r="N249" s="39"/>
      <c r="O249" s="39"/>
      <c r="P249" s="39"/>
      <c r="Q249" s="39"/>
      <c r="R249" s="39"/>
      <c r="S249" s="39"/>
      <c r="T249" s="39"/>
      <c r="U249" s="39"/>
      <c r="V249" s="39"/>
      <c r="W249" s="39"/>
      <c r="X249" s="39"/>
      <c r="Y249" s="39"/>
      <c r="Z249" s="39"/>
      <c r="AA249" s="39"/>
      <c r="AB249" s="39"/>
      <c r="AC249" s="35">
        <f t="shared" si="126"/>
        <v>0</v>
      </c>
      <c r="AD249" s="40"/>
      <c r="AE249" s="40"/>
      <c r="AF249" s="40"/>
      <c r="AG249" s="40"/>
      <c r="AH249" s="40"/>
      <c r="AI249" s="40"/>
      <c r="AJ249" s="40"/>
      <c r="AK249" s="40"/>
      <c r="AL249" s="40"/>
      <c r="AM249" s="40"/>
      <c r="AN249" s="40"/>
      <c r="AO249" s="40"/>
      <c r="AP249" s="40"/>
      <c r="AQ249" s="40"/>
      <c r="AR249" s="40"/>
      <c r="AS249" s="40"/>
      <c r="AT249" s="41"/>
      <c r="AU249" s="1806"/>
      <c r="AV249" s="1517">
        <f t="shared" si="127"/>
        <v>0</v>
      </c>
      <c r="AW249" s="1517">
        <f t="shared" si="128"/>
        <v>0</v>
      </c>
      <c r="AX249" s="1517">
        <f t="shared" si="129"/>
        <v>0</v>
      </c>
      <c r="AY249" s="42">
        <f t="shared" si="130"/>
        <v>0</v>
      </c>
      <c r="AZ249" s="35">
        <f t="shared" si="131"/>
        <v>0</v>
      </c>
      <c r="BA249" s="35">
        <f t="shared" si="132"/>
        <v>0</v>
      </c>
      <c r="BB249" s="35">
        <f t="shared" si="133"/>
        <v>0</v>
      </c>
      <c r="BC249" s="35">
        <f t="shared" si="134"/>
        <v>0</v>
      </c>
      <c r="BD249" s="35">
        <f t="shared" si="135"/>
        <v>0</v>
      </c>
      <c r="BE249" s="35">
        <f t="shared" si="136"/>
        <v>0</v>
      </c>
      <c r="BF249" s="35">
        <f t="shared" si="137"/>
        <v>0</v>
      </c>
      <c r="BG249" s="35">
        <f t="shared" si="138"/>
        <v>0</v>
      </c>
      <c r="BH249" s="35">
        <f t="shared" si="139"/>
        <v>0</v>
      </c>
      <c r="BI249" s="35">
        <f t="shared" si="140"/>
        <v>0</v>
      </c>
      <c r="BJ249" s="35">
        <f t="shared" si="141"/>
        <v>0</v>
      </c>
      <c r="BK249" s="35">
        <f t="shared" si="142"/>
        <v>0</v>
      </c>
      <c r="BL249" s="35">
        <f t="shared" si="143"/>
        <v>0</v>
      </c>
      <c r="BM249" s="35">
        <f t="shared" si="144"/>
        <v>0</v>
      </c>
      <c r="BN249" s="35">
        <f t="shared" si="145"/>
        <v>0</v>
      </c>
      <c r="BO249" s="35">
        <f t="shared" si="146"/>
        <v>0</v>
      </c>
      <c r="BP249" s="35">
        <f t="shared" si="147"/>
        <v>0</v>
      </c>
      <c r="BQ249" s="35">
        <f t="shared" si="148"/>
        <v>0</v>
      </c>
      <c r="BR249" s="35">
        <f t="shared" si="149"/>
        <v>0</v>
      </c>
      <c r="BS249" s="35">
        <f t="shared" si="150"/>
        <v>0</v>
      </c>
      <c r="BT249" s="43">
        <f t="shared" si="151"/>
        <v>0</v>
      </c>
    </row>
    <row r="250" spans="1:72">
      <c r="A250" s="9"/>
      <c r="B250" s="34"/>
      <c r="C250" s="34"/>
      <c r="D250" s="1805"/>
      <c r="E250" s="35">
        <f t="shared" si="123"/>
        <v>0</v>
      </c>
      <c r="F250" s="36"/>
      <c r="G250" s="37">
        <f t="shared" si="124"/>
        <v>0</v>
      </c>
      <c r="H250" s="38">
        <f t="shared" si="125"/>
        <v>0</v>
      </c>
      <c r="I250" s="39"/>
      <c r="J250" s="39"/>
      <c r="K250" s="39"/>
      <c r="L250" s="39"/>
      <c r="M250" s="39"/>
      <c r="N250" s="39"/>
      <c r="O250" s="39"/>
      <c r="P250" s="39"/>
      <c r="Q250" s="39"/>
      <c r="R250" s="39"/>
      <c r="S250" s="39"/>
      <c r="T250" s="39"/>
      <c r="U250" s="39"/>
      <c r="V250" s="39"/>
      <c r="W250" s="39"/>
      <c r="X250" s="39"/>
      <c r="Y250" s="39"/>
      <c r="Z250" s="39"/>
      <c r="AA250" s="39"/>
      <c r="AB250" s="39"/>
      <c r="AC250" s="35">
        <f t="shared" si="126"/>
        <v>0</v>
      </c>
      <c r="AD250" s="40"/>
      <c r="AE250" s="40"/>
      <c r="AF250" s="40"/>
      <c r="AG250" s="40"/>
      <c r="AH250" s="40"/>
      <c r="AI250" s="40"/>
      <c r="AJ250" s="40"/>
      <c r="AK250" s="40"/>
      <c r="AL250" s="40"/>
      <c r="AM250" s="40"/>
      <c r="AN250" s="40"/>
      <c r="AO250" s="40"/>
      <c r="AP250" s="40"/>
      <c r="AQ250" s="40"/>
      <c r="AR250" s="40"/>
      <c r="AS250" s="40"/>
      <c r="AT250" s="41"/>
      <c r="AU250" s="1806"/>
      <c r="AV250" s="1517">
        <f t="shared" si="127"/>
        <v>0</v>
      </c>
      <c r="AW250" s="1517">
        <f t="shared" si="128"/>
        <v>0</v>
      </c>
      <c r="AX250" s="1517">
        <f t="shared" si="129"/>
        <v>0</v>
      </c>
      <c r="AY250" s="42">
        <f t="shared" si="130"/>
        <v>0</v>
      </c>
      <c r="AZ250" s="35">
        <f t="shared" si="131"/>
        <v>0</v>
      </c>
      <c r="BA250" s="35">
        <f t="shared" si="132"/>
        <v>0</v>
      </c>
      <c r="BB250" s="35">
        <f t="shared" si="133"/>
        <v>0</v>
      </c>
      <c r="BC250" s="35">
        <f t="shared" si="134"/>
        <v>0</v>
      </c>
      <c r="BD250" s="35">
        <f t="shared" si="135"/>
        <v>0</v>
      </c>
      <c r="BE250" s="35">
        <f t="shared" si="136"/>
        <v>0</v>
      </c>
      <c r="BF250" s="35">
        <f t="shared" si="137"/>
        <v>0</v>
      </c>
      <c r="BG250" s="35">
        <f t="shared" si="138"/>
        <v>0</v>
      </c>
      <c r="BH250" s="35">
        <f t="shared" si="139"/>
        <v>0</v>
      </c>
      <c r="BI250" s="35">
        <f t="shared" si="140"/>
        <v>0</v>
      </c>
      <c r="BJ250" s="35">
        <f t="shared" si="141"/>
        <v>0</v>
      </c>
      <c r="BK250" s="35">
        <f t="shared" si="142"/>
        <v>0</v>
      </c>
      <c r="BL250" s="35">
        <f t="shared" si="143"/>
        <v>0</v>
      </c>
      <c r="BM250" s="35">
        <f t="shared" si="144"/>
        <v>0</v>
      </c>
      <c r="BN250" s="35">
        <f t="shared" si="145"/>
        <v>0</v>
      </c>
      <c r="BO250" s="35">
        <f t="shared" si="146"/>
        <v>0</v>
      </c>
      <c r="BP250" s="35">
        <f t="shared" si="147"/>
        <v>0</v>
      </c>
      <c r="BQ250" s="35">
        <f t="shared" si="148"/>
        <v>0</v>
      </c>
      <c r="BR250" s="35">
        <f t="shared" si="149"/>
        <v>0</v>
      </c>
      <c r="BS250" s="35">
        <f t="shared" si="150"/>
        <v>0</v>
      </c>
      <c r="BT250" s="43">
        <f t="shared" si="151"/>
        <v>0</v>
      </c>
    </row>
    <row r="251" spans="1:72">
      <c r="A251" s="9"/>
      <c r="B251" s="34"/>
      <c r="C251" s="34"/>
      <c r="D251" s="1805"/>
      <c r="E251" s="35">
        <f t="shared" si="123"/>
        <v>0</v>
      </c>
      <c r="F251" s="36"/>
      <c r="G251" s="37">
        <f t="shared" si="124"/>
        <v>0</v>
      </c>
      <c r="H251" s="38">
        <f t="shared" si="125"/>
        <v>0</v>
      </c>
      <c r="I251" s="39"/>
      <c r="J251" s="39"/>
      <c r="K251" s="39"/>
      <c r="L251" s="39"/>
      <c r="M251" s="39"/>
      <c r="N251" s="39"/>
      <c r="O251" s="39"/>
      <c r="P251" s="39"/>
      <c r="Q251" s="39"/>
      <c r="R251" s="39"/>
      <c r="S251" s="39"/>
      <c r="T251" s="39"/>
      <c r="U251" s="39"/>
      <c r="V251" s="39"/>
      <c r="W251" s="39"/>
      <c r="X251" s="39"/>
      <c r="Y251" s="39"/>
      <c r="Z251" s="39"/>
      <c r="AA251" s="39"/>
      <c r="AB251" s="39"/>
      <c r="AC251" s="35">
        <f t="shared" si="126"/>
        <v>0</v>
      </c>
      <c r="AD251" s="40"/>
      <c r="AE251" s="40"/>
      <c r="AF251" s="40"/>
      <c r="AG251" s="40"/>
      <c r="AH251" s="40"/>
      <c r="AI251" s="40"/>
      <c r="AJ251" s="40"/>
      <c r="AK251" s="40"/>
      <c r="AL251" s="40"/>
      <c r="AM251" s="40"/>
      <c r="AN251" s="40"/>
      <c r="AO251" s="40"/>
      <c r="AP251" s="40"/>
      <c r="AQ251" s="40"/>
      <c r="AR251" s="40"/>
      <c r="AS251" s="40"/>
      <c r="AT251" s="41"/>
      <c r="AU251" s="1806"/>
      <c r="AV251" s="1517">
        <f t="shared" si="127"/>
        <v>0</v>
      </c>
      <c r="AW251" s="1517">
        <f t="shared" si="128"/>
        <v>0</v>
      </c>
      <c r="AX251" s="1517">
        <f t="shared" si="129"/>
        <v>0</v>
      </c>
      <c r="AY251" s="42">
        <f t="shared" si="130"/>
        <v>0</v>
      </c>
      <c r="AZ251" s="35">
        <f t="shared" si="131"/>
        <v>0</v>
      </c>
      <c r="BA251" s="35">
        <f t="shared" si="132"/>
        <v>0</v>
      </c>
      <c r="BB251" s="35">
        <f t="shared" si="133"/>
        <v>0</v>
      </c>
      <c r="BC251" s="35">
        <f t="shared" si="134"/>
        <v>0</v>
      </c>
      <c r="BD251" s="35">
        <f t="shared" si="135"/>
        <v>0</v>
      </c>
      <c r="BE251" s="35">
        <f t="shared" si="136"/>
        <v>0</v>
      </c>
      <c r="BF251" s="35">
        <f t="shared" si="137"/>
        <v>0</v>
      </c>
      <c r="BG251" s="35">
        <f t="shared" si="138"/>
        <v>0</v>
      </c>
      <c r="BH251" s="35">
        <f t="shared" si="139"/>
        <v>0</v>
      </c>
      <c r="BI251" s="35">
        <f t="shared" si="140"/>
        <v>0</v>
      </c>
      <c r="BJ251" s="35">
        <f t="shared" si="141"/>
        <v>0</v>
      </c>
      <c r="BK251" s="35">
        <f t="shared" si="142"/>
        <v>0</v>
      </c>
      <c r="BL251" s="35">
        <f t="shared" si="143"/>
        <v>0</v>
      </c>
      <c r="BM251" s="35">
        <f t="shared" si="144"/>
        <v>0</v>
      </c>
      <c r="BN251" s="35">
        <f t="shared" si="145"/>
        <v>0</v>
      </c>
      <c r="BO251" s="35">
        <f t="shared" si="146"/>
        <v>0</v>
      </c>
      <c r="BP251" s="35">
        <f t="shared" si="147"/>
        <v>0</v>
      </c>
      <c r="BQ251" s="35">
        <f t="shared" si="148"/>
        <v>0</v>
      </c>
      <c r="BR251" s="35">
        <f t="shared" si="149"/>
        <v>0</v>
      </c>
      <c r="BS251" s="35">
        <f t="shared" si="150"/>
        <v>0</v>
      </c>
      <c r="BT251" s="43">
        <f t="shared" si="151"/>
        <v>0</v>
      </c>
    </row>
    <row r="252" spans="1:72">
      <c r="A252" s="9"/>
      <c r="B252" s="34"/>
      <c r="C252" s="34"/>
      <c r="D252" s="1805"/>
      <c r="E252" s="35">
        <f t="shared" si="123"/>
        <v>0</v>
      </c>
      <c r="F252" s="36"/>
      <c r="G252" s="37">
        <f t="shared" si="124"/>
        <v>0</v>
      </c>
      <c r="H252" s="38">
        <f t="shared" si="125"/>
        <v>0</v>
      </c>
      <c r="I252" s="39"/>
      <c r="J252" s="39"/>
      <c r="K252" s="39"/>
      <c r="L252" s="39"/>
      <c r="M252" s="39"/>
      <c r="N252" s="39"/>
      <c r="O252" s="39"/>
      <c r="P252" s="39"/>
      <c r="Q252" s="39"/>
      <c r="R252" s="39"/>
      <c r="S252" s="39"/>
      <c r="T252" s="39"/>
      <c r="U252" s="39"/>
      <c r="V252" s="39"/>
      <c r="W252" s="39"/>
      <c r="X252" s="39"/>
      <c r="Y252" s="39"/>
      <c r="Z252" s="39"/>
      <c r="AA252" s="39"/>
      <c r="AB252" s="39"/>
      <c r="AC252" s="35">
        <f t="shared" si="126"/>
        <v>0</v>
      </c>
      <c r="AD252" s="40"/>
      <c r="AE252" s="40"/>
      <c r="AF252" s="40"/>
      <c r="AG252" s="40"/>
      <c r="AH252" s="40"/>
      <c r="AI252" s="40"/>
      <c r="AJ252" s="40"/>
      <c r="AK252" s="40"/>
      <c r="AL252" s="40"/>
      <c r="AM252" s="40"/>
      <c r="AN252" s="40"/>
      <c r="AO252" s="40"/>
      <c r="AP252" s="40"/>
      <c r="AQ252" s="40"/>
      <c r="AR252" s="40"/>
      <c r="AS252" s="40"/>
      <c r="AT252" s="41"/>
      <c r="AU252" s="1806"/>
      <c r="AV252" s="1517">
        <f t="shared" si="127"/>
        <v>0</v>
      </c>
      <c r="AW252" s="1517">
        <f t="shared" si="128"/>
        <v>0</v>
      </c>
      <c r="AX252" s="1517">
        <f t="shared" si="129"/>
        <v>0</v>
      </c>
      <c r="AY252" s="42">
        <f t="shared" si="130"/>
        <v>0</v>
      </c>
      <c r="AZ252" s="35">
        <f t="shared" si="131"/>
        <v>0</v>
      </c>
      <c r="BA252" s="35">
        <f t="shared" si="132"/>
        <v>0</v>
      </c>
      <c r="BB252" s="35">
        <f t="shared" si="133"/>
        <v>0</v>
      </c>
      <c r="BC252" s="35">
        <f t="shared" si="134"/>
        <v>0</v>
      </c>
      <c r="BD252" s="35">
        <f t="shared" si="135"/>
        <v>0</v>
      </c>
      <c r="BE252" s="35">
        <f t="shared" si="136"/>
        <v>0</v>
      </c>
      <c r="BF252" s="35">
        <f t="shared" si="137"/>
        <v>0</v>
      </c>
      <c r="BG252" s="35">
        <f t="shared" si="138"/>
        <v>0</v>
      </c>
      <c r="BH252" s="35">
        <f t="shared" si="139"/>
        <v>0</v>
      </c>
      <c r="BI252" s="35">
        <f t="shared" si="140"/>
        <v>0</v>
      </c>
      <c r="BJ252" s="35">
        <f t="shared" si="141"/>
        <v>0</v>
      </c>
      <c r="BK252" s="35">
        <f t="shared" si="142"/>
        <v>0</v>
      </c>
      <c r="BL252" s="35">
        <f t="shared" si="143"/>
        <v>0</v>
      </c>
      <c r="BM252" s="35">
        <f t="shared" si="144"/>
        <v>0</v>
      </c>
      <c r="BN252" s="35">
        <f t="shared" si="145"/>
        <v>0</v>
      </c>
      <c r="BO252" s="35">
        <f t="shared" si="146"/>
        <v>0</v>
      </c>
      <c r="BP252" s="35">
        <f t="shared" si="147"/>
        <v>0</v>
      </c>
      <c r="BQ252" s="35">
        <f t="shared" si="148"/>
        <v>0</v>
      </c>
      <c r="BR252" s="35">
        <f t="shared" si="149"/>
        <v>0</v>
      </c>
      <c r="BS252" s="35">
        <f t="shared" si="150"/>
        <v>0</v>
      </c>
      <c r="BT252" s="43">
        <f t="shared" si="151"/>
        <v>0</v>
      </c>
    </row>
    <row r="253" spans="1:72">
      <c r="A253" s="9"/>
      <c r="B253" s="34"/>
      <c r="C253" s="34"/>
      <c r="D253" s="1805"/>
      <c r="E253" s="35">
        <f t="shared" si="123"/>
        <v>0</v>
      </c>
      <c r="F253" s="36"/>
      <c r="G253" s="37">
        <f t="shared" si="124"/>
        <v>0</v>
      </c>
      <c r="H253" s="38">
        <f t="shared" si="125"/>
        <v>0</v>
      </c>
      <c r="I253" s="39"/>
      <c r="J253" s="39"/>
      <c r="K253" s="39"/>
      <c r="L253" s="39"/>
      <c r="M253" s="39"/>
      <c r="N253" s="39"/>
      <c r="O253" s="39"/>
      <c r="P253" s="39"/>
      <c r="Q253" s="39"/>
      <c r="R253" s="39"/>
      <c r="S253" s="39"/>
      <c r="T253" s="39"/>
      <c r="U253" s="39"/>
      <c r="V253" s="39"/>
      <c r="W253" s="39"/>
      <c r="X253" s="39"/>
      <c r="Y253" s="39"/>
      <c r="Z253" s="39"/>
      <c r="AA253" s="39"/>
      <c r="AB253" s="39"/>
      <c r="AC253" s="35">
        <f t="shared" si="126"/>
        <v>0</v>
      </c>
      <c r="AD253" s="40"/>
      <c r="AE253" s="40"/>
      <c r="AF253" s="40"/>
      <c r="AG253" s="40"/>
      <c r="AH253" s="40"/>
      <c r="AI253" s="40"/>
      <c r="AJ253" s="40"/>
      <c r="AK253" s="40"/>
      <c r="AL253" s="40"/>
      <c r="AM253" s="40"/>
      <c r="AN253" s="40"/>
      <c r="AO253" s="40"/>
      <c r="AP253" s="40"/>
      <c r="AQ253" s="40"/>
      <c r="AR253" s="40"/>
      <c r="AS253" s="40"/>
      <c r="AT253" s="41"/>
      <c r="AU253" s="1806"/>
      <c r="AV253" s="1517">
        <f t="shared" si="127"/>
        <v>0</v>
      </c>
      <c r="AW253" s="1517">
        <f t="shared" si="128"/>
        <v>0</v>
      </c>
      <c r="AX253" s="1517">
        <f t="shared" si="129"/>
        <v>0</v>
      </c>
      <c r="AY253" s="42">
        <f t="shared" si="130"/>
        <v>0</v>
      </c>
      <c r="AZ253" s="35">
        <f t="shared" si="131"/>
        <v>0</v>
      </c>
      <c r="BA253" s="35">
        <f t="shared" si="132"/>
        <v>0</v>
      </c>
      <c r="BB253" s="35">
        <f t="shared" si="133"/>
        <v>0</v>
      </c>
      <c r="BC253" s="35">
        <f t="shared" si="134"/>
        <v>0</v>
      </c>
      <c r="BD253" s="35">
        <f t="shared" si="135"/>
        <v>0</v>
      </c>
      <c r="BE253" s="35">
        <f t="shared" si="136"/>
        <v>0</v>
      </c>
      <c r="BF253" s="35">
        <f t="shared" si="137"/>
        <v>0</v>
      </c>
      <c r="BG253" s="35">
        <f t="shared" si="138"/>
        <v>0</v>
      </c>
      <c r="BH253" s="35">
        <f t="shared" si="139"/>
        <v>0</v>
      </c>
      <c r="BI253" s="35">
        <f t="shared" si="140"/>
        <v>0</v>
      </c>
      <c r="BJ253" s="35">
        <f t="shared" si="141"/>
        <v>0</v>
      </c>
      <c r="BK253" s="35">
        <f t="shared" si="142"/>
        <v>0</v>
      </c>
      <c r="BL253" s="35">
        <f t="shared" si="143"/>
        <v>0</v>
      </c>
      <c r="BM253" s="35">
        <f t="shared" si="144"/>
        <v>0</v>
      </c>
      <c r="BN253" s="35">
        <f t="shared" si="145"/>
        <v>0</v>
      </c>
      <c r="BO253" s="35">
        <f t="shared" si="146"/>
        <v>0</v>
      </c>
      <c r="BP253" s="35">
        <f t="shared" si="147"/>
        <v>0</v>
      </c>
      <c r="BQ253" s="35">
        <f t="shared" si="148"/>
        <v>0</v>
      </c>
      <c r="BR253" s="35">
        <f t="shared" si="149"/>
        <v>0</v>
      </c>
      <c r="BS253" s="35">
        <f t="shared" si="150"/>
        <v>0</v>
      </c>
      <c r="BT253" s="43">
        <f t="shared" si="151"/>
        <v>0</v>
      </c>
    </row>
    <row r="254" spans="1:72">
      <c r="A254" s="9"/>
      <c r="B254" s="34"/>
      <c r="C254" s="34"/>
      <c r="D254" s="1805"/>
      <c r="E254" s="35">
        <f t="shared" si="123"/>
        <v>0</v>
      </c>
      <c r="F254" s="36"/>
      <c r="G254" s="37">
        <f t="shared" si="124"/>
        <v>0</v>
      </c>
      <c r="H254" s="38">
        <f t="shared" si="125"/>
        <v>0</v>
      </c>
      <c r="I254" s="39"/>
      <c r="J254" s="39"/>
      <c r="K254" s="39"/>
      <c r="L254" s="39"/>
      <c r="M254" s="39"/>
      <c r="N254" s="39"/>
      <c r="O254" s="39"/>
      <c r="P254" s="39"/>
      <c r="Q254" s="39"/>
      <c r="R254" s="39"/>
      <c r="S254" s="39"/>
      <c r="T254" s="39"/>
      <c r="U254" s="39"/>
      <c r="V254" s="39"/>
      <c r="W254" s="39"/>
      <c r="X254" s="39"/>
      <c r="Y254" s="39"/>
      <c r="Z254" s="39"/>
      <c r="AA254" s="39"/>
      <c r="AB254" s="39"/>
      <c r="AC254" s="35">
        <f t="shared" si="126"/>
        <v>0</v>
      </c>
      <c r="AD254" s="40"/>
      <c r="AE254" s="40"/>
      <c r="AF254" s="40"/>
      <c r="AG254" s="40"/>
      <c r="AH254" s="40"/>
      <c r="AI254" s="40"/>
      <c r="AJ254" s="40"/>
      <c r="AK254" s="40"/>
      <c r="AL254" s="40"/>
      <c r="AM254" s="40"/>
      <c r="AN254" s="40"/>
      <c r="AO254" s="40"/>
      <c r="AP254" s="40"/>
      <c r="AQ254" s="40"/>
      <c r="AR254" s="40"/>
      <c r="AS254" s="40"/>
      <c r="AT254" s="41"/>
      <c r="AU254" s="1806"/>
      <c r="AV254" s="1517">
        <f t="shared" si="127"/>
        <v>0</v>
      </c>
      <c r="AW254" s="1517">
        <f t="shared" si="128"/>
        <v>0</v>
      </c>
      <c r="AX254" s="1517">
        <f t="shared" si="129"/>
        <v>0</v>
      </c>
      <c r="AY254" s="42">
        <f t="shared" si="130"/>
        <v>0</v>
      </c>
      <c r="AZ254" s="35">
        <f t="shared" si="131"/>
        <v>0</v>
      </c>
      <c r="BA254" s="35">
        <f t="shared" si="132"/>
        <v>0</v>
      </c>
      <c r="BB254" s="35">
        <f t="shared" si="133"/>
        <v>0</v>
      </c>
      <c r="BC254" s="35">
        <f t="shared" si="134"/>
        <v>0</v>
      </c>
      <c r="BD254" s="35">
        <f t="shared" si="135"/>
        <v>0</v>
      </c>
      <c r="BE254" s="35">
        <f t="shared" si="136"/>
        <v>0</v>
      </c>
      <c r="BF254" s="35">
        <f t="shared" si="137"/>
        <v>0</v>
      </c>
      <c r="BG254" s="35">
        <f t="shared" si="138"/>
        <v>0</v>
      </c>
      <c r="BH254" s="35">
        <f t="shared" si="139"/>
        <v>0</v>
      </c>
      <c r="BI254" s="35">
        <f t="shared" si="140"/>
        <v>0</v>
      </c>
      <c r="BJ254" s="35">
        <f t="shared" si="141"/>
        <v>0</v>
      </c>
      <c r="BK254" s="35">
        <f t="shared" si="142"/>
        <v>0</v>
      </c>
      <c r="BL254" s="35">
        <f t="shared" si="143"/>
        <v>0</v>
      </c>
      <c r="BM254" s="35">
        <f t="shared" si="144"/>
        <v>0</v>
      </c>
      <c r="BN254" s="35">
        <f t="shared" si="145"/>
        <v>0</v>
      </c>
      <c r="BO254" s="35">
        <f t="shared" si="146"/>
        <v>0</v>
      </c>
      <c r="BP254" s="35">
        <f t="shared" si="147"/>
        <v>0</v>
      </c>
      <c r="BQ254" s="35">
        <f t="shared" si="148"/>
        <v>0</v>
      </c>
      <c r="BR254" s="35">
        <f t="shared" si="149"/>
        <v>0</v>
      </c>
      <c r="BS254" s="35">
        <f t="shared" si="150"/>
        <v>0</v>
      </c>
      <c r="BT254" s="43">
        <f t="shared" si="151"/>
        <v>0</v>
      </c>
    </row>
    <row r="255" spans="1:72">
      <c r="A255" s="9"/>
      <c r="B255" s="34"/>
      <c r="C255" s="34"/>
      <c r="D255" s="1805"/>
      <c r="E255" s="35">
        <f t="shared" si="123"/>
        <v>0</v>
      </c>
      <c r="F255" s="36"/>
      <c r="G255" s="37">
        <f t="shared" si="124"/>
        <v>0</v>
      </c>
      <c r="H255" s="38">
        <f t="shared" si="125"/>
        <v>0</v>
      </c>
      <c r="I255" s="39"/>
      <c r="J255" s="39"/>
      <c r="K255" s="39"/>
      <c r="L255" s="39"/>
      <c r="M255" s="39"/>
      <c r="N255" s="39"/>
      <c r="O255" s="39"/>
      <c r="P255" s="39"/>
      <c r="Q255" s="39"/>
      <c r="R255" s="39"/>
      <c r="S255" s="39"/>
      <c r="T255" s="39"/>
      <c r="U255" s="39"/>
      <c r="V255" s="39"/>
      <c r="W255" s="39"/>
      <c r="X255" s="39"/>
      <c r="Y255" s="39"/>
      <c r="Z255" s="39"/>
      <c r="AA255" s="39"/>
      <c r="AB255" s="39"/>
      <c r="AC255" s="35">
        <f t="shared" si="126"/>
        <v>0</v>
      </c>
      <c r="AD255" s="40"/>
      <c r="AE255" s="40"/>
      <c r="AF255" s="40"/>
      <c r="AG255" s="40"/>
      <c r="AH255" s="40"/>
      <c r="AI255" s="40"/>
      <c r="AJ255" s="40"/>
      <c r="AK255" s="40"/>
      <c r="AL255" s="40"/>
      <c r="AM255" s="40"/>
      <c r="AN255" s="40"/>
      <c r="AO255" s="40"/>
      <c r="AP255" s="40"/>
      <c r="AQ255" s="40"/>
      <c r="AR255" s="40"/>
      <c r="AS255" s="40"/>
      <c r="AT255" s="41"/>
      <c r="AU255" s="1806"/>
      <c r="AV255" s="1517">
        <f t="shared" si="127"/>
        <v>0</v>
      </c>
      <c r="AW255" s="1517">
        <f t="shared" si="128"/>
        <v>0</v>
      </c>
      <c r="AX255" s="1517">
        <f t="shared" si="129"/>
        <v>0</v>
      </c>
      <c r="AY255" s="42">
        <f t="shared" si="130"/>
        <v>0</v>
      </c>
      <c r="AZ255" s="35">
        <f t="shared" si="131"/>
        <v>0</v>
      </c>
      <c r="BA255" s="35">
        <f t="shared" si="132"/>
        <v>0</v>
      </c>
      <c r="BB255" s="35">
        <f t="shared" si="133"/>
        <v>0</v>
      </c>
      <c r="BC255" s="35">
        <f t="shared" si="134"/>
        <v>0</v>
      </c>
      <c r="BD255" s="35">
        <f t="shared" si="135"/>
        <v>0</v>
      </c>
      <c r="BE255" s="35">
        <f t="shared" si="136"/>
        <v>0</v>
      </c>
      <c r="BF255" s="35">
        <f t="shared" si="137"/>
        <v>0</v>
      </c>
      <c r="BG255" s="35">
        <f t="shared" si="138"/>
        <v>0</v>
      </c>
      <c r="BH255" s="35">
        <f t="shared" si="139"/>
        <v>0</v>
      </c>
      <c r="BI255" s="35">
        <f t="shared" si="140"/>
        <v>0</v>
      </c>
      <c r="BJ255" s="35">
        <f t="shared" si="141"/>
        <v>0</v>
      </c>
      <c r="BK255" s="35">
        <f t="shared" si="142"/>
        <v>0</v>
      </c>
      <c r="BL255" s="35">
        <f t="shared" si="143"/>
        <v>0</v>
      </c>
      <c r="BM255" s="35">
        <f t="shared" si="144"/>
        <v>0</v>
      </c>
      <c r="BN255" s="35">
        <f t="shared" si="145"/>
        <v>0</v>
      </c>
      <c r="BO255" s="35">
        <f t="shared" si="146"/>
        <v>0</v>
      </c>
      <c r="BP255" s="35">
        <f t="shared" si="147"/>
        <v>0</v>
      </c>
      <c r="BQ255" s="35">
        <f t="shared" si="148"/>
        <v>0</v>
      </c>
      <c r="BR255" s="35">
        <f t="shared" si="149"/>
        <v>0</v>
      </c>
      <c r="BS255" s="35">
        <f t="shared" si="150"/>
        <v>0</v>
      </c>
      <c r="BT255" s="43">
        <f t="shared" si="151"/>
        <v>0</v>
      </c>
    </row>
    <row r="256" spans="1:72">
      <c r="A256" s="9"/>
      <c r="B256" s="34"/>
      <c r="C256" s="34"/>
      <c r="D256" s="1805"/>
      <c r="E256" s="35">
        <f t="shared" si="123"/>
        <v>0</v>
      </c>
      <c r="F256" s="36"/>
      <c r="G256" s="37">
        <f t="shared" si="124"/>
        <v>0</v>
      </c>
      <c r="H256" s="38">
        <f t="shared" si="125"/>
        <v>0</v>
      </c>
      <c r="I256" s="39"/>
      <c r="J256" s="39"/>
      <c r="K256" s="39"/>
      <c r="L256" s="39"/>
      <c r="M256" s="39"/>
      <c r="N256" s="39"/>
      <c r="O256" s="39"/>
      <c r="P256" s="39"/>
      <c r="Q256" s="39"/>
      <c r="R256" s="39"/>
      <c r="S256" s="39"/>
      <c r="T256" s="39"/>
      <c r="U256" s="39"/>
      <c r="V256" s="39"/>
      <c r="W256" s="39"/>
      <c r="X256" s="39"/>
      <c r="Y256" s="39"/>
      <c r="Z256" s="39"/>
      <c r="AA256" s="39"/>
      <c r="AB256" s="39"/>
      <c r="AC256" s="35">
        <f t="shared" si="126"/>
        <v>0</v>
      </c>
      <c r="AD256" s="40"/>
      <c r="AE256" s="40"/>
      <c r="AF256" s="40"/>
      <c r="AG256" s="40"/>
      <c r="AH256" s="40"/>
      <c r="AI256" s="40"/>
      <c r="AJ256" s="40"/>
      <c r="AK256" s="40"/>
      <c r="AL256" s="40"/>
      <c r="AM256" s="40"/>
      <c r="AN256" s="40"/>
      <c r="AO256" s="40"/>
      <c r="AP256" s="40"/>
      <c r="AQ256" s="40"/>
      <c r="AR256" s="40"/>
      <c r="AS256" s="40"/>
      <c r="AT256" s="41"/>
      <c r="AU256" s="1806"/>
      <c r="AV256" s="1517">
        <f t="shared" si="127"/>
        <v>0</v>
      </c>
      <c r="AW256" s="1517">
        <f t="shared" si="128"/>
        <v>0</v>
      </c>
      <c r="AX256" s="1517">
        <f t="shared" si="129"/>
        <v>0</v>
      </c>
      <c r="AY256" s="42">
        <f t="shared" si="130"/>
        <v>0</v>
      </c>
      <c r="AZ256" s="35">
        <f t="shared" si="131"/>
        <v>0</v>
      </c>
      <c r="BA256" s="35">
        <f t="shared" si="132"/>
        <v>0</v>
      </c>
      <c r="BB256" s="35">
        <f t="shared" si="133"/>
        <v>0</v>
      </c>
      <c r="BC256" s="35">
        <f t="shared" si="134"/>
        <v>0</v>
      </c>
      <c r="BD256" s="35">
        <f t="shared" si="135"/>
        <v>0</v>
      </c>
      <c r="BE256" s="35">
        <f t="shared" si="136"/>
        <v>0</v>
      </c>
      <c r="BF256" s="35">
        <f t="shared" si="137"/>
        <v>0</v>
      </c>
      <c r="BG256" s="35">
        <f t="shared" si="138"/>
        <v>0</v>
      </c>
      <c r="BH256" s="35">
        <f t="shared" si="139"/>
        <v>0</v>
      </c>
      <c r="BI256" s="35">
        <f t="shared" si="140"/>
        <v>0</v>
      </c>
      <c r="BJ256" s="35">
        <f t="shared" si="141"/>
        <v>0</v>
      </c>
      <c r="BK256" s="35">
        <f t="shared" si="142"/>
        <v>0</v>
      </c>
      <c r="BL256" s="35">
        <f t="shared" si="143"/>
        <v>0</v>
      </c>
      <c r="BM256" s="35">
        <f t="shared" si="144"/>
        <v>0</v>
      </c>
      <c r="BN256" s="35">
        <f t="shared" si="145"/>
        <v>0</v>
      </c>
      <c r="BO256" s="35">
        <f t="shared" si="146"/>
        <v>0</v>
      </c>
      <c r="BP256" s="35">
        <f t="shared" si="147"/>
        <v>0</v>
      </c>
      <c r="BQ256" s="35">
        <f t="shared" si="148"/>
        <v>0</v>
      </c>
      <c r="BR256" s="35">
        <f t="shared" si="149"/>
        <v>0</v>
      </c>
      <c r="BS256" s="35">
        <f t="shared" si="150"/>
        <v>0</v>
      </c>
      <c r="BT256" s="43">
        <f t="shared" si="151"/>
        <v>0</v>
      </c>
    </row>
    <row r="257" spans="1:72">
      <c r="A257" s="9"/>
      <c r="B257" s="34"/>
      <c r="C257" s="34"/>
      <c r="D257" s="1805"/>
      <c r="E257" s="35">
        <f t="shared" si="123"/>
        <v>0</v>
      </c>
      <c r="F257" s="36"/>
      <c r="G257" s="37">
        <f t="shared" si="124"/>
        <v>0</v>
      </c>
      <c r="H257" s="38">
        <f t="shared" si="125"/>
        <v>0</v>
      </c>
      <c r="I257" s="39"/>
      <c r="J257" s="39"/>
      <c r="K257" s="39"/>
      <c r="L257" s="39"/>
      <c r="M257" s="39"/>
      <c r="N257" s="39"/>
      <c r="O257" s="39"/>
      <c r="P257" s="39"/>
      <c r="Q257" s="39"/>
      <c r="R257" s="39"/>
      <c r="S257" s="39"/>
      <c r="T257" s="39"/>
      <c r="U257" s="39"/>
      <c r="V257" s="39"/>
      <c r="W257" s="39"/>
      <c r="X257" s="39"/>
      <c r="Y257" s="39"/>
      <c r="Z257" s="39"/>
      <c r="AA257" s="39"/>
      <c r="AB257" s="39"/>
      <c r="AC257" s="35">
        <f t="shared" si="126"/>
        <v>0</v>
      </c>
      <c r="AD257" s="40"/>
      <c r="AE257" s="40"/>
      <c r="AF257" s="40"/>
      <c r="AG257" s="40"/>
      <c r="AH257" s="40"/>
      <c r="AI257" s="40"/>
      <c r="AJ257" s="40"/>
      <c r="AK257" s="40"/>
      <c r="AL257" s="40"/>
      <c r="AM257" s="40"/>
      <c r="AN257" s="40"/>
      <c r="AO257" s="40"/>
      <c r="AP257" s="40"/>
      <c r="AQ257" s="40"/>
      <c r="AR257" s="40"/>
      <c r="AS257" s="40"/>
      <c r="AT257" s="41"/>
      <c r="AU257" s="1806"/>
      <c r="AV257" s="1517">
        <f t="shared" si="127"/>
        <v>0</v>
      </c>
      <c r="AW257" s="1517">
        <f t="shared" si="128"/>
        <v>0</v>
      </c>
      <c r="AX257" s="1517">
        <f t="shared" si="129"/>
        <v>0</v>
      </c>
      <c r="AY257" s="42">
        <f t="shared" si="130"/>
        <v>0</v>
      </c>
      <c r="AZ257" s="35">
        <f t="shared" si="131"/>
        <v>0</v>
      </c>
      <c r="BA257" s="35">
        <f t="shared" si="132"/>
        <v>0</v>
      </c>
      <c r="BB257" s="35">
        <f t="shared" si="133"/>
        <v>0</v>
      </c>
      <c r="BC257" s="35">
        <f t="shared" si="134"/>
        <v>0</v>
      </c>
      <c r="BD257" s="35">
        <f t="shared" si="135"/>
        <v>0</v>
      </c>
      <c r="BE257" s="35">
        <f t="shared" si="136"/>
        <v>0</v>
      </c>
      <c r="BF257" s="35">
        <f t="shared" si="137"/>
        <v>0</v>
      </c>
      <c r="BG257" s="35">
        <f t="shared" si="138"/>
        <v>0</v>
      </c>
      <c r="BH257" s="35">
        <f t="shared" si="139"/>
        <v>0</v>
      </c>
      <c r="BI257" s="35">
        <f t="shared" si="140"/>
        <v>0</v>
      </c>
      <c r="BJ257" s="35">
        <f t="shared" si="141"/>
        <v>0</v>
      </c>
      <c r="BK257" s="35">
        <f t="shared" si="142"/>
        <v>0</v>
      </c>
      <c r="BL257" s="35">
        <f t="shared" si="143"/>
        <v>0</v>
      </c>
      <c r="BM257" s="35">
        <f t="shared" si="144"/>
        <v>0</v>
      </c>
      <c r="BN257" s="35">
        <f t="shared" si="145"/>
        <v>0</v>
      </c>
      <c r="BO257" s="35">
        <f t="shared" si="146"/>
        <v>0</v>
      </c>
      <c r="BP257" s="35">
        <f t="shared" si="147"/>
        <v>0</v>
      </c>
      <c r="BQ257" s="35">
        <f t="shared" si="148"/>
        <v>0</v>
      </c>
      <c r="BR257" s="35">
        <f t="shared" si="149"/>
        <v>0</v>
      </c>
      <c r="BS257" s="35">
        <f t="shared" si="150"/>
        <v>0</v>
      </c>
      <c r="BT257" s="43">
        <f t="shared" si="151"/>
        <v>0</v>
      </c>
    </row>
    <row r="258" spans="1:72">
      <c r="A258" s="9"/>
      <c r="B258" s="34"/>
      <c r="C258" s="34"/>
      <c r="D258" s="1805"/>
      <c r="E258" s="35">
        <f t="shared" si="123"/>
        <v>0</v>
      </c>
      <c r="F258" s="36"/>
      <c r="G258" s="37">
        <f t="shared" si="124"/>
        <v>0</v>
      </c>
      <c r="H258" s="38">
        <f t="shared" si="125"/>
        <v>0</v>
      </c>
      <c r="I258" s="39"/>
      <c r="J258" s="39"/>
      <c r="K258" s="39"/>
      <c r="L258" s="39"/>
      <c r="M258" s="39"/>
      <c r="N258" s="39"/>
      <c r="O258" s="39"/>
      <c r="P258" s="39"/>
      <c r="Q258" s="39"/>
      <c r="R258" s="39"/>
      <c r="S258" s="39"/>
      <c r="T258" s="39"/>
      <c r="U258" s="39"/>
      <c r="V258" s="39"/>
      <c r="W258" s="39"/>
      <c r="X258" s="39"/>
      <c r="Y258" s="39"/>
      <c r="Z258" s="39"/>
      <c r="AA258" s="39"/>
      <c r="AB258" s="39"/>
      <c r="AC258" s="35">
        <f t="shared" si="126"/>
        <v>0</v>
      </c>
      <c r="AD258" s="40"/>
      <c r="AE258" s="40"/>
      <c r="AF258" s="40"/>
      <c r="AG258" s="40"/>
      <c r="AH258" s="40"/>
      <c r="AI258" s="40"/>
      <c r="AJ258" s="40"/>
      <c r="AK258" s="40"/>
      <c r="AL258" s="40"/>
      <c r="AM258" s="40"/>
      <c r="AN258" s="40"/>
      <c r="AO258" s="40"/>
      <c r="AP258" s="40"/>
      <c r="AQ258" s="40"/>
      <c r="AR258" s="40"/>
      <c r="AS258" s="40"/>
      <c r="AT258" s="41"/>
      <c r="AU258" s="1806"/>
      <c r="AV258" s="1517">
        <f t="shared" si="127"/>
        <v>0</v>
      </c>
      <c r="AW258" s="1517">
        <f t="shared" si="128"/>
        <v>0</v>
      </c>
      <c r="AX258" s="1517">
        <f t="shared" si="129"/>
        <v>0</v>
      </c>
      <c r="AY258" s="42">
        <f t="shared" si="130"/>
        <v>0</v>
      </c>
      <c r="AZ258" s="35">
        <f t="shared" si="131"/>
        <v>0</v>
      </c>
      <c r="BA258" s="35">
        <f t="shared" si="132"/>
        <v>0</v>
      </c>
      <c r="BB258" s="35">
        <f t="shared" si="133"/>
        <v>0</v>
      </c>
      <c r="BC258" s="35">
        <f t="shared" si="134"/>
        <v>0</v>
      </c>
      <c r="BD258" s="35">
        <f t="shared" si="135"/>
        <v>0</v>
      </c>
      <c r="BE258" s="35">
        <f t="shared" si="136"/>
        <v>0</v>
      </c>
      <c r="BF258" s="35">
        <f t="shared" si="137"/>
        <v>0</v>
      </c>
      <c r="BG258" s="35">
        <f t="shared" si="138"/>
        <v>0</v>
      </c>
      <c r="BH258" s="35">
        <f t="shared" si="139"/>
        <v>0</v>
      </c>
      <c r="BI258" s="35">
        <f t="shared" si="140"/>
        <v>0</v>
      </c>
      <c r="BJ258" s="35">
        <f t="shared" si="141"/>
        <v>0</v>
      </c>
      <c r="BK258" s="35">
        <f t="shared" si="142"/>
        <v>0</v>
      </c>
      <c r="BL258" s="35">
        <f t="shared" si="143"/>
        <v>0</v>
      </c>
      <c r="BM258" s="35">
        <f t="shared" si="144"/>
        <v>0</v>
      </c>
      <c r="BN258" s="35">
        <f t="shared" si="145"/>
        <v>0</v>
      </c>
      <c r="BO258" s="35">
        <f t="shared" si="146"/>
        <v>0</v>
      </c>
      <c r="BP258" s="35">
        <f t="shared" si="147"/>
        <v>0</v>
      </c>
      <c r="BQ258" s="35">
        <f t="shared" si="148"/>
        <v>0</v>
      </c>
      <c r="BR258" s="35">
        <f t="shared" si="149"/>
        <v>0</v>
      </c>
      <c r="BS258" s="35">
        <f t="shared" si="150"/>
        <v>0</v>
      </c>
      <c r="BT258" s="43">
        <f t="shared" si="151"/>
        <v>0</v>
      </c>
    </row>
    <row r="259" spans="1:72">
      <c r="A259" s="9"/>
      <c r="B259" s="34"/>
      <c r="C259" s="34"/>
      <c r="D259" s="1805"/>
      <c r="E259" s="35">
        <f t="shared" si="123"/>
        <v>0</v>
      </c>
      <c r="F259" s="36"/>
      <c r="G259" s="37">
        <f t="shared" si="124"/>
        <v>0</v>
      </c>
      <c r="H259" s="38">
        <f t="shared" si="125"/>
        <v>0</v>
      </c>
      <c r="I259" s="39"/>
      <c r="J259" s="39"/>
      <c r="K259" s="39"/>
      <c r="L259" s="39"/>
      <c r="M259" s="39"/>
      <c r="N259" s="39"/>
      <c r="O259" s="39"/>
      <c r="P259" s="39"/>
      <c r="Q259" s="39"/>
      <c r="R259" s="39"/>
      <c r="S259" s="39"/>
      <c r="T259" s="39"/>
      <c r="U259" s="39"/>
      <c r="V259" s="39"/>
      <c r="W259" s="39"/>
      <c r="X259" s="39"/>
      <c r="Y259" s="39"/>
      <c r="Z259" s="39"/>
      <c r="AA259" s="39"/>
      <c r="AB259" s="39"/>
      <c r="AC259" s="35">
        <f t="shared" si="126"/>
        <v>0</v>
      </c>
      <c r="AD259" s="40"/>
      <c r="AE259" s="40"/>
      <c r="AF259" s="40"/>
      <c r="AG259" s="40"/>
      <c r="AH259" s="40"/>
      <c r="AI259" s="40"/>
      <c r="AJ259" s="40"/>
      <c r="AK259" s="40"/>
      <c r="AL259" s="40"/>
      <c r="AM259" s="40"/>
      <c r="AN259" s="40"/>
      <c r="AO259" s="40"/>
      <c r="AP259" s="40"/>
      <c r="AQ259" s="40"/>
      <c r="AR259" s="40"/>
      <c r="AS259" s="40"/>
      <c r="AT259" s="41"/>
      <c r="AU259" s="1806"/>
      <c r="AV259" s="1517">
        <f t="shared" si="127"/>
        <v>0</v>
      </c>
      <c r="AW259" s="1517">
        <f t="shared" si="128"/>
        <v>0</v>
      </c>
      <c r="AX259" s="1517">
        <f t="shared" si="129"/>
        <v>0</v>
      </c>
      <c r="AY259" s="42">
        <f t="shared" si="130"/>
        <v>0</v>
      </c>
      <c r="AZ259" s="35">
        <f t="shared" si="131"/>
        <v>0</v>
      </c>
      <c r="BA259" s="35">
        <f t="shared" si="132"/>
        <v>0</v>
      </c>
      <c r="BB259" s="35">
        <f t="shared" si="133"/>
        <v>0</v>
      </c>
      <c r="BC259" s="35">
        <f t="shared" si="134"/>
        <v>0</v>
      </c>
      <c r="BD259" s="35">
        <f t="shared" si="135"/>
        <v>0</v>
      </c>
      <c r="BE259" s="35">
        <f t="shared" si="136"/>
        <v>0</v>
      </c>
      <c r="BF259" s="35">
        <f t="shared" si="137"/>
        <v>0</v>
      </c>
      <c r="BG259" s="35">
        <f t="shared" si="138"/>
        <v>0</v>
      </c>
      <c r="BH259" s="35">
        <f t="shared" si="139"/>
        <v>0</v>
      </c>
      <c r="BI259" s="35">
        <f t="shared" si="140"/>
        <v>0</v>
      </c>
      <c r="BJ259" s="35">
        <f t="shared" si="141"/>
        <v>0</v>
      </c>
      <c r="BK259" s="35">
        <f t="shared" si="142"/>
        <v>0</v>
      </c>
      <c r="BL259" s="35">
        <f t="shared" si="143"/>
        <v>0</v>
      </c>
      <c r="BM259" s="35">
        <f t="shared" si="144"/>
        <v>0</v>
      </c>
      <c r="BN259" s="35">
        <f t="shared" si="145"/>
        <v>0</v>
      </c>
      <c r="BO259" s="35">
        <f t="shared" si="146"/>
        <v>0</v>
      </c>
      <c r="BP259" s="35">
        <f t="shared" si="147"/>
        <v>0</v>
      </c>
      <c r="BQ259" s="35">
        <f t="shared" si="148"/>
        <v>0</v>
      </c>
      <c r="BR259" s="35">
        <f t="shared" si="149"/>
        <v>0</v>
      </c>
      <c r="BS259" s="35">
        <f t="shared" si="150"/>
        <v>0</v>
      </c>
      <c r="BT259" s="43">
        <f t="shared" si="151"/>
        <v>0</v>
      </c>
    </row>
    <row r="260" spans="1:72">
      <c r="A260" s="9"/>
      <c r="B260" s="34"/>
      <c r="C260" s="34"/>
      <c r="D260" s="1805"/>
      <c r="E260" s="35">
        <f t="shared" si="123"/>
        <v>0</v>
      </c>
      <c r="F260" s="36"/>
      <c r="G260" s="37">
        <f t="shared" si="124"/>
        <v>0</v>
      </c>
      <c r="H260" s="38">
        <f t="shared" si="125"/>
        <v>0</v>
      </c>
      <c r="I260" s="39"/>
      <c r="J260" s="39"/>
      <c r="K260" s="39"/>
      <c r="L260" s="39"/>
      <c r="M260" s="39"/>
      <c r="N260" s="39"/>
      <c r="O260" s="39"/>
      <c r="P260" s="39"/>
      <c r="Q260" s="39"/>
      <c r="R260" s="39"/>
      <c r="S260" s="39"/>
      <c r="T260" s="39"/>
      <c r="U260" s="39"/>
      <c r="V260" s="39"/>
      <c r="W260" s="39"/>
      <c r="X260" s="39"/>
      <c r="Y260" s="39"/>
      <c r="Z260" s="39"/>
      <c r="AA260" s="39"/>
      <c r="AB260" s="39"/>
      <c r="AC260" s="35">
        <f t="shared" si="126"/>
        <v>0</v>
      </c>
      <c r="AD260" s="40"/>
      <c r="AE260" s="40"/>
      <c r="AF260" s="40"/>
      <c r="AG260" s="40"/>
      <c r="AH260" s="40"/>
      <c r="AI260" s="40"/>
      <c r="AJ260" s="40"/>
      <c r="AK260" s="40"/>
      <c r="AL260" s="40"/>
      <c r="AM260" s="40"/>
      <c r="AN260" s="40"/>
      <c r="AO260" s="40"/>
      <c r="AP260" s="40"/>
      <c r="AQ260" s="40"/>
      <c r="AR260" s="40"/>
      <c r="AS260" s="40"/>
      <c r="AT260" s="41"/>
      <c r="AU260" s="1806"/>
      <c r="AV260" s="1517">
        <f t="shared" si="127"/>
        <v>0</v>
      </c>
      <c r="AW260" s="1517">
        <f t="shared" si="128"/>
        <v>0</v>
      </c>
      <c r="AX260" s="1517">
        <f t="shared" si="129"/>
        <v>0</v>
      </c>
      <c r="AY260" s="42">
        <f t="shared" si="130"/>
        <v>0</v>
      </c>
      <c r="AZ260" s="35">
        <f t="shared" si="131"/>
        <v>0</v>
      </c>
      <c r="BA260" s="35">
        <f t="shared" si="132"/>
        <v>0</v>
      </c>
      <c r="BB260" s="35">
        <f t="shared" si="133"/>
        <v>0</v>
      </c>
      <c r="BC260" s="35">
        <f t="shared" si="134"/>
        <v>0</v>
      </c>
      <c r="BD260" s="35">
        <f t="shared" si="135"/>
        <v>0</v>
      </c>
      <c r="BE260" s="35">
        <f t="shared" si="136"/>
        <v>0</v>
      </c>
      <c r="BF260" s="35">
        <f t="shared" si="137"/>
        <v>0</v>
      </c>
      <c r="BG260" s="35">
        <f t="shared" si="138"/>
        <v>0</v>
      </c>
      <c r="BH260" s="35">
        <f t="shared" si="139"/>
        <v>0</v>
      </c>
      <c r="BI260" s="35">
        <f t="shared" si="140"/>
        <v>0</v>
      </c>
      <c r="BJ260" s="35">
        <f t="shared" si="141"/>
        <v>0</v>
      </c>
      <c r="BK260" s="35">
        <f t="shared" si="142"/>
        <v>0</v>
      </c>
      <c r="BL260" s="35">
        <f t="shared" si="143"/>
        <v>0</v>
      </c>
      <c r="BM260" s="35">
        <f t="shared" si="144"/>
        <v>0</v>
      </c>
      <c r="BN260" s="35">
        <f t="shared" si="145"/>
        <v>0</v>
      </c>
      <c r="BO260" s="35">
        <f t="shared" si="146"/>
        <v>0</v>
      </c>
      <c r="BP260" s="35">
        <f t="shared" si="147"/>
        <v>0</v>
      </c>
      <c r="BQ260" s="35">
        <f t="shared" si="148"/>
        <v>0</v>
      </c>
      <c r="BR260" s="35">
        <f t="shared" si="149"/>
        <v>0</v>
      </c>
      <c r="BS260" s="35">
        <f t="shared" si="150"/>
        <v>0</v>
      </c>
      <c r="BT260" s="43">
        <f t="shared" si="151"/>
        <v>0</v>
      </c>
    </row>
    <row r="261" spans="1:72">
      <c r="A261" s="9"/>
      <c r="B261" s="34"/>
      <c r="C261" s="34"/>
      <c r="D261" s="1805"/>
      <c r="E261" s="35">
        <f t="shared" si="123"/>
        <v>0</v>
      </c>
      <c r="F261" s="36"/>
      <c r="G261" s="37">
        <f t="shared" si="124"/>
        <v>0</v>
      </c>
      <c r="H261" s="38">
        <f t="shared" si="125"/>
        <v>0</v>
      </c>
      <c r="I261" s="39"/>
      <c r="J261" s="39"/>
      <c r="K261" s="39"/>
      <c r="L261" s="39"/>
      <c r="M261" s="39"/>
      <c r="N261" s="39"/>
      <c r="O261" s="39"/>
      <c r="P261" s="39"/>
      <c r="Q261" s="39"/>
      <c r="R261" s="39"/>
      <c r="S261" s="39"/>
      <c r="T261" s="39"/>
      <c r="U261" s="39"/>
      <c r="V261" s="39"/>
      <c r="W261" s="39"/>
      <c r="X261" s="39"/>
      <c r="Y261" s="39"/>
      <c r="Z261" s="39"/>
      <c r="AA261" s="39"/>
      <c r="AB261" s="39"/>
      <c r="AC261" s="35">
        <f t="shared" si="126"/>
        <v>0</v>
      </c>
      <c r="AD261" s="40"/>
      <c r="AE261" s="40"/>
      <c r="AF261" s="40"/>
      <c r="AG261" s="40"/>
      <c r="AH261" s="40"/>
      <c r="AI261" s="40"/>
      <c r="AJ261" s="40"/>
      <c r="AK261" s="40"/>
      <c r="AL261" s="40"/>
      <c r="AM261" s="40"/>
      <c r="AN261" s="40"/>
      <c r="AO261" s="40"/>
      <c r="AP261" s="40"/>
      <c r="AQ261" s="40"/>
      <c r="AR261" s="40"/>
      <c r="AS261" s="40"/>
      <c r="AT261" s="41"/>
      <c r="AU261" s="1806"/>
      <c r="AV261" s="1517">
        <f t="shared" si="127"/>
        <v>0</v>
      </c>
      <c r="AW261" s="1517">
        <f t="shared" si="128"/>
        <v>0</v>
      </c>
      <c r="AX261" s="1517">
        <f t="shared" si="129"/>
        <v>0</v>
      </c>
      <c r="AY261" s="42">
        <f t="shared" si="130"/>
        <v>0</v>
      </c>
      <c r="AZ261" s="35">
        <f t="shared" si="131"/>
        <v>0</v>
      </c>
      <c r="BA261" s="35">
        <f t="shared" si="132"/>
        <v>0</v>
      </c>
      <c r="BB261" s="35">
        <f t="shared" si="133"/>
        <v>0</v>
      </c>
      <c r="BC261" s="35">
        <f t="shared" si="134"/>
        <v>0</v>
      </c>
      <c r="BD261" s="35">
        <f t="shared" si="135"/>
        <v>0</v>
      </c>
      <c r="BE261" s="35">
        <f t="shared" si="136"/>
        <v>0</v>
      </c>
      <c r="BF261" s="35">
        <f t="shared" si="137"/>
        <v>0</v>
      </c>
      <c r="BG261" s="35">
        <f t="shared" si="138"/>
        <v>0</v>
      </c>
      <c r="BH261" s="35">
        <f t="shared" si="139"/>
        <v>0</v>
      </c>
      <c r="BI261" s="35">
        <f t="shared" si="140"/>
        <v>0</v>
      </c>
      <c r="BJ261" s="35">
        <f t="shared" si="141"/>
        <v>0</v>
      </c>
      <c r="BK261" s="35">
        <f t="shared" si="142"/>
        <v>0</v>
      </c>
      <c r="BL261" s="35">
        <f t="shared" si="143"/>
        <v>0</v>
      </c>
      <c r="BM261" s="35">
        <f t="shared" si="144"/>
        <v>0</v>
      </c>
      <c r="BN261" s="35">
        <f t="shared" si="145"/>
        <v>0</v>
      </c>
      <c r="BO261" s="35">
        <f t="shared" si="146"/>
        <v>0</v>
      </c>
      <c r="BP261" s="35">
        <f t="shared" si="147"/>
        <v>0</v>
      </c>
      <c r="BQ261" s="35">
        <f t="shared" si="148"/>
        <v>0</v>
      </c>
      <c r="BR261" s="35">
        <f t="shared" si="149"/>
        <v>0</v>
      </c>
      <c r="BS261" s="35">
        <f t="shared" si="150"/>
        <v>0</v>
      </c>
      <c r="BT261" s="43">
        <f t="shared" si="151"/>
        <v>0</v>
      </c>
    </row>
    <row r="262" spans="1:72">
      <c r="A262" s="9"/>
      <c r="B262" s="34"/>
      <c r="C262" s="34"/>
      <c r="D262" s="1805"/>
      <c r="E262" s="35">
        <f t="shared" si="123"/>
        <v>0</v>
      </c>
      <c r="F262" s="36"/>
      <c r="G262" s="37">
        <f t="shared" si="124"/>
        <v>0</v>
      </c>
      <c r="H262" s="38">
        <f t="shared" si="125"/>
        <v>0</v>
      </c>
      <c r="I262" s="39"/>
      <c r="J262" s="39"/>
      <c r="K262" s="39"/>
      <c r="L262" s="39"/>
      <c r="M262" s="39"/>
      <c r="N262" s="39"/>
      <c r="O262" s="39"/>
      <c r="P262" s="39"/>
      <c r="Q262" s="39"/>
      <c r="R262" s="39"/>
      <c r="S262" s="39"/>
      <c r="T262" s="39"/>
      <c r="U262" s="39"/>
      <c r="V262" s="39"/>
      <c r="W262" s="39"/>
      <c r="X262" s="39"/>
      <c r="Y262" s="39"/>
      <c r="Z262" s="39"/>
      <c r="AA262" s="39"/>
      <c r="AB262" s="39"/>
      <c r="AC262" s="35">
        <f t="shared" si="126"/>
        <v>0</v>
      </c>
      <c r="AD262" s="40"/>
      <c r="AE262" s="40"/>
      <c r="AF262" s="40"/>
      <c r="AG262" s="40"/>
      <c r="AH262" s="40"/>
      <c r="AI262" s="40"/>
      <c r="AJ262" s="40"/>
      <c r="AK262" s="40"/>
      <c r="AL262" s="40"/>
      <c r="AM262" s="40"/>
      <c r="AN262" s="40"/>
      <c r="AO262" s="40"/>
      <c r="AP262" s="40"/>
      <c r="AQ262" s="40"/>
      <c r="AR262" s="40"/>
      <c r="AS262" s="40"/>
      <c r="AT262" s="41"/>
      <c r="AU262" s="1806"/>
      <c r="AV262" s="1517">
        <f t="shared" si="127"/>
        <v>0</v>
      </c>
      <c r="AW262" s="1517">
        <f t="shared" si="128"/>
        <v>0</v>
      </c>
      <c r="AX262" s="1517">
        <f t="shared" si="129"/>
        <v>0</v>
      </c>
      <c r="AY262" s="42">
        <f t="shared" si="130"/>
        <v>0</v>
      </c>
      <c r="AZ262" s="35">
        <f t="shared" si="131"/>
        <v>0</v>
      </c>
      <c r="BA262" s="35">
        <f t="shared" si="132"/>
        <v>0</v>
      </c>
      <c r="BB262" s="35">
        <f t="shared" si="133"/>
        <v>0</v>
      </c>
      <c r="BC262" s="35">
        <f t="shared" si="134"/>
        <v>0</v>
      </c>
      <c r="BD262" s="35">
        <f t="shared" si="135"/>
        <v>0</v>
      </c>
      <c r="BE262" s="35">
        <f t="shared" si="136"/>
        <v>0</v>
      </c>
      <c r="BF262" s="35">
        <f t="shared" si="137"/>
        <v>0</v>
      </c>
      <c r="BG262" s="35">
        <f t="shared" si="138"/>
        <v>0</v>
      </c>
      <c r="BH262" s="35">
        <f t="shared" si="139"/>
        <v>0</v>
      </c>
      <c r="BI262" s="35">
        <f t="shared" si="140"/>
        <v>0</v>
      </c>
      <c r="BJ262" s="35">
        <f t="shared" si="141"/>
        <v>0</v>
      </c>
      <c r="BK262" s="35">
        <f t="shared" si="142"/>
        <v>0</v>
      </c>
      <c r="BL262" s="35">
        <f t="shared" si="143"/>
        <v>0</v>
      </c>
      <c r="BM262" s="35">
        <f t="shared" si="144"/>
        <v>0</v>
      </c>
      <c r="BN262" s="35">
        <f t="shared" si="145"/>
        <v>0</v>
      </c>
      <c r="BO262" s="35">
        <f t="shared" si="146"/>
        <v>0</v>
      </c>
      <c r="BP262" s="35">
        <f t="shared" si="147"/>
        <v>0</v>
      </c>
      <c r="BQ262" s="35">
        <f t="shared" si="148"/>
        <v>0</v>
      </c>
      <c r="BR262" s="35">
        <f t="shared" si="149"/>
        <v>0</v>
      </c>
      <c r="BS262" s="35">
        <f t="shared" si="150"/>
        <v>0</v>
      </c>
      <c r="BT262" s="43">
        <f t="shared" si="151"/>
        <v>0</v>
      </c>
    </row>
    <row r="263" spans="1:72">
      <c r="A263" s="9"/>
      <c r="B263" s="34"/>
      <c r="C263" s="34"/>
      <c r="D263" s="1805"/>
      <c r="E263" s="35">
        <f t="shared" si="123"/>
        <v>0</v>
      </c>
      <c r="F263" s="36"/>
      <c r="G263" s="37">
        <f t="shared" si="124"/>
        <v>0</v>
      </c>
      <c r="H263" s="38">
        <f t="shared" si="125"/>
        <v>0</v>
      </c>
      <c r="I263" s="39"/>
      <c r="J263" s="39"/>
      <c r="K263" s="39"/>
      <c r="L263" s="39"/>
      <c r="M263" s="39"/>
      <c r="N263" s="39"/>
      <c r="O263" s="39"/>
      <c r="P263" s="39"/>
      <c r="Q263" s="39"/>
      <c r="R263" s="39"/>
      <c r="S263" s="39"/>
      <c r="T263" s="39"/>
      <c r="U263" s="39"/>
      <c r="V263" s="39"/>
      <c r="W263" s="39"/>
      <c r="X263" s="39"/>
      <c r="Y263" s="39"/>
      <c r="Z263" s="39"/>
      <c r="AA263" s="39"/>
      <c r="AB263" s="39"/>
      <c r="AC263" s="35">
        <f t="shared" si="126"/>
        <v>0</v>
      </c>
      <c r="AD263" s="40"/>
      <c r="AE263" s="40"/>
      <c r="AF263" s="40"/>
      <c r="AG263" s="40"/>
      <c r="AH263" s="40"/>
      <c r="AI263" s="40"/>
      <c r="AJ263" s="40"/>
      <c r="AK263" s="40"/>
      <c r="AL263" s="40"/>
      <c r="AM263" s="40"/>
      <c r="AN263" s="40"/>
      <c r="AO263" s="40"/>
      <c r="AP263" s="40"/>
      <c r="AQ263" s="40"/>
      <c r="AR263" s="40"/>
      <c r="AS263" s="40"/>
      <c r="AT263" s="41"/>
      <c r="AU263" s="1806"/>
      <c r="AV263" s="1517">
        <f t="shared" si="127"/>
        <v>0</v>
      </c>
      <c r="AW263" s="1517">
        <f t="shared" si="128"/>
        <v>0</v>
      </c>
      <c r="AX263" s="1517">
        <f t="shared" si="129"/>
        <v>0</v>
      </c>
      <c r="AY263" s="42">
        <f t="shared" si="130"/>
        <v>0</v>
      </c>
      <c r="AZ263" s="35">
        <f t="shared" si="131"/>
        <v>0</v>
      </c>
      <c r="BA263" s="35">
        <f t="shared" si="132"/>
        <v>0</v>
      </c>
      <c r="BB263" s="35">
        <f t="shared" si="133"/>
        <v>0</v>
      </c>
      <c r="BC263" s="35">
        <f t="shared" si="134"/>
        <v>0</v>
      </c>
      <c r="BD263" s="35">
        <f t="shared" si="135"/>
        <v>0</v>
      </c>
      <c r="BE263" s="35">
        <f t="shared" si="136"/>
        <v>0</v>
      </c>
      <c r="BF263" s="35">
        <f t="shared" si="137"/>
        <v>0</v>
      </c>
      <c r="BG263" s="35">
        <f t="shared" si="138"/>
        <v>0</v>
      </c>
      <c r="BH263" s="35">
        <f t="shared" si="139"/>
        <v>0</v>
      </c>
      <c r="BI263" s="35">
        <f t="shared" si="140"/>
        <v>0</v>
      </c>
      <c r="BJ263" s="35">
        <f t="shared" si="141"/>
        <v>0</v>
      </c>
      <c r="BK263" s="35">
        <f t="shared" si="142"/>
        <v>0</v>
      </c>
      <c r="BL263" s="35">
        <f t="shared" si="143"/>
        <v>0</v>
      </c>
      <c r="BM263" s="35">
        <f t="shared" si="144"/>
        <v>0</v>
      </c>
      <c r="BN263" s="35">
        <f t="shared" si="145"/>
        <v>0</v>
      </c>
      <c r="BO263" s="35">
        <f t="shared" si="146"/>
        <v>0</v>
      </c>
      <c r="BP263" s="35">
        <f t="shared" si="147"/>
        <v>0</v>
      </c>
      <c r="BQ263" s="35">
        <f t="shared" si="148"/>
        <v>0</v>
      </c>
      <c r="BR263" s="35">
        <f t="shared" si="149"/>
        <v>0</v>
      </c>
      <c r="BS263" s="35">
        <f t="shared" si="150"/>
        <v>0</v>
      </c>
      <c r="BT263" s="43">
        <f t="shared" si="151"/>
        <v>0</v>
      </c>
    </row>
    <row r="264" spans="1:72">
      <c r="A264" s="9"/>
      <c r="B264" s="34"/>
      <c r="C264" s="34"/>
      <c r="D264" s="1805"/>
      <c r="E264" s="35">
        <f t="shared" si="123"/>
        <v>0</v>
      </c>
      <c r="F264" s="36"/>
      <c r="G264" s="37">
        <f t="shared" si="124"/>
        <v>0</v>
      </c>
      <c r="H264" s="38">
        <f t="shared" si="125"/>
        <v>0</v>
      </c>
      <c r="I264" s="39"/>
      <c r="J264" s="39"/>
      <c r="K264" s="39"/>
      <c r="L264" s="39"/>
      <c r="M264" s="39"/>
      <c r="N264" s="39"/>
      <c r="O264" s="39"/>
      <c r="P264" s="39"/>
      <c r="Q264" s="39"/>
      <c r="R264" s="39"/>
      <c r="S264" s="39"/>
      <c r="T264" s="39"/>
      <c r="U264" s="39"/>
      <c r="V264" s="39"/>
      <c r="W264" s="39"/>
      <c r="X264" s="39"/>
      <c r="Y264" s="39"/>
      <c r="Z264" s="39"/>
      <c r="AA264" s="39"/>
      <c r="AB264" s="39"/>
      <c r="AC264" s="35">
        <f t="shared" si="126"/>
        <v>0</v>
      </c>
      <c r="AD264" s="40"/>
      <c r="AE264" s="40"/>
      <c r="AF264" s="40"/>
      <c r="AG264" s="40"/>
      <c r="AH264" s="40"/>
      <c r="AI264" s="40"/>
      <c r="AJ264" s="40"/>
      <c r="AK264" s="40"/>
      <c r="AL264" s="40"/>
      <c r="AM264" s="40"/>
      <c r="AN264" s="40"/>
      <c r="AO264" s="40"/>
      <c r="AP264" s="40"/>
      <c r="AQ264" s="40"/>
      <c r="AR264" s="40"/>
      <c r="AS264" s="40"/>
      <c r="AT264" s="41"/>
      <c r="AU264" s="1806"/>
      <c r="AV264" s="1517">
        <f t="shared" si="127"/>
        <v>0</v>
      </c>
      <c r="AW264" s="1517">
        <f t="shared" si="128"/>
        <v>0</v>
      </c>
      <c r="AX264" s="1517">
        <f t="shared" si="129"/>
        <v>0</v>
      </c>
      <c r="AY264" s="42">
        <f t="shared" si="130"/>
        <v>0</v>
      </c>
      <c r="AZ264" s="35">
        <f t="shared" si="131"/>
        <v>0</v>
      </c>
      <c r="BA264" s="35">
        <f t="shared" si="132"/>
        <v>0</v>
      </c>
      <c r="BB264" s="35">
        <f t="shared" si="133"/>
        <v>0</v>
      </c>
      <c r="BC264" s="35">
        <f t="shared" si="134"/>
        <v>0</v>
      </c>
      <c r="BD264" s="35">
        <f t="shared" si="135"/>
        <v>0</v>
      </c>
      <c r="BE264" s="35">
        <f t="shared" si="136"/>
        <v>0</v>
      </c>
      <c r="BF264" s="35">
        <f t="shared" si="137"/>
        <v>0</v>
      </c>
      <c r="BG264" s="35">
        <f t="shared" si="138"/>
        <v>0</v>
      </c>
      <c r="BH264" s="35">
        <f t="shared" si="139"/>
        <v>0</v>
      </c>
      <c r="BI264" s="35">
        <f t="shared" si="140"/>
        <v>0</v>
      </c>
      <c r="BJ264" s="35">
        <f t="shared" si="141"/>
        <v>0</v>
      </c>
      <c r="BK264" s="35">
        <f t="shared" si="142"/>
        <v>0</v>
      </c>
      <c r="BL264" s="35">
        <f t="shared" si="143"/>
        <v>0</v>
      </c>
      <c r="BM264" s="35">
        <f t="shared" si="144"/>
        <v>0</v>
      </c>
      <c r="BN264" s="35">
        <f t="shared" si="145"/>
        <v>0</v>
      </c>
      <c r="BO264" s="35">
        <f t="shared" si="146"/>
        <v>0</v>
      </c>
      <c r="BP264" s="35">
        <f t="shared" si="147"/>
        <v>0</v>
      </c>
      <c r="BQ264" s="35">
        <f t="shared" si="148"/>
        <v>0</v>
      </c>
      <c r="BR264" s="35">
        <f t="shared" si="149"/>
        <v>0</v>
      </c>
      <c r="BS264" s="35">
        <f t="shared" si="150"/>
        <v>0</v>
      </c>
      <c r="BT264" s="43">
        <f t="shared" si="151"/>
        <v>0</v>
      </c>
    </row>
    <row r="265" spans="1:72">
      <c r="A265" s="9"/>
      <c r="B265" s="34"/>
      <c r="C265" s="34"/>
      <c r="D265" s="1805"/>
      <c r="E265" s="35">
        <f t="shared" si="123"/>
        <v>0</v>
      </c>
      <c r="F265" s="36"/>
      <c r="G265" s="37">
        <f t="shared" si="124"/>
        <v>0</v>
      </c>
      <c r="H265" s="38">
        <f t="shared" si="125"/>
        <v>0</v>
      </c>
      <c r="I265" s="39"/>
      <c r="J265" s="39"/>
      <c r="K265" s="39"/>
      <c r="L265" s="39"/>
      <c r="M265" s="39"/>
      <c r="N265" s="39"/>
      <c r="O265" s="39"/>
      <c r="P265" s="39"/>
      <c r="Q265" s="39"/>
      <c r="R265" s="39"/>
      <c r="S265" s="39"/>
      <c r="T265" s="39"/>
      <c r="U265" s="39"/>
      <c r="V265" s="39"/>
      <c r="W265" s="39"/>
      <c r="X265" s="39"/>
      <c r="Y265" s="39"/>
      <c r="Z265" s="39"/>
      <c r="AA265" s="39"/>
      <c r="AB265" s="39"/>
      <c r="AC265" s="35">
        <f t="shared" si="126"/>
        <v>0</v>
      </c>
      <c r="AD265" s="40"/>
      <c r="AE265" s="40"/>
      <c r="AF265" s="40"/>
      <c r="AG265" s="40"/>
      <c r="AH265" s="40"/>
      <c r="AI265" s="40"/>
      <c r="AJ265" s="40"/>
      <c r="AK265" s="40"/>
      <c r="AL265" s="40"/>
      <c r="AM265" s="40"/>
      <c r="AN265" s="40"/>
      <c r="AO265" s="40"/>
      <c r="AP265" s="40"/>
      <c r="AQ265" s="40"/>
      <c r="AR265" s="40"/>
      <c r="AS265" s="40"/>
      <c r="AT265" s="41"/>
      <c r="AU265" s="1806"/>
      <c r="AV265" s="1517">
        <f t="shared" si="127"/>
        <v>0</v>
      </c>
      <c r="AW265" s="1517">
        <f t="shared" si="128"/>
        <v>0</v>
      </c>
      <c r="AX265" s="1517">
        <f t="shared" si="129"/>
        <v>0</v>
      </c>
      <c r="AY265" s="42">
        <f t="shared" si="130"/>
        <v>0</v>
      </c>
      <c r="AZ265" s="35">
        <f t="shared" si="131"/>
        <v>0</v>
      </c>
      <c r="BA265" s="35">
        <f t="shared" si="132"/>
        <v>0</v>
      </c>
      <c r="BB265" s="35">
        <f t="shared" si="133"/>
        <v>0</v>
      </c>
      <c r="BC265" s="35">
        <f t="shared" si="134"/>
        <v>0</v>
      </c>
      <c r="BD265" s="35">
        <f t="shared" si="135"/>
        <v>0</v>
      </c>
      <c r="BE265" s="35">
        <f t="shared" si="136"/>
        <v>0</v>
      </c>
      <c r="BF265" s="35">
        <f t="shared" si="137"/>
        <v>0</v>
      </c>
      <c r="BG265" s="35">
        <f t="shared" si="138"/>
        <v>0</v>
      </c>
      <c r="BH265" s="35">
        <f t="shared" si="139"/>
        <v>0</v>
      </c>
      <c r="BI265" s="35">
        <f t="shared" si="140"/>
        <v>0</v>
      </c>
      <c r="BJ265" s="35">
        <f t="shared" si="141"/>
        <v>0</v>
      </c>
      <c r="BK265" s="35">
        <f t="shared" si="142"/>
        <v>0</v>
      </c>
      <c r="BL265" s="35">
        <f t="shared" si="143"/>
        <v>0</v>
      </c>
      <c r="BM265" s="35">
        <f t="shared" si="144"/>
        <v>0</v>
      </c>
      <c r="BN265" s="35">
        <f t="shared" si="145"/>
        <v>0</v>
      </c>
      <c r="BO265" s="35">
        <f t="shared" si="146"/>
        <v>0</v>
      </c>
      <c r="BP265" s="35">
        <f t="shared" si="147"/>
        <v>0</v>
      </c>
      <c r="BQ265" s="35">
        <f t="shared" si="148"/>
        <v>0</v>
      </c>
      <c r="BR265" s="35">
        <f t="shared" si="149"/>
        <v>0</v>
      </c>
      <c r="BS265" s="35">
        <f t="shared" si="150"/>
        <v>0</v>
      </c>
      <c r="BT265" s="43">
        <f t="shared" si="151"/>
        <v>0</v>
      </c>
    </row>
    <row r="266" spans="1:72">
      <c r="A266" s="9"/>
      <c r="B266" s="34"/>
      <c r="C266" s="34"/>
      <c r="D266" s="1805"/>
      <c r="E266" s="35">
        <f t="shared" si="123"/>
        <v>0</v>
      </c>
      <c r="F266" s="36"/>
      <c r="G266" s="37">
        <f t="shared" si="124"/>
        <v>0</v>
      </c>
      <c r="H266" s="38">
        <f t="shared" si="125"/>
        <v>0</v>
      </c>
      <c r="I266" s="39"/>
      <c r="J266" s="39"/>
      <c r="K266" s="39"/>
      <c r="L266" s="39"/>
      <c r="M266" s="39"/>
      <c r="N266" s="39"/>
      <c r="O266" s="39"/>
      <c r="P266" s="39"/>
      <c r="Q266" s="39"/>
      <c r="R266" s="39"/>
      <c r="S266" s="39"/>
      <c r="T266" s="39"/>
      <c r="U266" s="39"/>
      <c r="V266" s="39"/>
      <c r="W266" s="39"/>
      <c r="X266" s="39"/>
      <c r="Y266" s="39"/>
      <c r="Z266" s="39"/>
      <c r="AA266" s="39"/>
      <c r="AB266" s="39"/>
      <c r="AC266" s="35">
        <f t="shared" si="126"/>
        <v>0</v>
      </c>
      <c r="AD266" s="40"/>
      <c r="AE266" s="40"/>
      <c r="AF266" s="40"/>
      <c r="AG266" s="40"/>
      <c r="AH266" s="40"/>
      <c r="AI266" s="40"/>
      <c r="AJ266" s="40"/>
      <c r="AK266" s="40"/>
      <c r="AL266" s="40"/>
      <c r="AM266" s="40"/>
      <c r="AN266" s="40"/>
      <c r="AO266" s="40"/>
      <c r="AP266" s="40"/>
      <c r="AQ266" s="40"/>
      <c r="AR266" s="40"/>
      <c r="AS266" s="40"/>
      <c r="AT266" s="41"/>
      <c r="AU266" s="1806"/>
      <c r="AV266" s="1517">
        <f t="shared" si="127"/>
        <v>0</v>
      </c>
      <c r="AW266" s="1517">
        <f t="shared" si="128"/>
        <v>0</v>
      </c>
      <c r="AX266" s="1517">
        <f t="shared" si="129"/>
        <v>0</v>
      </c>
      <c r="AY266" s="42">
        <f t="shared" si="130"/>
        <v>0</v>
      </c>
      <c r="AZ266" s="35">
        <f t="shared" si="131"/>
        <v>0</v>
      </c>
      <c r="BA266" s="35">
        <f t="shared" si="132"/>
        <v>0</v>
      </c>
      <c r="BB266" s="35">
        <f t="shared" si="133"/>
        <v>0</v>
      </c>
      <c r="BC266" s="35">
        <f t="shared" si="134"/>
        <v>0</v>
      </c>
      <c r="BD266" s="35">
        <f t="shared" si="135"/>
        <v>0</v>
      </c>
      <c r="BE266" s="35">
        <f t="shared" si="136"/>
        <v>0</v>
      </c>
      <c r="BF266" s="35">
        <f t="shared" si="137"/>
        <v>0</v>
      </c>
      <c r="BG266" s="35">
        <f t="shared" si="138"/>
        <v>0</v>
      </c>
      <c r="BH266" s="35">
        <f t="shared" si="139"/>
        <v>0</v>
      </c>
      <c r="BI266" s="35">
        <f t="shared" si="140"/>
        <v>0</v>
      </c>
      <c r="BJ266" s="35">
        <f t="shared" si="141"/>
        <v>0</v>
      </c>
      <c r="BK266" s="35">
        <f t="shared" si="142"/>
        <v>0</v>
      </c>
      <c r="BL266" s="35">
        <f t="shared" si="143"/>
        <v>0</v>
      </c>
      <c r="BM266" s="35">
        <f t="shared" si="144"/>
        <v>0</v>
      </c>
      <c r="BN266" s="35">
        <f t="shared" si="145"/>
        <v>0</v>
      </c>
      <c r="BO266" s="35">
        <f t="shared" si="146"/>
        <v>0</v>
      </c>
      <c r="BP266" s="35">
        <f t="shared" si="147"/>
        <v>0</v>
      </c>
      <c r="BQ266" s="35">
        <f t="shared" si="148"/>
        <v>0</v>
      </c>
      <c r="BR266" s="35">
        <f t="shared" si="149"/>
        <v>0</v>
      </c>
      <c r="BS266" s="35">
        <f t="shared" si="150"/>
        <v>0</v>
      </c>
      <c r="BT266" s="43">
        <f t="shared" si="151"/>
        <v>0</v>
      </c>
    </row>
    <row r="267" spans="1:72">
      <c r="A267" s="9"/>
      <c r="B267" s="34"/>
      <c r="C267" s="34"/>
      <c r="D267" s="1805"/>
      <c r="E267" s="35">
        <f t="shared" si="123"/>
        <v>0</v>
      </c>
      <c r="F267" s="36"/>
      <c r="G267" s="37">
        <f t="shared" si="124"/>
        <v>0</v>
      </c>
      <c r="H267" s="38">
        <f t="shared" si="125"/>
        <v>0</v>
      </c>
      <c r="I267" s="39"/>
      <c r="J267" s="39"/>
      <c r="K267" s="39"/>
      <c r="L267" s="39"/>
      <c r="M267" s="39"/>
      <c r="N267" s="39"/>
      <c r="O267" s="39"/>
      <c r="P267" s="39"/>
      <c r="Q267" s="39"/>
      <c r="R267" s="39"/>
      <c r="S267" s="39"/>
      <c r="T267" s="39"/>
      <c r="U267" s="39"/>
      <c r="V267" s="39"/>
      <c r="W267" s="39"/>
      <c r="X267" s="39"/>
      <c r="Y267" s="39"/>
      <c r="Z267" s="39"/>
      <c r="AA267" s="39"/>
      <c r="AB267" s="39"/>
      <c r="AC267" s="35">
        <f t="shared" si="126"/>
        <v>0</v>
      </c>
      <c r="AD267" s="40"/>
      <c r="AE267" s="40"/>
      <c r="AF267" s="40"/>
      <c r="AG267" s="40"/>
      <c r="AH267" s="40"/>
      <c r="AI267" s="40"/>
      <c r="AJ267" s="40"/>
      <c r="AK267" s="40"/>
      <c r="AL267" s="40"/>
      <c r="AM267" s="40"/>
      <c r="AN267" s="40"/>
      <c r="AO267" s="40"/>
      <c r="AP267" s="40"/>
      <c r="AQ267" s="40"/>
      <c r="AR267" s="40"/>
      <c r="AS267" s="40"/>
      <c r="AT267" s="41"/>
      <c r="AU267" s="1806"/>
      <c r="AV267" s="1517">
        <f t="shared" si="127"/>
        <v>0</v>
      </c>
      <c r="AW267" s="1517">
        <f t="shared" si="128"/>
        <v>0</v>
      </c>
      <c r="AX267" s="1517">
        <f t="shared" si="129"/>
        <v>0</v>
      </c>
      <c r="AY267" s="42">
        <f t="shared" si="130"/>
        <v>0</v>
      </c>
      <c r="AZ267" s="35">
        <f t="shared" si="131"/>
        <v>0</v>
      </c>
      <c r="BA267" s="35">
        <f t="shared" si="132"/>
        <v>0</v>
      </c>
      <c r="BB267" s="35">
        <f t="shared" si="133"/>
        <v>0</v>
      </c>
      <c r="BC267" s="35">
        <f t="shared" si="134"/>
        <v>0</v>
      </c>
      <c r="BD267" s="35">
        <f t="shared" si="135"/>
        <v>0</v>
      </c>
      <c r="BE267" s="35">
        <f t="shared" si="136"/>
        <v>0</v>
      </c>
      <c r="BF267" s="35">
        <f t="shared" si="137"/>
        <v>0</v>
      </c>
      <c r="BG267" s="35">
        <f t="shared" si="138"/>
        <v>0</v>
      </c>
      <c r="BH267" s="35">
        <f t="shared" si="139"/>
        <v>0</v>
      </c>
      <c r="BI267" s="35">
        <f t="shared" si="140"/>
        <v>0</v>
      </c>
      <c r="BJ267" s="35">
        <f t="shared" si="141"/>
        <v>0</v>
      </c>
      <c r="BK267" s="35">
        <f t="shared" si="142"/>
        <v>0</v>
      </c>
      <c r="BL267" s="35">
        <f t="shared" si="143"/>
        <v>0</v>
      </c>
      <c r="BM267" s="35">
        <f t="shared" si="144"/>
        <v>0</v>
      </c>
      <c r="BN267" s="35">
        <f t="shared" si="145"/>
        <v>0</v>
      </c>
      <c r="BO267" s="35">
        <f t="shared" si="146"/>
        <v>0</v>
      </c>
      <c r="BP267" s="35">
        <f t="shared" si="147"/>
        <v>0</v>
      </c>
      <c r="BQ267" s="35">
        <f t="shared" si="148"/>
        <v>0</v>
      </c>
      <c r="BR267" s="35">
        <f t="shared" si="149"/>
        <v>0</v>
      </c>
      <c r="BS267" s="35">
        <f t="shared" si="150"/>
        <v>0</v>
      </c>
      <c r="BT267" s="43">
        <f t="shared" si="151"/>
        <v>0</v>
      </c>
    </row>
    <row r="268" spans="1:72">
      <c r="A268" s="9"/>
      <c r="B268" s="34"/>
      <c r="C268" s="34"/>
      <c r="D268" s="1805"/>
      <c r="E268" s="35">
        <f t="shared" si="123"/>
        <v>0</v>
      </c>
      <c r="F268" s="36"/>
      <c r="G268" s="37">
        <f t="shared" si="124"/>
        <v>0</v>
      </c>
      <c r="H268" s="38">
        <f t="shared" si="125"/>
        <v>0</v>
      </c>
      <c r="I268" s="39"/>
      <c r="J268" s="39"/>
      <c r="K268" s="39"/>
      <c r="L268" s="39"/>
      <c r="M268" s="39"/>
      <c r="N268" s="39"/>
      <c r="O268" s="39"/>
      <c r="P268" s="39"/>
      <c r="Q268" s="39"/>
      <c r="R268" s="39"/>
      <c r="S268" s="39"/>
      <c r="T268" s="39"/>
      <c r="U268" s="39"/>
      <c r="V268" s="39"/>
      <c r="W268" s="39"/>
      <c r="X268" s="39"/>
      <c r="Y268" s="39"/>
      <c r="Z268" s="39"/>
      <c r="AA268" s="39"/>
      <c r="AB268" s="39"/>
      <c r="AC268" s="35">
        <f t="shared" si="126"/>
        <v>0</v>
      </c>
      <c r="AD268" s="40"/>
      <c r="AE268" s="40"/>
      <c r="AF268" s="40"/>
      <c r="AG268" s="40"/>
      <c r="AH268" s="40"/>
      <c r="AI268" s="40"/>
      <c r="AJ268" s="40"/>
      <c r="AK268" s="40"/>
      <c r="AL268" s="40"/>
      <c r="AM268" s="40"/>
      <c r="AN268" s="40"/>
      <c r="AO268" s="40"/>
      <c r="AP268" s="40"/>
      <c r="AQ268" s="40"/>
      <c r="AR268" s="40"/>
      <c r="AS268" s="40"/>
      <c r="AT268" s="41"/>
      <c r="AU268" s="1806"/>
      <c r="AV268" s="1517">
        <f t="shared" si="127"/>
        <v>0</v>
      </c>
      <c r="AW268" s="1517">
        <f t="shared" si="128"/>
        <v>0</v>
      </c>
      <c r="AX268" s="1517">
        <f t="shared" si="129"/>
        <v>0</v>
      </c>
      <c r="AY268" s="42">
        <f t="shared" si="130"/>
        <v>0</v>
      </c>
      <c r="AZ268" s="35">
        <f t="shared" si="131"/>
        <v>0</v>
      </c>
      <c r="BA268" s="35">
        <f t="shared" si="132"/>
        <v>0</v>
      </c>
      <c r="BB268" s="35">
        <f t="shared" si="133"/>
        <v>0</v>
      </c>
      <c r="BC268" s="35">
        <f t="shared" si="134"/>
        <v>0</v>
      </c>
      <c r="BD268" s="35">
        <f t="shared" si="135"/>
        <v>0</v>
      </c>
      <c r="BE268" s="35">
        <f t="shared" si="136"/>
        <v>0</v>
      </c>
      <c r="BF268" s="35">
        <f t="shared" si="137"/>
        <v>0</v>
      </c>
      <c r="BG268" s="35">
        <f t="shared" si="138"/>
        <v>0</v>
      </c>
      <c r="BH268" s="35">
        <f t="shared" si="139"/>
        <v>0</v>
      </c>
      <c r="BI268" s="35">
        <f t="shared" si="140"/>
        <v>0</v>
      </c>
      <c r="BJ268" s="35">
        <f t="shared" si="141"/>
        <v>0</v>
      </c>
      <c r="BK268" s="35">
        <f t="shared" si="142"/>
        <v>0</v>
      </c>
      <c r="BL268" s="35">
        <f t="shared" si="143"/>
        <v>0</v>
      </c>
      <c r="BM268" s="35">
        <f t="shared" si="144"/>
        <v>0</v>
      </c>
      <c r="BN268" s="35">
        <f t="shared" si="145"/>
        <v>0</v>
      </c>
      <c r="BO268" s="35">
        <f t="shared" si="146"/>
        <v>0</v>
      </c>
      <c r="BP268" s="35">
        <f t="shared" si="147"/>
        <v>0</v>
      </c>
      <c r="BQ268" s="35">
        <f t="shared" si="148"/>
        <v>0</v>
      </c>
      <c r="BR268" s="35">
        <f t="shared" si="149"/>
        <v>0</v>
      </c>
      <c r="BS268" s="35">
        <f t="shared" si="150"/>
        <v>0</v>
      </c>
      <c r="BT268" s="43">
        <f t="shared" si="151"/>
        <v>0</v>
      </c>
    </row>
    <row r="269" spans="1:72">
      <c r="A269" s="9"/>
      <c r="B269" s="34"/>
      <c r="C269" s="34"/>
      <c r="D269" s="1805"/>
      <c r="E269" s="35">
        <f t="shared" si="123"/>
        <v>0</v>
      </c>
      <c r="F269" s="36"/>
      <c r="G269" s="37">
        <f t="shared" si="124"/>
        <v>0</v>
      </c>
      <c r="H269" s="38">
        <f t="shared" si="125"/>
        <v>0</v>
      </c>
      <c r="I269" s="39"/>
      <c r="J269" s="39"/>
      <c r="K269" s="39"/>
      <c r="L269" s="39"/>
      <c r="M269" s="39"/>
      <c r="N269" s="39"/>
      <c r="O269" s="39"/>
      <c r="P269" s="39"/>
      <c r="Q269" s="39"/>
      <c r="R269" s="39"/>
      <c r="S269" s="39"/>
      <c r="T269" s="39"/>
      <c r="U269" s="39"/>
      <c r="V269" s="39"/>
      <c r="W269" s="39"/>
      <c r="X269" s="39"/>
      <c r="Y269" s="39"/>
      <c r="Z269" s="39"/>
      <c r="AA269" s="39"/>
      <c r="AB269" s="39"/>
      <c r="AC269" s="35">
        <f t="shared" si="126"/>
        <v>0</v>
      </c>
      <c r="AD269" s="40"/>
      <c r="AE269" s="40"/>
      <c r="AF269" s="40"/>
      <c r="AG269" s="40"/>
      <c r="AH269" s="40"/>
      <c r="AI269" s="40"/>
      <c r="AJ269" s="40"/>
      <c r="AK269" s="40"/>
      <c r="AL269" s="40"/>
      <c r="AM269" s="40"/>
      <c r="AN269" s="40"/>
      <c r="AO269" s="40"/>
      <c r="AP269" s="40"/>
      <c r="AQ269" s="40"/>
      <c r="AR269" s="40"/>
      <c r="AS269" s="40"/>
      <c r="AT269" s="41"/>
      <c r="AU269" s="1806"/>
      <c r="AV269" s="1517">
        <f t="shared" si="127"/>
        <v>0</v>
      </c>
      <c r="AW269" s="1517">
        <f t="shared" si="128"/>
        <v>0</v>
      </c>
      <c r="AX269" s="1517">
        <f t="shared" si="129"/>
        <v>0</v>
      </c>
      <c r="AY269" s="42">
        <f t="shared" si="130"/>
        <v>0</v>
      </c>
      <c r="AZ269" s="35">
        <f t="shared" si="131"/>
        <v>0</v>
      </c>
      <c r="BA269" s="35">
        <f t="shared" si="132"/>
        <v>0</v>
      </c>
      <c r="BB269" s="35">
        <f t="shared" si="133"/>
        <v>0</v>
      </c>
      <c r="BC269" s="35">
        <f t="shared" si="134"/>
        <v>0</v>
      </c>
      <c r="BD269" s="35">
        <f t="shared" si="135"/>
        <v>0</v>
      </c>
      <c r="BE269" s="35">
        <f t="shared" si="136"/>
        <v>0</v>
      </c>
      <c r="BF269" s="35">
        <f t="shared" si="137"/>
        <v>0</v>
      </c>
      <c r="BG269" s="35">
        <f t="shared" si="138"/>
        <v>0</v>
      </c>
      <c r="BH269" s="35">
        <f t="shared" si="139"/>
        <v>0</v>
      </c>
      <c r="BI269" s="35">
        <f t="shared" si="140"/>
        <v>0</v>
      </c>
      <c r="BJ269" s="35">
        <f t="shared" si="141"/>
        <v>0</v>
      </c>
      <c r="BK269" s="35">
        <f t="shared" si="142"/>
        <v>0</v>
      </c>
      <c r="BL269" s="35">
        <f t="shared" si="143"/>
        <v>0</v>
      </c>
      <c r="BM269" s="35">
        <f t="shared" si="144"/>
        <v>0</v>
      </c>
      <c r="BN269" s="35">
        <f t="shared" si="145"/>
        <v>0</v>
      </c>
      <c r="BO269" s="35">
        <f t="shared" si="146"/>
        <v>0</v>
      </c>
      <c r="BP269" s="35">
        <f t="shared" si="147"/>
        <v>0</v>
      </c>
      <c r="BQ269" s="35">
        <f t="shared" si="148"/>
        <v>0</v>
      </c>
      <c r="BR269" s="35">
        <f t="shared" si="149"/>
        <v>0</v>
      </c>
      <c r="BS269" s="35">
        <f t="shared" si="150"/>
        <v>0</v>
      </c>
      <c r="BT269" s="43">
        <f t="shared" si="151"/>
        <v>0</v>
      </c>
    </row>
    <row r="270" spans="1:72">
      <c r="A270" s="9"/>
      <c r="B270" s="34"/>
      <c r="C270" s="34"/>
      <c r="D270" s="1805"/>
      <c r="E270" s="35">
        <f t="shared" si="123"/>
        <v>0</v>
      </c>
      <c r="F270" s="36"/>
      <c r="G270" s="37">
        <f t="shared" si="124"/>
        <v>0</v>
      </c>
      <c r="H270" s="38">
        <f t="shared" si="125"/>
        <v>0</v>
      </c>
      <c r="I270" s="39"/>
      <c r="J270" s="39"/>
      <c r="K270" s="39"/>
      <c r="L270" s="39"/>
      <c r="M270" s="39"/>
      <c r="N270" s="39"/>
      <c r="O270" s="39"/>
      <c r="P270" s="39"/>
      <c r="Q270" s="39"/>
      <c r="R270" s="39"/>
      <c r="S270" s="39"/>
      <c r="T270" s="39"/>
      <c r="U270" s="39"/>
      <c r="V270" s="39"/>
      <c r="W270" s="39"/>
      <c r="X270" s="39"/>
      <c r="Y270" s="39"/>
      <c r="Z270" s="39"/>
      <c r="AA270" s="39"/>
      <c r="AB270" s="39"/>
      <c r="AC270" s="35">
        <f t="shared" si="126"/>
        <v>0</v>
      </c>
      <c r="AD270" s="40"/>
      <c r="AE270" s="40"/>
      <c r="AF270" s="40"/>
      <c r="AG270" s="40"/>
      <c r="AH270" s="40"/>
      <c r="AI270" s="40"/>
      <c r="AJ270" s="40"/>
      <c r="AK270" s="40"/>
      <c r="AL270" s="40"/>
      <c r="AM270" s="40"/>
      <c r="AN270" s="40"/>
      <c r="AO270" s="40"/>
      <c r="AP270" s="40"/>
      <c r="AQ270" s="40"/>
      <c r="AR270" s="40"/>
      <c r="AS270" s="40"/>
      <c r="AT270" s="41"/>
      <c r="AU270" s="1806"/>
      <c r="AV270" s="1517">
        <f t="shared" si="127"/>
        <v>0</v>
      </c>
      <c r="AW270" s="1517">
        <f t="shared" si="128"/>
        <v>0</v>
      </c>
      <c r="AX270" s="1517">
        <f t="shared" si="129"/>
        <v>0</v>
      </c>
      <c r="AY270" s="42">
        <f t="shared" si="130"/>
        <v>0</v>
      </c>
      <c r="AZ270" s="35">
        <f t="shared" si="131"/>
        <v>0</v>
      </c>
      <c r="BA270" s="35">
        <f t="shared" si="132"/>
        <v>0</v>
      </c>
      <c r="BB270" s="35">
        <f t="shared" si="133"/>
        <v>0</v>
      </c>
      <c r="BC270" s="35">
        <f t="shared" si="134"/>
        <v>0</v>
      </c>
      <c r="BD270" s="35">
        <f t="shared" si="135"/>
        <v>0</v>
      </c>
      <c r="BE270" s="35">
        <f t="shared" si="136"/>
        <v>0</v>
      </c>
      <c r="BF270" s="35">
        <f t="shared" si="137"/>
        <v>0</v>
      </c>
      <c r="BG270" s="35">
        <f t="shared" si="138"/>
        <v>0</v>
      </c>
      <c r="BH270" s="35">
        <f t="shared" si="139"/>
        <v>0</v>
      </c>
      <c r="BI270" s="35">
        <f t="shared" si="140"/>
        <v>0</v>
      </c>
      <c r="BJ270" s="35">
        <f t="shared" si="141"/>
        <v>0</v>
      </c>
      <c r="BK270" s="35">
        <f t="shared" si="142"/>
        <v>0</v>
      </c>
      <c r="BL270" s="35">
        <f t="shared" si="143"/>
        <v>0</v>
      </c>
      <c r="BM270" s="35">
        <f t="shared" si="144"/>
        <v>0</v>
      </c>
      <c r="BN270" s="35">
        <f t="shared" si="145"/>
        <v>0</v>
      </c>
      <c r="BO270" s="35">
        <f t="shared" si="146"/>
        <v>0</v>
      </c>
      <c r="BP270" s="35">
        <f t="shared" si="147"/>
        <v>0</v>
      </c>
      <c r="BQ270" s="35">
        <f t="shared" si="148"/>
        <v>0</v>
      </c>
      <c r="BR270" s="35">
        <f t="shared" si="149"/>
        <v>0</v>
      </c>
      <c r="BS270" s="35">
        <f t="shared" si="150"/>
        <v>0</v>
      </c>
      <c r="BT270" s="43">
        <f t="shared" si="151"/>
        <v>0</v>
      </c>
    </row>
    <row r="271" spans="1:72">
      <c r="A271" s="9"/>
      <c r="B271" s="34"/>
      <c r="C271" s="34"/>
      <c r="D271" s="1805"/>
      <c r="E271" s="35">
        <f t="shared" si="123"/>
        <v>0</v>
      </c>
      <c r="F271" s="36"/>
      <c r="G271" s="37">
        <f t="shared" si="124"/>
        <v>0</v>
      </c>
      <c r="H271" s="38">
        <f t="shared" si="125"/>
        <v>0</v>
      </c>
      <c r="I271" s="39"/>
      <c r="J271" s="39"/>
      <c r="K271" s="39"/>
      <c r="L271" s="39"/>
      <c r="M271" s="39"/>
      <c r="N271" s="39"/>
      <c r="O271" s="39"/>
      <c r="P271" s="39"/>
      <c r="Q271" s="39"/>
      <c r="R271" s="39"/>
      <c r="S271" s="39"/>
      <c r="T271" s="39"/>
      <c r="U271" s="39"/>
      <c r="V271" s="39"/>
      <c r="W271" s="39"/>
      <c r="X271" s="39"/>
      <c r="Y271" s="39"/>
      <c r="Z271" s="39"/>
      <c r="AA271" s="39"/>
      <c r="AB271" s="39"/>
      <c r="AC271" s="35">
        <f t="shared" si="126"/>
        <v>0</v>
      </c>
      <c r="AD271" s="40"/>
      <c r="AE271" s="40"/>
      <c r="AF271" s="40"/>
      <c r="AG271" s="40"/>
      <c r="AH271" s="40"/>
      <c r="AI271" s="40"/>
      <c r="AJ271" s="40"/>
      <c r="AK271" s="40"/>
      <c r="AL271" s="40"/>
      <c r="AM271" s="40"/>
      <c r="AN271" s="40"/>
      <c r="AO271" s="40"/>
      <c r="AP271" s="40"/>
      <c r="AQ271" s="40"/>
      <c r="AR271" s="40"/>
      <c r="AS271" s="40"/>
      <c r="AT271" s="41"/>
      <c r="AU271" s="1806"/>
      <c r="AV271" s="1517">
        <f t="shared" si="127"/>
        <v>0</v>
      </c>
      <c r="AW271" s="1517">
        <f t="shared" si="128"/>
        <v>0</v>
      </c>
      <c r="AX271" s="1517">
        <f t="shared" si="129"/>
        <v>0</v>
      </c>
      <c r="AY271" s="42">
        <f t="shared" si="130"/>
        <v>0</v>
      </c>
      <c r="AZ271" s="35">
        <f t="shared" si="131"/>
        <v>0</v>
      </c>
      <c r="BA271" s="35">
        <f t="shared" si="132"/>
        <v>0</v>
      </c>
      <c r="BB271" s="35">
        <f t="shared" si="133"/>
        <v>0</v>
      </c>
      <c r="BC271" s="35">
        <f t="shared" si="134"/>
        <v>0</v>
      </c>
      <c r="BD271" s="35">
        <f t="shared" si="135"/>
        <v>0</v>
      </c>
      <c r="BE271" s="35">
        <f t="shared" si="136"/>
        <v>0</v>
      </c>
      <c r="BF271" s="35">
        <f t="shared" si="137"/>
        <v>0</v>
      </c>
      <c r="BG271" s="35">
        <f t="shared" si="138"/>
        <v>0</v>
      </c>
      <c r="BH271" s="35">
        <f t="shared" si="139"/>
        <v>0</v>
      </c>
      <c r="BI271" s="35">
        <f t="shared" si="140"/>
        <v>0</v>
      </c>
      <c r="BJ271" s="35">
        <f t="shared" si="141"/>
        <v>0</v>
      </c>
      <c r="BK271" s="35">
        <f t="shared" si="142"/>
        <v>0</v>
      </c>
      <c r="BL271" s="35">
        <f t="shared" si="143"/>
        <v>0</v>
      </c>
      <c r="BM271" s="35">
        <f t="shared" si="144"/>
        <v>0</v>
      </c>
      <c r="BN271" s="35">
        <f t="shared" si="145"/>
        <v>0</v>
      </c>
      <c r="BO271" s="35">
        <f t="shared" si="146"/>
        <v>0</v>
      </c>
      <c r="BP271" s="35">
        <f t="shared" si="147"/>
        <v>0</v>
      </c>
      <c r="BQ271" s="35">
        <f t="shared" si="148"/>
        <v>0</v>
      </c>
      <c r="BR271" s="35">
        <f t="shared" si="149"/>
        <v>0</v>
      </c>
      <c r="BS271" s="35">
        <f t="shared" si="150"/>
        <v>0</v>
      </c>
      <c r="BT271" s="43">
        <f t="shared" si="151"/>
        <v>0</v>
      </c>
    </row>
    <row r="272" spans="1:72">
      <c r="A272" s="9"/>
      <c r="B272" s="34"/>
      <c r="C272" s="34"/>
      <c r="D272" s="1805"/>
      <c r="E272" s="35">
        <f t="shared" si="123"/>
        <v>0</v>
      </c>
      <c r="F272" s="36"/>
      <c r="G272" s="37">
        <f t="shared" si="124"/>
        <v>0</v>
      </c>
      <c r="H272" s="38">
        <f t="shared" si="125"/>
        <v>0</v>
      </c>
      <c r="I272" s="39"/>
      <c r="J272" s="39"/>
      <c r="K272" s="39"/>
      <c r="L272" s="39"/>
      <c r="M272" s="39"/>
      <c r="N272" s="39"/>
      <c r="O272" s="39"/>
      <c r="P272" s="39"/>
      <c r="Q272" s="39"/>
      <c r="R272" s="39"/>
      <c r="S272" s="39"/>
      <c r="T272" s="39"/>
      <c r="U272" s="39"/>
      <c r="V272" s="39"/>
      <c r="W272" s="39"/>
      <c r="X272" s="39"/>
      <c r="Y272" s="39"/>
      <c r="Z272" s="39"/>
      <c r="AA272" s="39"/>
      <c r="AB272" s="39"/>
      <c r="AC272" s="35">
        <f t="shared" si="126"/>
        <v>0</v>
      </c>
      <c r="AD272" s="40"/>
      <c r="AE272" s="40"/>
      <c r="AF272" s="40"/>
      <c r="AG272" s="40"/>
      <c r="AH272" s="40"/>
      <c r="AI272" s="40"/>
      <c r="AJ272" s="40"/>
      <c r="AK272" s="40"/>
      <c r="AL272" s="40"/>
      <c r="AM272" s="40"/>
      <c r="AN272" s="40"/>
      <c r="AO272" s="40"/>
      <c r="AP272" s="40"/>
      <c r="AQ272" s="40"/>
      <c r="AR272" s="40"/>
      <c r="AS272" s="40"/>
      <c r="AT272" s="41"/>
      <c r="AU272" s="1806"/>
      <c r="AV272" s="1517">
        <f t="shared" si="127"/>
        <v>0</v>
      </c>
      <c r="AW272" s="1517">
        <f t="shared" si="128"/>
        <v>0</v>
      </c>
      <c r="AX272" s="1517">
        <f t="shared" si="129"/>
        <v>0</v>
      </c>
      <c r="AY272" s="42">
        <f t="shared" si="130"/>
        <v>0</v>
      </c>
      <c r="AZ272" s="35">
        <f t="shared" si="131"/>
        <v>0</v>
      </c>
      <c r="BA272" s="35">
        <f t="shared" si="132"/>
        <v>0</v>
      </c>
      <c r="BB272" s="35">
        <f t="shared" si="133"/>
        <v>0</v>
      </c>
      <c r="BC272" s="35">
        <f t="shared" si="134"/>
        <v>0</v>
      </c>
      <c r="BD272" s="35">
        <f t="shared" si="135"/>
        <v>0</v>
      </c>
      <c r="BE272" s="35">
        <f t="shared" si="136"/>
        <v>0</v>
      </c>
      <c r="BF272" s="35">
        <f t="shared" si="137"/>
        <v>0</v>
      </c>
      <c r="BG272" s="35">
        <f t="shared" si="138"/>
        <v>0</v>
      </c>
      <c r="BH272" s="35">
        <f t="shared" si="139"/>
        <v>0</v>
      </c>
      <c r="BI272" s="35">
        <f t="shared" si="140"/>
        <v>0</v>
      </c>
      <c r="BJ272" s="35">
        <f t="shared" si="141"/>
        <v>0</v>
      </c>
      <c r="BK272" s="35">
        <f t="shared" si="142"/>
        <v>0</v>
      </c>
      <c r="BL272" s="35">
        <f t="shared" si="143"/>
        <v>0</v>
      </c>
      <c r="BM272" s="35">
        <f t="shared" si="144"/>
        <v>0</v>
      </c>
      <c r="BN272" s="35">
        <f t="shared" si="145"/>
        <v>0</v>
      </c>
      <c r="BO272" s="35">
        <f t="shared" si="146"/>
        <v>0</v>
      </c>
      <c r="BP272" s="35">
        <f t="shared" si="147"/>
        <v>0</v>
      </c>
      <c r="BQ272" s="35">
        <f t="shared" si="148"/>
        <v>0</v>
      </c>
      <c r="BR272" s="35">
        <f t="shared" si="149"/>
        <v>0</v>
      </c>
      <c r="BS272" s="35">
        <f t="shared" si="150"/>
        <v>0</v>
      </c>
      <c r="BT272" s="43">
        <f t="shared" si="151"/>
        <v>0</v>
      </c>
    </row>
    <row r="273" spans="1:72">
      <c r="A273" s="9"/>
      <c r="B273" s="34"/>
      <c r="C273" s="34"/>
      <c r="D273" s="1805"/>
      <c r="E273" s="35">
        <f t="shared" si="123"/>
        <v>0</v>
      </c>
      <c r="F273" s="36"/>
      <c r="G273" s="37">
        <f t="shared" si="124"/>
        <v>0</v>
      </c>
      <c r="H273" s="38">
        <f t="shared" si="125"/>
        <v>0</v>
      </c>
      <c r="I273" s="39"/>
      <c r="J273" s="39"/>
      <c r="K273" s="39"/>
      <c r="L273" s="39"/>
      <c r="M273" s="39"/>
      <c r="N273" s="39"/>
      <c r="O273" s="39"/>
      <c r="P273" s="39"/>
      <c r="Q273" s="39"/>
      <c r="R273" s="39"/>
      <c r="S273" s="39"/>
      <c r="T273" s="39"/>
      <c r="U273" s="39"/>
      <c r="V273" s="39"/>
      <c r="W273" s="39"/>
      <c r="X273" s="39"/>
      <c r="Y273" s="39"/>
      <c r="Z273" s="39"/>
      <c r="AA273" s="39"/>
      <c r="AB273" s="39"/>
      <c r="AC273" s="35">
        <f t="shared" si="126"/>
        <v>0</v>
      </c>
      <c r="AD273" s="40"/>
      <c r="AE273" s="40"/>
      <c r="AF273" s="40"/>
      <c r="AG273" s="40"/>
      <c r="AH273" s="40"/>
      <c r="AI273" s="40"/>
      <c r="AJ273" s="40"/>
      <c r="AK273" s="40"/>
      <c r="AL273" s="40"/>
      <c r="AM273" s="40"/>
      <c r="AN273" s="40"/>
      <c r="AO273" s="40"/>
      <c r="AP273" s="40"/>
      <c r="AQ273" s="40"/>
      <c r="AR273" s="40"/>
      <c r="AS273" s="40"/>
      <c r="AT273" s="41"/>
      <c r="AU273" s="1806"/>
      <c r="AV273" s="1517">
        <f t="shared" si="127"/>
        <v>0</v>
      </c>
      <c r="AW273" s="1517">
        <f t="shared" si="128"/>
        <v>0</v>
      </c>
      <c r="AX273" s="1517">
        <f t="shared" si="129"/>
        <v>0</v>
      </c>
      <c r="AY273" s="42">
        <f t="shared" si="130"/>
        <v>0</v>
      </c>
      <c r="AZ273" s="35">
        <f t="shared" si="131"/>
        <v>0</v>
      </c>
      <c r="BA273" s="35">
        <f t="shared" si="132"/>
        <v>0</v>
      </c>
      <c r="BB273" s="35">
        <f t="shared" si="133"/>
        <v>0</v>
      </c>
      <c r="BC273" s="35">
        <f t="shared" si="134"/>
        <v>0</v>
      </c>
      <c r="BD273" s="35">
        <f t="shared" si="135"/>
        <v>0</v>
      </c>
      <c r="BE273" s="35">
        <f t="shared" si="136"/>
        <v>0</v>
      </c>
      <c r="BF273" s="35">
        <f t="shared" si="137"/>
        <v>0</v>
      </c>
      <c r="BG273" s="35">
        <f t="shared" si="138"/>
        <v>0</v>
      </c>
      <c r="BH273" s="35">
        <f t="shared" si="139"/>
        <v>0</v>
      </c>
      <c r="BI273" s="35">
        <f t="shared" si="140"/>
        <v>0</v>
      </c>
      <c r="BJ273" s="35">
        <f t="shared" si="141"/>
        <v>0</v>
      </c>
      <c r="BK273" s="35">
        <f t="shared" si="142"/>
        <v>0</v>
      </c>
      <c r="BL273" s="35">
        <f t="shared" si="143"/>
        <v>0</v>
      </c>
      <c r="BM273" s="35">
        <f t="shared" si="144"/>
        <v>0</v>
      </c>
      <c r="BN273" s="35">
        <f t="shared" si="145"/>
        <v>0</v>
      </c>
      <c r="BO273" s="35">
        <f t="shared" si="146"/>
        <v>0</v>
      </c>
      <c r="BP273" s="35">
        <f t="shared" si="147"/>
        <v>0</v>
      </c>
      <c r="BQ273" s="35">
        <f t="shared" si="148"/>
        <v>0</v>
      </c>
      <c r="BR273" s="35">
        <f t="shared" si="149"/>
        <v>0</v>
      </c>
      <c r="BS273" s="35">
        <f t="shared" si="150"/>
        <v>0</v>
      </c>
      <c r="BT273" s="43">
        <f t="shared" si="151"/>
        <v>0</v>
      </c>
    </row>
    <row r="274" spans="1:72">
      <c r="A274" s="9"/>
      <c r="B274" s="34"/>
      <c r="C274" s="34"/>
      <c r="D274" s="1805"/>
      <c r="E274" s="35">
        <f t="shared" si="123"/>
        <v>0</v>
      </c>
      <c r="F274" s="36"/>
      <c r="G274" s="37">
        <f t="shared" si="124"/>
        <v>0</v>
      </c>
      <c r="H274" s="38">
        <f t="shared" si="125"/>
        <v>0</v>
      </c>
      <c r="I274" s="39"/>
      <c r="J274" s="39"/>
      <c r="K274" s="39"/>
      <c r="L274" s="39"/>
      <c r="M274" s="39"/>
      <c r="N274" s="39"/>
      <c r="O274" s="39"/>
      <c r="P274" s="39"/>
      <c r="Q274" s="39"/>
      <c r="R274" s="39"/>
      <c r="S274" s="39"/>
      <c r="T274" s="39"/>
      <c r="U274" s="39"/>
      <c r="V274" s="39"/>
      <c r="W274" s="39"/>
      <c r="X274" s="39"/>
      <c r="Y274" s="39"/>
      <c r="Z274" s="39"/>
      <c r="AA274" s="39"/>
      <c r="AB274" s="39"/>
      <c r="AC274" s="35">
        <f t="shared" si="126"/>
        <v>0</v>
      </c>
      <c r="AD274" s="40"/>
      <c r="AE274" s="40"/>
      <c r="AF274" s="40"/>
      <c r="AG274" s="40"/>
      <c r="AH274" s="40"/>
      <c r="AI274" s="40"/>
      <c r="AJ274" s="40"/>
      <c r="AK274" s="40"/>
      <c r="AL274" s="40"/>
      <c r="AM274" s="40"/>
      <c r="AN274" s="40"/>
      <c r="AO274" s="40"/>
      <c r="AP274" s="40"/>
      <c r="AQ274" s="40"/>
      <c r="AR274" s="40"/>
      <c r="AS274" s="40"/>
      <c r="AT274" s="41"/>
      <c r="AU274" s="1806"/>
      <c r="AV274" s="1517">
        <f t="shared" si="127"/>
        <v>0</v>
      </c>
      <c r="AW274" s="1517">
        <f t="shared" si="128"/>
        <v>0</v>
      </c>
      <c r="AX274" s="1517">
        <f t="shared" si="129"/>
        <v>0</v>
      </c>
      <c r="AY274" s="42">
        <f t="shared" si="130"/>
        <v>0</v>
      </c>
      <c r="AZ274" s="35">
        <f t="shared" si="131"/>
        <v>0</v>
      </c>
      <c r="BA274" s="35">
        <f t="shared" si="132"/>
        <v>0</v>
      </c>
      <c r="BB274" s="35">
        <f t="shared" si="133"/>
        <v>0</v>
      </c>
      <c r="BC274" s="35">
        <f t="shared" si="134"/>
        <v>0</v>
      </c>
      <c r="BD274" s="35">
        <f t="shared" si="135"/>
        <v>0</v>
      </c>
      <c r="BE274" s="35">
        <f t="shared" si="136"/>
        <v>0</v>
      </c>
      <c r="BF274" s="35">
        <f t="shared" si="137"/>
        <v>0</v>
      </c>
      <c r="BG274" s="35">
        <f t="shared" si="138"/>
        <v>0</v>
      </c>
      <c r="BH274" s="35">
        <f t="shared" si="139"/>
        <v>0</v>
      </c>
      <c r="BI274" s="35">
        <f t="shared" si="140"/>
        <v>0</v>
      </c>
      <c r="BJ274" s="35">
        <f t="shared" si="141"/>
        <v>0</v>
      </c>
      <c r="BK274" s="35">
        <f t="shared" si="142"/>
        <v>0</v>
      </c>
      <c r="BL274" s="35">
        <f t="shared" si="143"/>
        <v>0</v>
      </c>
      <c r="BM274" s="35">
        <f t="shared" si="144"/>
        <v>0</v>
      </c>
      <c r="BN274" s="35">
        <f t="shared" si="145"/>
        <v>0</v>
      </c>
      <c r="BO274" s="35">
        <f t="shared" si="146"/>
        <v>0</v>
      </c>
      <c r="BP274" s="35">
        <f t="shared" si="147"/>
        <v>0</v>
      </c>
      <c r="BQ274" s="35">
        <f t="shared" si="148"/>
        <v>0</v>
      </c>
      <c r="BR274" s="35">
        <f t="shared" si="149"/>
        <v>0</v>
      </c>
      <c r="BS274" s="35">
        <f t="shared" si="150"/>
        <v>0</v>
      </c>
      <c r="BT274" s="43">
        <f t="shared" si="151"/>
        <v>0</v>
      </c>
    </row>
    <row r="275" spans="1:72">
      <c r="A275" s="9"/>
      <c r="B275" s="34"/>
      <c r="C275" s="34"/>
      <c r="D275" s="1805"/>
      <c r="E275" s="35">
        <f t="shared" si="123"/>
        <v>0</v>
      </c>
      <c r="F275" s="36"/>
      <c r="G275" s="37">
        <f t="shared" si="124"/>
        <v>0</v>
      </c>
      <c r="H275" s="38">
        <f t="shared" si="125"/>
        <v>0</v>
      </c>
      <c r="I275" s="39"/>
      <c r="J275" s="39"/>
      <c r="K275" s="39"/>
      <c r="L275" s="39"/>
      <c r="M275" s="39"/>
      <c r="N275" s="39"/>
      <c r="O275" s="39"/>
      <c r="P275" s="39"/>
      <c r="Q275" s="39"/>
      <c r="R275" s="39"/>
      <c r="S275" s="39"/>
      <c r="T275" s="39"/>
      <c r="U275" s="39"/>
      <c r="V275" s="39"/>
      <c r="W275" s="39"/>
      <c r="X275" s="39"/>
      <c r="Y275" s="39"/>
      <c r="Z275" s="39"/>
      <c r="AA275" s="39"/>
      <c r="AB275" s="39"/>
      <c r="AC275" s="35">
        <f t="shared" si="126"/>
        <v>0</v>
      </c>
      <c r="AD275" s="40"/>
      <c r="AE275" s="40"/>
      <c r="AF275" s="40"/>
      <c r="AG275" s="40"/>
      <c r="AH275" s="40"/>
      <c r="AI275" s="40"/>
      <c r="AJ275" s="40"/>
      <c r="AK275" s="40"/>
      <c r="AL275" s="40"/>
      <c r="AM275" s="40"/>
      <c r="AN275" s="40"/>
      <c r="AO275" s="40"/>
      <c r="AP275" s="40"/>
      <c r="AQ275" s="40"/>
      <c r="AR275" s="40"/>
      <c r="AS275" s="40"/>
      <c r="AT275" s="41"/>
      <c r="AU275" s="1806"/>
      <c r="AV275" s="1517">
        <f t="shared" si="127"/>
        <v>0</v>
      </c>
      <c r="AW275" s="1517">
        <f t="shared" si="128"/>
        <v>0</v>
      </c>
      <c r="AX275" s="1517">
        <f t="shared" si="129"/>
        <v>0</v>
      </c>
      <c r="AY275" s="42">
        <f t="shared" si="130"/>
        <v>0</v>
      </c>
      <c r="AZ275" s="35">
        <f t="shared" si="131"/>
        <v>0</v>
      </c>
      <c r="BA275" s="35">
        <f t="shared" si="132"/>
        <v>0</v>
      </c>
      <c r="BB275" s="35">
        <f t="shared" si="133"/>
        <v>0</v>
      </c>
      <c r="BC275" s="35">
        <f t="shared" si="134"/>
        <v>0</v>
      </c>
      <c r="BD275" s="35">
        <f t="shared" si="135"/>
        <v>0</v>
      </c>
      <c r="BE275" s="35">
        <f t="shared" si="136"/>
        <v>0</v>
      </c>
      <c r="BF275" s="35">
        <f t="shared" si="137"/>
        <v>0</v>
      </c>
      <c r="BG275" s="35">
        <f t="shared" si="138"/>
        <v>0</v>
      </c>
      <c r="BH275" s="35">
        <f t="shared" si="139"/>
        <v>0</v>
      </c>
      <c r="BI275" s="35">
        <f t="shared" si="140"/>
        <v>0</v>
      </c>
      <c r="BJ275" s="35">
        <f t="shared" si="141"/>
        <v>0</v>
      </c>
      <c r="BK275" s="35">
        <f t="shared" si="142"/>
        <v>0</v>
      </c>
      <c r="BL275" s="35">
        <f t="shared" si="143"/>
        <v>0</v>
      </c>
      <c r="BM275" s="35">
        <f t="shared" si="144"/>
        <v>0</v>
      </c>
      <c r="BN275" s="35">
        <f t="shared" si="145"/>
        <v>0</v>
      </c>
      <c r="BO275" s="35">
        <f t="shared" si="146"/>
        <v>0</v>
      </c>
      <c r="BP275" s="35">
        <f t="shared" si="147"/>
        <v>0</v>
      </c>
      <c r="BQ275" s="35">
        <f t="shared" si="148"/>
        <v>0</v>
      </c>
      <c r="BR275" s="35">
        <f t="shared" si="149"/>
        <v>0</v>
      </c>
      <c r="BS275" s="35">
        <f t="shared" si="150"/>
        <v>0</v>
      </c>
      <c r="BT275" s="43">
        <f t="shared" si="151"/>
        <v>0</v>
      </c>
    </row>
    <row r="276" spans="1:72">
      <c r="A276" s="9"/>
      <c r="B276" s="34"/>
      <c r="C276" s="34"/>
      <c r="D276" s="1805"/>
      <c r="E276" s="35">
        <f t="shared" si="123"/>
        <v>0</v>
      </c>
      <c r="F276" s="36"/>
      <c r="G276" s="37">
        <f t="shared" si="124"/>
        <v>0</v>
      </c>
      <c r="H276" s="38">
        <f t="shared" si="125"/>
        <v>0</v>
      </c>
      <c r="I276" s="39"/>
      <c r="J276" s="39"/>
      <c r="K276" s="39"/>
      <c r="L276" s="39"/>
      <c r="M276" s="39"/>
      <c r="N276" s="39"/>
      <c r="O276" s="39"/>
      <c r="P276" s="39"/>
      <c r="Q276" s="39"/>
      <c r="R276" s="39"/>
      <c r="S276" s="39"/>
      <c r="T276" s="39"/>
      <c r="U276" s="39"/>
      <c r="V276" s="39"/>
      <c r="W276" s="39"/>
      <c r="X276" s="39"/>
      <c r="Y276" s="39"/>
      <c r="Z276" s="39"/>
      <c r="AA276" s="39"/>
      <c r="AB276" s="39"/>
      <c r="AC276" s="35">
        <f t="shared" si="126"/>
        <v>0</v>
      </c>
      <c r="AD276" s="40"/>
      <c r="AE276" s="40"/>
      <c r="AF276" s="40"/>
      <c r="AG276" s="40"/>
      <c r="AH276" s="40"/>
      <c r="AI276" s="40"/>
      <c r="AJ276" s="40"/>
      <c r="AK276" s="40"/>
      <c r="AL276" s="40"/>
      <c r="AM276" s="40"/>
      <c r="AN276" s="40"/>
      <c r="AO276" s="40"/>
      <c r="AP276" s="40"/>
      <c r="AQ276" s="40"/>
      <c r="AR276" s="40"/>
      <c r="AS276" s="40"/>
      <c r="AT276" s="41"/>
      <c r="AU276" s="1806"/>
      <c r="AV276" s="1517">
        <f t="shared" si="127"/>
        <v>0</v>
      </c>
      <c r="AW276" s="1517">
        <f t="shared" si="128"/>
        <v>0</v>
      </c>
      <c r="AX276" s="1517">
        <f t="shared" si="129"/>
        <v>0</v>
      </c>
      <c r="AY276" s="42">
        <f t="shared" si="130"/>
        <v>0</v>
      </c>
      <c r="AZ276" s="35">
        <f t="shared" si="131"/>
        <v>0</v>
      </c>
      <c r="BA276" s="35">
        <f t="shared" si="132"/>
        <v>0</v>
      </c>
      <c r="BB276" s="35">
        <f t="shared" si="133"/>
        <v>0</v>
      </c>
      <c r="BC276" s="35">
        <f t="shared" si="134"/>
        <v>0</v>
      </c>
      <c r="BD276" s="35">
        <f t="shared" si="135"/>
        <v>0</v>
      </c>
      <c r="BE276" s="35">
        <f t="shared" si="136"/>
        <v>0</v>
      </c>
      <c r="BF276" s="35">
        <f t="shared" si="137"/>
        <v>0</v>
      </c>
      <c r="BG276" s="35">
        <f t="shared" si="138"/>
        <v>0</v>
      </c>
      <c r="BH276" s="35">
        <f t="shared" si="139"/>
        <v>0</v>
      </c>
      <c r="BI276" s="35">
        <f t="shared" si="140"/>
        <v>0</v>
      </c>
      <c r="BJ276" s="35">
        <f t="shared" si="141"/>
        <v>0</v>
      </c>
      <c r="BK276" s="35">
        <f t="shared" si="142"/>
        <v>0</v>
      </c>
      <c r="BL276" s="35">
        <f t="shared" si="143"/>
        <v>0</v>
      </c>
      <c r="BM276" s="35">
        <f t="shared" si="144"/>
        <v>0</v>
      </c>
      <c r="BN276" s="35">
        <f t="shared" si="145"/>
        <v>0</v>
      </c>
      <c r="BO276" s="35">
        <f t="shared" si="146"/>
        <v>0</v>
      </c>
      <c r="BP276" s="35">
        <f t="shared" si="147"/>
        <v>0</v>
      </c>
      <c r="BQ276" s="35">
        <f t="shared" si="148"/>
        <v>0</v>
      </c>
      <c r="BR276" s="35">
        <f t="shared" si="149"/>
        <v>0</v>
      </c>
      <c r="BS276" s="35">
        <f t="shared" si="150"/>
        <v>0</v>
      </c>
      <c r="BT276" s="43">
        <f t="shared" si="151"/>
        <v>0</v>
      </c>
    </row>
    <row r="277" spans="1:72">
      <c r="A277" s="9"/>
      <c r="B277" s="34"/>
      <c r="C277" s="34"/>
      <c r="D277" s="1805"/>
      <c r="E277" s="35">
        <f t="shared" si="123"/>
        <v>0</v>
      </c>
      <c r="F277" s="36"/>
      <c r="G277" s="37">
        <f t="shared" si="124"/>
        <v>0</v>
      </c>
      <c r="H277" s="38">
        <f t="shared" si="125"/>
        <v>0</v>
      </c>
      <c r="I277" s="39"/>
      <c r="J277" s="39"/>
      <c r="K277" s="39"/>
      <c r="L277" s="39"/>
      <c r="M277" s="39"/>
      <c r="N277" s="39"/>
      <c r="O277" s="39"/>
      <c r="P277" s="39"/>
      <c r="Q277" s="39"/>
      <c r="R277" s="39"/>
      <c r="S277" s="39"/>
      <c r="T277" s="39"/>
      <c r="U277" s="39"/>
      <c r="V277" s="39"/>
      <c r="W277" s="39"/>
      <c r="X277" s="39"/>
      <c r="Y277" s="39"/>
      <c r="Z277" s="39"/>
      <c r="AA277" s="39"/>
      <c r="AB277" s="39"/>
      <c r="AC277" s="35">
        <f t="shared" si="126"/>
        <v>0</v>
      </c>
      <c r="AD277" s="40"/>
      <c r="AE277" s="40"/>
      <c r="AF277" s="40"/>
      <c r="AG277" s="40"/>
      <c r="AH277" s="40"/>
      <c r="AI277" s="40"/>
      <c r="AJ277" s="40"/>
      <c r="AK277" s="40"/>
      <c r="AL277" s="40"/>
      <c r="AM277" s="40"/>
      <c r="AN277" s="40"/>
      <c r="AO277" s="40"/>
      <c r="AP277" s="40"/>
      <c r="AQ277" s="40"/>
      <c r="AR277" s="40"/>
      <c r="AS277" s="40"/>
      <c r="AT277" s="41"/>
      <c r="AU277" s="1806"/>
      <c r="AV277" s="1517">
        <f t="shared" si="127"/>
        <v>0</v>
      </c>
      <c r="AW277" s="1517">
        <f t="shared" si="128"/>
        <v>0</v>
      </c>
      <c r="AX277" s="1517">
        <f t="shared" si="129"/>
        <v>0</v>
      </c>
      <c r="AY277" s="42">
        <f t="shared" si="130"/>
        <v>0</v>
      </c>
      <c r="AZ277" s="35">
        <f t="shared" si="131"/>
        <v>0</v>
      </c>
      <c r="BA277" s="35">
        <f t="shared" si="132"/>
        <v>0</v>
      </c>
      <c r="BB277" s="35">
        <f t="shared" si="133"/>
        <v>0</v>
      </c>
      <c r="BC277" s="35">
        <f t="shared" si="134"/>
        <v>0</v>
      </c>
      <c r="BD277" s="35">
        <f t="shared" si="135"/>
        <v>0</v>
      </c>
      <c r="BE277" s="35">
        <f t="shared" si="136"/>
        <v>0</v>
      </c>
      <c r="BF277" s="35">
        <f t="shared" si="137"/>
        <v>0</v>
      </c>
      <c r="BG277" s="35">
        <f t="shared" si="138"/>
        <v>0</v>
      </c>
      <c r="BH277" s="35">
        <f t="shared" si="139"/>
        <v>0</v>
      </c>
      <c r="BI277" s="35">
        <f t="shared" si="140"/>
        <v>0</v>
      </c>
      <c r="BJ277" s="35">
        <f t="shared" si="141"/>
        <v>0</v>
      </c>
      <c r="BK277" s="35">
        <f t="shared" si="142"/>
        <v>0</v>
      </c>
      <c r="BL277" s="35">
        <f t="shared" si="143"/>
        <v>0</v>
      </c>
      <c r="BM277" s="35">
        <f t="shared" si="144"/>
        <v>0</v>
      </c>
      <c r="BN277" s="35">
        <f t="shared" si="145"/>
        <v>0</v>
      </c>
      <c r="BO277" s="35">
        <f t="shared" si="146"/>
        <v>0</v>
      </c>
      <c r="BP277" s="35">
        <f t="shared" si="147"/>
        <v>0</v>
      </c>
      <c r="BQ277" s="35">
        <f t="shared" si="148"/>
        <v>0</v>
      </c>
      <c r="BR277" s="35">
        <f t="shared" si="149"/>
        <v>0</v>
      </c>
      <c r="BS277" s="35">
        <f t="shared" si="150"/>
        <v>0</v>
      </c>
      <c r="BT277" s="43">
        <f t="shared" si="151"/>
        <v>0</v>
      </c>
    </row>
    <row r="278" spans="1:72">
      <c r="A278" s="9"/>
      <c r="B278" s="34"/>
      <c r="C278" s="34"/>
      <c r="D278" s="1805"/>
      <c r="E278" s="35">
        <f t="shared" si="123"/>
        <v>0</v>
      </c>
      <c r="F278" s="36"/>
      <c r="G278" s="37">
        <f t="shared" si="124"/>
        <v>0</v>
      </c>
      <c r="H278" s="38">
        <f t="shared" si="125"/>
        <v>0</v>
      </c>
      <c r="I278" s="39"/>
      <c r="J278" s="39"/>
      <c r="K278" s="39"/>
      <c r="L278" s="39"/>
      <c r="M278" s="39"/>
      <c r="N278" s="39"/>
      <c r="O278" s="39"/>
      <c r="P278" s="39"/>
      <c r="Q278" s="39"/>
      <c r="R278" s="39"/>
      <c r="S278" s="39"/>
      <c r="T278" s="39"/>
      <c r="U278" s="39"/>
      <c r="V278" s="39"/>
      <c r="W278" s="39"/>
      <c r="X278" s="39"/>
      <c r="Y278" s="39"/>
      <c r="Z278" s="39"/>
      <c r="AA278" s="39"/>
      <c r="AB278" s="39"/>
      <c r="AC278" s="35">
        <f t="shared" si="126"/>
        <v>0</v>
      </c>
      <c r="AD278" s="40"/>
      <c r="AE278" s="40"/>
      <c r="AF278" s="40"/>
      <c r="AG278" s="40"/>
      <c r="AH278" s="40"/>
      <c r="AI278" s="40"/>
      <c r="AJ278" s="40"/>
      <c r="AK278" s="40"/>
      <c r="AL278" s="40"/>
      <c r="AM278" s="40"/>
      <c r="AN278" s="40"/>
      <c r="AO278" s="40"/>
      <c r="AP278" s="40"/>
      <c r="AQ278" s="40"/>
      <c r="AR278" s="40"/>
      <c r="AS278" s="40"/>
      <c r="AT278" s="41"/>
      <c r="AU278" s="1806"/>
      <c r="AV278" s="1517">
        <f t="shared" si="127"/>
        <v>0</v>
      </c>
      <c r="AW278" s="1517">
        <f t="shared" si="128"/>
        <v>0</v>
      </c>
      <c r="AX278" s="1517">
        <f t="shared" si="129"/>
        <v>0</v>
      </c>
      <c r="AY278" s="42">
        <f t="shared" si="130"/>
        <v>0</v>
      </c>
      <c r="AZ278" s="35">
        <f t="shared" si="131"/>
        <v>0</v>
      </c>
      <c r="BA278" s="35">
        <f t="shared" si="132"/>
        <v>0</v>
      </c>
      <c r="BB278" s="35">
        <f t="shared" si="133"/>
        <v>0</v>
      </c>
      <c r="BC278" s="35">
        <f t="shared" si="134"/>
        <v>0</v>
      </c>
      <c r="BD278" s="35">
        <f t="shared" si="135"/>
        <v>0</v>
      </c>
      <c r="BE278" s="35">
        <f t="shared" si="136"/>
        <v>0</v>
      </c>
      <c r="BF278" s="35">
        <f t="shared" si="137"/>
        <v>0</v>
      </c>
      <c r="BG278" s="35">
        <f t="shared" si="138"/>
        <v>0</v>
      </c>
      <c r="BH278" s="35">
        <f t="shared" si="139"/>
        <v>0</v>
      </c>
      <c r="BI278" s="35">
        <f t="shared" si="140"/>
        <v>0</v>
      </c>
      <c r="BJ278" s="35">
        <f t="shared" si="141"/>
        <v>0</v>
      </c>
      <c r="BK278" s="35">
        <f t="shared" si="142"/>
        <v>0</v>
      </c>
      <c r="BL278" s="35">
        <f t="shared" si="143"/>
        <v>0</v>
      </c>
      <c r="BM278" s="35">
        <f t="shared" si="144"/>
        <v>0</v>
      </c>
      <c r="BN278" s="35">
        <f t="shared" si="145"/>
        <v>0</v>
      </c>
      <c r="BO278" s="35">
        <f t="shared" si="146"/>
        <v>0</v>
      </c>
      <c r="BP278" s="35">
        <f t="shared" si="147"/>
        <v>0</v>
      </c>
      <c r="BQ278" s="35">
        <f t="shared" si="148"/>
        <v>0</v>
      </c>
      <c r="BR278" s="35">
        <f t="shared" si="149"/>
        <v>0</v>
      </c>
      <c r="BS278" s="35">
        <f t="shared" si="150"/>
        <v>0</v>
      </c>
      <c r="BT278" s="43">
        <f t="shared" si="151"/>
        <v>0</v>
      </c>
    </row>
    <row r="279" spans="1:72">
      <c r="A279" s="9"/>
      <c r="B279" s="34"/>
      <c r="C279" s="34"/>
      <c r="D279" s="1805"/>
      <c r="E279" s="35">
        <f t="shared" si="123"/>
        <v>0</v>
      </c>
      <c r="F279" s="36"/>
      <c r="G279" s="37">
        <f t="shared" si="124"/>
        <v>0</v>
      </c>
      <c r="H279" s="38">
        <f t="shared" si="125"/>
        <v>0</v>
      </c>
      <c r="I279" s="39"/>
      <c r="J279" s="39"/>
      <c r="K279" s="39"/>
      <c r="L279" s="39"/>
      <c r="M279" s="39"/>
      <c r="N279" s="39"/>
      <c r="O279" s="39"/>
      <c r="P279" s="39"/>
      <c r="Q279" s="39"/>
      <c r="R279" s="39"/>
      <c r="S279" s="39"/>
      <c r="T279" s="39"/>
      <c r="U279" s="39"/>
      <c r="V279" s="39"/>
      <c r="W279" s="39"/>
      <c r="X279" s="39"/>
      <c r="Y279" s="39"/>
      <c r="Z279" s="39"/>
      <c r="AA279" s="39"/>
      <c r="AB279" s="39"/>
      <c r="AC279" s="35">
        <f t="shared" si="126"/>
        <v>0</v>
      </c>
      <c r="AD279" s="40"/>
      <c r="AE279" s="40"/>
      <c r="AF279" s="40"/>
      <c r="AG279" s="40"/>
      <c r="AH279" s="40"/>
      <c r="AI279" s="40"/>
      <c r="AJ279" s="40"/>
      <c r="AK279" s="40"/>
      <c r="AL279" s="40"/>
      <c r="AM279" s="40"/>
      <c r="AN279" s="40"/>
      <c r="AO279" s="40"/>
      <c r="AP279" s="40"/>
      <c r="AQ279" s="40"/>
      <c r="AR279" s="40"/>
      <c r="AS279" s="40"/>
      <c r="AT279" s="41"/>
      <c r="AU279" s="1806"/>
      <c r="AV279" s="1517">
        <f t="shared" si="127"/>
        <v>0</v>
      </c>
      <c r="AW279" s="1517">
        <f t="shared" si="128"/>
        <v>0</v>
      </c>
      <c r="AX279" s="1517">
        <f t="shared" si="129"/>
        <v>0</v>
      </c>
      <c r="AY279" s="42">
        <f t="shared" si="130"/>
        <v>0</v>
      </c>
      <c r="AZ279" s="35">
        <f t="shared" si="131"/>
        <v>0</v>
      </c>
      <c r="BA279" s="35">
        <f t="shared" si="132"/>
        <v>0</v>
      </c>
      <c r="BB279" s="35">
        <f t="shared" si="133"/>
        <v>0</v>
      </c>
      <c r="BC279" s="35">
        <f t="shared" si="134"/>
        <v>0</v>
      </c>
      <c r="BD279" s="35">
        <f t="shared" si="135"/>
        <v>0</v>
      </c>
      <c r="BE279" s="35">
        <f t="shared" si="136"/>
        <v>0</v>
      </c>
      <c r="BF279" s="35">
        <f t="shared" si="137"/>
        <v>0</v>
      </c>
      <c r="BG279" s="35">
        <f t="shared" si="138"/>
        <v>0</v>
      </c>
      <c r="BH279" s="35">
        <f t="shared" si="139"/>
        <v>0</v>
      </c>
      <c r="BI279" s="35">
        <f t="shared" si="140"/>
        <v>0</v>
      </c>
      <c r="BJ279" s="35">
        <f t="shared" si="141"/>
        <v>0</v>
      </c>
      <c r="BK279" s="35">
        <f t="shared" si="142"/>
        <v>0</v>
      </c>
      <c r="BL279" s="35">
        <f t="shared" si="143"/>
        <v>0</v>
      </c>
      <c r="BM279" s="35">
        <f t="shared" si="144"/>
        <v>0</v>
      </c>
      <c r="BN279" s="35">
        <f t="shared" si="145"/>
        <v>0</v>
      </c>
      <c r="BO279" s="35">
        <f t="shared" si="146"/>
        <v>0</v>
      </c>
      <c r="BP279" s="35">
        <f t="shared" si="147"/>
        <v>0</v>
      </c>
      <c r="BQ279" s="35">
        <f t="shared" si="148"/>
        <v>0</v>
      </c>
      <c r="BR279" s="35">
        <f t="shared" si="149"/>
        <v>0</v>
      </c>
      <c r="BS279" s="35">
        <f t="shared" si="150"/>
        <v>0</v>
      </c>
      <c r="BT279" s="43">
        <f t="shared" si="151"/>
        <v>0</v>
      </c>
    </row>
    <row r="280" spans="1:72">
      <c r="A280" s="9"/>
      <c r="B280" s="34"/>
      <c r="C280" s="34"/>
      <c r="D280" s="1805"/>
      <c r="E280" s="35">
        <f t="shared" si="123"/>
        <v>0</v>
      </c>
      <c r="F280" s="36"/>
      <c r="G280" s="37">
        <f t="shared" si="124"/>
        <v>0</v>
      </c>
      <c r="H280" s="38">
        <f t="shared" si="125"/>
        <v>0</v>
      </c>
      <c r="I280" s="39"/>
      <c r="J280" s="39"/>
      <c r="K280" s="39"/>
      <c r="L280" s="39"/>
      <c r="M280" s="39"/>
      <c r="N280" s="39"/>
      <c r="O280" s="39"/>
      <c r="P280" s="39"/>
      <c r="Q280" s="39"/>
      <c r="R280" s="39"/>
      <c r="S280" s="39"/>
      <c r="T280" s="39"/>
      <c r="U280" s="39"/>
      <c r="V280" s="39"/>
      <c r="W280" s="39"/>
      <c r="X280" s="39"/>
      <c r="Y280" s="39"/>
      <c r="Z280" s="39"/>
      <c r="AA280" s="39"/>
      <c r="AB280" s="39"/>
      <c r="AC280" s="35">
        <f t="shared" si="126"/>
        <v>0</v>
      </c>
      <c r="AD280" s="40"/>
      <c r="AE280" s="40"/>
      <c r="AF280" s="40"/>
      <c r="AG280" s="40"/>
      <c r="AH280" s="40"/>
      <c r="AI280" s="40"/>
      <c r="AJ280" s="40"/>
      <c r="AK280" s="40"/>
      <c r="AL280" s="40"/>
      <c r="AM280" s="40"/>
      <c r="AN280" s="40"/>
      <c r="AO280" s="40"/>
      <c r="AP280" s="40"/>
      <c r="AQ280" s="40"/>
      <c r="AR280" s="40"/>
      <c r="AS280" s="40"/>
      <c r="AT280" s="41"/>
      <c r="AU280" s="1806"/>
      <c r="AV280" s="1517">
        <f t="shared" si="127"/>
        <v>0</v>
      </c>
      <c r="AW280" s="1517">
        <f t="shared" si="128"/>
        <v>0</v>
      </c>
      <c r="AX280" s="1517">
        <f t="shared" si="129"/>
        <v>0</v>
      </c>
      <c r="AY280" s="42">
        <f t="shared" si="130"/>
        <v>0</v>
      </c>
      <c r="AZ280" s="35">
        <f t="shared" si="131"/>
        <v>0</v>
      </c>
      <c r="BA280" s="35">
        <f t="shared" si="132"/>
        <v>0</v>
      </c>
      <c r="BB280" s="35">
        <f t="shared" si="133"/>
        <v>0</v>
      </c>
      <c r="BC280" s="35">
        <f t="shared" si="134"/>
        <v>0</v>
      </c>
      <c r="BD280" s="35">
        <f t="shared" si="135"/>
        <v>0</v>
      </c>
      <c r="BE280" s="35">
        <f t="shared" si="136"/>
        <v>0</v>
      </c>
      <c r="BF280" s="35">
        <f t="shared" si="137"/>
        <v>0</v>
      </c>
      <c r="BG280" s="35">
        <f t="shared" si="138"/>
        <v>0</v>
      </c>
      <c r="BH280" s="35">
        <f t="shared" si="139"/>
        <v>0</v>
      </c>
      <c r="BI280" s="35">
        <f t="shared" si="140"/>
        <v>0</v>
      </c>
      <c r="BJ280" s="35">
        <f t="shared" si="141"/>
        <v>0</v>
      </c>
      <c r="BK280" s="35">
        <f t="shared" si="142"/>
        <v>0</v>
      </c>
      <c r="BL280" s="35">
        <f t="shared" si="143"/>
        <v>0</v>
      </c>
      <c r="BM280" s="35">
        <f t="shared" si="144"/>
        <v>0</v>
      </c>
      <c r="BN280" s="35">
        <f t="shared" si="145"/>
        <v>0</v>
      </c>
      <c r="BO280" s="35">
        <f t="shared" si="146"/>
        <v>0</v>
      </c>
      <c r="BP280" s="35">
        <f t="shared" si="147"/>
        <v>0</v>
      </c>
      <c r="BQ280" s="35">
        <f t="shared" si="148"/>
        <v>0</v>
      </c>
      <c r="BR280" s="35">
        <f t="shared" si="149"/>
        <v>0</v>
      </c>
      <c r="BS280" s="35">
        <f t="shared" si="150"/>
        <v>0</v>
      </c>
      <c r="BT280" s="43">
        <f t="shared" si="151"/>
        <v>0</v>
      </c>
    </row>
    <row r="281" spans="1:72">
      <c r="A281" s="9"/>
      <c r="B281" s="34"/>
      <c r="C281" s="34"/>
      <c r="D281" s="1805"/>
      <c r="E281" s="35">
        <f t="shared" si="123"/>
        <v>0</v>
      </c>
      <c r="F281" s="36"/>
      <c r="G281" s="37">
        <f t="shared" si="124"/>
        <v>0</v>
      </c>
      <c r="H281" s="38">
        <f t="shared" si="125"/>
        <v>0</v>
      </c>
      <c r="I281" s="39"/>
      <c r="J281" s="39"/>
      <c r="K281" s="39"/>
      <c r="L281" s="39"/>
      <c r="M281" s="39"/>
      <c r="N281" s="39"/>
      <c r="O281" s="39"/>
      <c r="P281" s="39"/>
      <c r="Q281" s="39"/>
      <c r="R281" s="39"/>
      <c r="S281" s="39"/>
      <c r="T281" s="39"/>
      <c r="U281" s="39"/>
      <c r="V281" s="39"/>
      <c r="W281" s="39"/>
      <c r="X281" s="39"/>
      <c r="Y281" s="39"/>
      <c r="Z281" s="39"/>
      <c r="AA281" s="39"/>
      <c r="AB281" s="39"/>
      <c r="AC281" s="35">
        <f t="shared" si="126"/>
        <v>0</v>
      </c>
      <c r="AD281" s="40"/>
      <c r="AE281" s="40"/>
      <c r="AF281" s="40"/>
      <c r="AG281" s="40"/>
      <c r="AH281" s="40"/>
      <c r="AI281" s="40"/>
      <c r="AJ281" s="40"/>
      <c r="AK281" s="40"/>
      <c r="AL281" s="40"/>
      <c r="AM281" s="40"/>
      <c r="AN281" s="40"/>
      <c r="AO281" s="40"/>
      <c r="AP281" s="40"/>
      <c r="AQ281" s="40"/>
      <c r="AR281" s="40"/>
      <c r="AS281" s="40"/>
      <c r="AT281" s="41"/>
      <c r="AU281" s="1806"/>
      <c r="AV281" s="1517">
        <f t="shared" si="127"/>
        <v>0</v>
      </c>
      <c r="AW281" s="1517">
        <f t="shared" si="128"/>
        <v>0</v>
      </c>
      <c r="AX281" s="1517">
        <f t="shared" si="129"/>
        <v>0</v>
      </c>
      <c r="AY281" s="42">
        <f t="shared" si="130"/>
        <v>0</v>
      </c>
      <c r="AZ281" s="35">
        <f t="shared" si="131"/>
        <v>0</v>
      </c>
      <c r="BA281" s="35">
        <f t="shared" si="132"/>
        <v>0</v>
      </c>
      <c r="BB281" s="35">
        <f t="shared" si="133"/>
        <v>0</v>
      </c>
      <c r="BC281" s="35">
        <f t="shared" si="134"/>
        <v>0</v>
      </c>
      <c r="BD281" s="35">
        <f t="shared" si="135"/>
        <v>0</v>
      </c>
      <c r="BE281" s="35">
        <f t="shared" si="136"/>
        <v>0</v>
      </c>
      <c r="BF281" s="35">
        <f t="shared" si="137"/>
        <v>0</v>
      </c>
      <c r="BG281" s="35">
        <f t="shared" si="138"/>
        <v>0</v>
      </c>
      <c r="BH281" s="35">
        <f t="shared" si="139"/>
        <v>0</v>
      </c>
      <c r="BI281" s="35">
        <f t="shared" si="140"/>
        <v>0</v>
      </c>
      <c r="BJ281" s="35">
        <f t="shared" si="141"/>
        <v>0</v>
      </c>
      <c r="BK281" s="35">
        <f t="shared" si="142"/>
        <v>0</v>
      </c>
      <c r="BL281" s="35">
        <f t="shared" si="143"/>
        <v>0</v>
      </c>
      <c r="BM281" s="35">
        <f t="shared" si="144"/>
        <v>0</v>
      </c>
      <c r="BN281" s="35">
        <f t="shared" si="145"/>
        <v>0</v>
      </c>
      <c r="BO281" s="35">
        <f t="shared" si="146"/>
        <v>0</v>
      </c>
      <c r="BP281" s="35">
        <f t="shared" si="147"/>
        <v>0</v>
      </c>
      <c r="BQ281" s="35">
        <f t="shared" si="148"/>
        <v>0</v>
      </c>
      <c r="BR281" s="35">
        <f t="shared" si="149"/>
        <v>0</v>
      </c>
      <c r="BS281" s="35">
        <f t="shared" si="150"/>
        <v>0</v>
      </c>
      <c r="BT281" s="43">
        <f t="shared" si="151"/>
        <v>0</v>
      </c>
    </row>
    <row r="282" spans="1:72">
      <c r="A282" s="9"/>
      <c r="B282" s="34"/>
      <c r="C282" s="34"/>
      <c r="D282" s="1805"/>
      <c r="E282" s="35">
        <f t="shared" si="123"/>
        <v>0</v>
      </c>
      <c r="F282" s="36"/>
      <c r="G282" s="37">
        <f t="shared" si="124"/>
        <v>0</v>
      </c>
      <c r="H282" s="38">
        <f t="shared" si="125"/>
        <v>0</v>
      </c>
      <c r="I282" s="39"/>
      <c r="J282" s="39"/>
      <c r="K282" s="39"/>
      <c r="L282" s="39"/>
      <c r="M282" s="39"/>
      <c r="N282" s="39"/>
      <c r="O282" s="39"/>
      <c r="P282" s="39"/>
      <c r="Q282" s="39"/>
      <c r="R282" s="39"/>
      <c r="S282" s="39"/>
      <c r="T282" s="39"/>
      <c r="U282" s="39"/>
      <c r="V282" s="39"/>
      <c r="W282" s="39"/>
      <c r="X282" s="39"/>
      <c r="Y282" s="39"/>
      <c r="Z282" s="39"/>
      <c r="AA282" s="39"/>
      <c r="AB282" s="39"/>
      <c r="AC282" s="35">
        <f t="shared" si="126"/>
        <v>0</v>
      </c>
      <c r="AD282" s="40"/>
      <c r="AE282" s="40"/>
      <c r="AF282" s="40"/>
      <c r="AG282" s="40"/>
      <c r="AH282" s="40"/>
      <c r="AI282" s="40"/>
      <c r="AJ282" s="40"/>
      <c r="AK282" s="40"/>
      <c r="AL282" s="40"/>
      <c r="AM282" s="40"/>
      <c r="AN282" s="40"/>
      <c r="AO282" s="40"/>
      <c r="AP282" s="40"/>
      <c r="AQ282" s="40"/>
      <c r="AR282" s="40"/>
      <c r="AS282" s="40"/>
      <c r="AT282" s="41"/>
      <c r="AU282" s="1806"/>
      <c r="AV282" s="1517">
        <f t="shared" si="127"/>
        <v>0</v>
      </c>
      <c r="AW282" s="1517">
        <f t="shared" si="128"/>
        <v>0</v>
      </c>
      <c r="AX282" s="1517">
        <f t="shared" si="129"/>
        <v>0</v>
      </c>
      <c r="AY282" s="42">
        <f t="shared" si="130"/>
        <v>0</v>
      </c>
      <c r="AZ282" s="35">
        <f t="shared" si="131"/>
        <v>0</v>
      </c>
      <c r="BA282" s="35">
        <f t="shared" si="132"/>
        <v>0</v>
      </c>
      <c r="BB282" s="35">
        <f t="shared" si="133"/>
        <v>0</v>
      </c>
      <c r="BC282" s="35">
        <f t="shared" si="134"/>
        <v>0</v>
      </c>
      <c r="BD282" s="35">
        <f t="shared" si="135"/>
        <v>0</v>
      </c>
      <c r="BE282" s="35">
        <f t="shared" si="136"/>
        <v>0</v>
      </c>
      <c r="BF282" s="35">
        <f t="shared" si="137"/>
        <v>0</v>
      </c>
      <c r="BG282" s="35">
        <f t="shared" si="138"/>
        <v>0</v>
      </c>
      <c r="BH282" s="35">
        <f t="shared" si="139"/>
        <v>0</v>
      </c>
      <c r="BI282" s="35">
        <f t="shared" si="140"/>
        <v>0</v>
      </c>
      <c r="BJ282" s="35">
        <f t="shared" si="141"/>
        <v>0</v>
      </c>
      <c r="BK282" s="35">
        <f t="shared" si="142"/>
        <v>0</v>
      </c>
      <c r="BL282" s="35">
        <f t="shared" si="143"/>
        <v>0</v>
      </c>
      <c r="BM282" s="35">
        <f t="shared" si="144"/>
        <v>0</v>
      </c>
      <c r="BN282" s="35">
        <f t="shared" si="145"/>
        <v>0</v>
      </c>
      <c r="BO282" s="35">
        <f t="shared" si="146"/>
        <v>0</v>
      </c>
      <c r="BP282" s="35">
        <f t="shared" si="147"/>
        <v>0</v>
      </c>
      <c r="BQ282" s="35">
        <f t="shared" si="148"/>
        <v>0</v>
      </c>
      <c r="BR282" s="35">
        <f t="shared" si="149"/>
        <v>0</v>
      </c>
      <c r="BS282" s="35">
        <f t="shared" si="150"/>
        <v>0</v>
      </c>
      <c r="BT282" s="43">
        <f t="shared" si="151"/>
        <v>0</v>
      </c>
    </row>
    <row r="283" spans="1:72">
      <c r="A283" s="9"/>
      <c r="B283" s="34"/>
      <c r="C283" s="34"/>
      <c r="D283" s="1805"/>
      <c r="E283" s="35">
        <f t="shared" si="123"/>
        <v>0</v>
      </c>
      <c r="F283" s="36"/>
      <c r="G283" s="37">
        <f t="shared" si="124"/>
        <v>0</v>
      </c>
      <c r="H283" s="38">
        <f t="shared" si="125"/>
        <v>0</v>
      </c>
      <c r="I283" s="39"/>
      <c r="J283" s="39"/>
      <c r="K283" s="39"/>
      <c r="L283" s="39"/>
      <c r="M283" s="39"/>
      <c r="N283" s="39"/>
      <c r="O283" s="39"/>
      <c r="P283" s="39"/>
      <c r="Q283" s="39"/>
      <c r="R283" s="39"/>
      <c r="S283" s="39"/>
      <c r="T283" s="39"/>
      <c r="U283" s="39"/>
      <c r="V283" s="39"/>
      <c r="W283" s="39"/>
      <c r="X283" s="39"/>
      <c r="Y283" s="39"/>
      <c r="Z283" s="39"/>
      <c r="AA283" s="39"/>
      <c r="AB283" s="39"/>
      <c r="AC283" s="35">
        <f t="shared" si="126"/>
        <v>0</v>
      </c>
      <c r="AD283" s="40"/>
      <c r="AE283" s="40"/>
      <c r="AF283" s="40"/>
      <c r="AG283" s="40"/>
      <c r="AH283" s="40"/>
      <c r="AI283" s="40"/>
      <c r="AJ283" s="40"/>
      <c r="AK283" s="40"/>
      <c r="AL283" s="40"/>
      <c r="AM283" s="40"/>
      <c r="AN283" s="40"/>
      <c r="AO283" s="40"/>
      <c r="AP283" s="40"/>
      <c r="AQ283" s="40"/>
      <c r="AR283" s="40"/>
      <c r="AS283" s="40"/>
      <c r="AT283" s="41"/>
      <c r="AU283" s="1806"/>
      <c r="AV283" s="1517">
        <f t="shared" si="127"/>
        <v>0</v>
      </c>
      <c r="AW283" s="1517">
        <f t="shared" si="128"/>
        <v>0</v>
      </c>
      <c r="AX283" s="1517">
        <f t="shared" si="129"/>
        <v>0</v>
      </c>
      <c r="AY283" s="42">
        <f t="shared" si="130"/>
        <v>0</v>
      </c>
      <c r="AZ283" s="35">
        <f t="shared" si="131"/>
        <v>0</v>
      </c>
      <c r="BA283" s="35">
        <f t="shared" si="132"/>
        <v>0</v>
      </c>
      <c r="BB283" s="35">
        <f t="shared" si="133"/>
        <v>0</v>
      </c>
      <c r="BC283" s="35">
        <f t="shared" si="134"/>
        <v>0</v>
      </c>
      <c r="BD283" s="35">
        <f t="shared" si="135"/>
        <v>0</v>
      </c>
      <c r="BE283" s="35">
        <f t="shared" si="136"/>
        <v>0</v>
      </c>
      <c r="BF283" s="35">
        <f t="shared" si="137"/>
        <v>0</v>
      </c>
      <c r="BG283" s="35">
        <f t="shared" si="138"/>
        <v>0</v>
      </c>
      <c r="BH283" s="35">
        <f t="shared" si="139"/>
        <v>0</v>
      </c>
      <c r="BI283" s="35">
        <f t="shared" si="140"/>
        <v>0</v>
      </c>
      <c r="BJ283" s="35">
        <f t="shared" si="141"/>
        <v>0</v>
      </c>
      <c r="BK283" s="35">
        <f t="shared" si="142"/>
        <v>0</v>
      </c>
      <c r="BL283" s="35">
        <f t="shared" si="143"/>
        <v>0</v>
      </c>
      <c r="BM283" s="35">
        <f t="shared" si="144"/>
        <v>0</v>
      </c>
      <c r="BN283" s="35">
        <f t="shared" si="145"/>
        <v>0</v>
      </c>
      <c r="BO283" s="35">
        <f t="shared" si="146"/>
        <v>0</v>
      </c>
      <c r="BP283" s="35">
        <f t="shared" si="147"/>
        <v>0</v>
      </c>
      <c r="BQ283" s="35">
        <f t="shared" si="148"/>
        <v>0</v>
      </c>
      <c r="BR283" s="35">
        <f t="shared" si="149"/>
        <v>0</v>
      </c>
      <c r="BS283" s="35">
        <f t="shared" si="150"/>
        <v>0</v>
      </c>
      <c r="BT283" s="43">
        <f t="shared" si="151"/>
        <v>0</v>
      </c>
    </row>
    <row r="284" spans="1:72">
      <c r="A284" s="9"/>
      <c r="B284" s="34"/>
      <c r="C284" s="34"/>
      <c r="D284" s="1805"/>
      <c r="E284" s="35">
        <f t="shared" si="123"/>
        <v>0</v>
      </c>
      <c r="F284" s="36"/>
      <c r="G284" s="37">
        <f t="shared" si="124"/>
        <v>0</v>
      </c>
      <c r="H284" s="38">
        <f t="shared" si="125"/>
        <v>0</v>
      </c>
      <c r="I284" s="39"/>
      <c r="J284" s="39"/>
      <c r="K284" s="39"/>
      <c r="L284" s="39"/>
      <c r="M284" s="39"/>
      <c r="N284" s="39"/>
      <c r="O284" s="39"/>
      <c r="P284" s="39"/>
      <c r="Q284" s="39"/>
      <c r="R284" s="39"/>
      <c r="S284" s="39"/>
      <c r="T284" s="39"/>
      <c r="U284" s="39"/>
      <c r="V284" s="39"/>
      <c r="W284" s="39"/>
      <c r="X284" s="39"/>
      <c r="Y284" s="39"/>
      <c r="Z284" s="39"/>
      <c r="AA284" s="39"/>
      <c r="AB284" s="39"/>
      <c r="AC284" s="35">
        <f t="shared" si="126"/>
        <v>0</v>
      </c>
      <c r="AD284" s="40"/>
      <c r="AE284" s="40"/>
      <c r="AF284" s="40"/>
      <c r="AG284" s="40"/>
      <c r="AH284" s="40"/>
      <c r="AI284" s="40"/>
      <c r="AJ284" s="40"/>
      <c r="AK284" s="40"/>
      <c r="AL284" s="40"/>
      <c r="AM284" s="40"/>
      <c r="AN284" s="40"/>
      <c r="AO284" s="40"/>
      <c r="AP284" s="40"/>
      <c r="AQ284" s="40"/>
      <c r="AR284" s="40"/>
      <c r="AS284" s="40"/>
      <c r="AT284" s="41"/>
      <c r="AU284" s="1806"/>
      <c r="AV284" s="1517">
        <f t="shared" si="127"/>
        <v>0</v>
      </c>
      <c r="AW284" s="1517">
        <f t="shared" si="128"/>
        <v>0</v>
      </c>
      <c r="AX284" s="1517">
        <f t="shared" si="129"/>
        <v>0</v>
      </c>
      <c r="AY284" s="42">
        <f t="shared" si="130"/>
        <v>0</v>
      </c>
      <c r="AZ284" s="35">
        <f t="shared" si="131"/>
        <v>0</v>
      </c>
      <c r="BA284" s="35">
        <f t="shared" si="132"/>
        <v>0</v>
      </c>
      <c r="BB284" s="35">
        <f t="shared" si="133"/>
        <v>0</v>
      </c>
      <c r="BC284" s="35">
        <f t="shared" si="134"/>
        <v>0</v>
      </c>
      <c r="BD284" s="35">
        <f t="shared" si="135"/>
        <v>0</v>
      </c>
      <c r="BE284" s="35">
        <f t="shared" si="136"/>
        <v>0</v>
      </c>
      <c r="BF284" s="35">
        <f t="shared" si="137"/>
        <v>0</v>
      </c>
      <c r="BG284" s="35">
        <f t="shared" si="138"/>
        <v>0</v>
      </c>
      <c r="BH284" s="35">
        <f t="shared" si="139"/>
        <v>0</v>
      </c>
      <c r="BI284" s="35">
        <f t="shared" si="140"/>
        <v>0</v>
      </c>
      <c r="BJ284" s="35">
        <f t="shared" si="141"/>
        <v>0</v>
      </c>
      <c r="BK284" s="35">
        <f t="shared" si="142"/>
        <v>0</v>
      </c>
      <c r="BL284" s="35">
        <f t="shared" si="143"/>
        <v>0</v>
      </c>
      <c r="BM284" s="35">
        <f t="shared" si="144"/>
        <v>0</v>
      </c>
      <c r="BN284" s="35">
        <f t="shared" si="145"/>
        <v>0</v>
      </c>
      <c r="BO284" s="35">
        <f t="shared" si="146"/>
        <v>0</v>
      </c>
      <c r="BP284" s="35">
        <f t="shared" si="147"/>
        <v>0</v>
      </c>
      <c r="BQ284" s="35">
        <f t="shared" si="148"/>
        <v>0</v>
      </c>
      <c r="BR284" s="35">
        <f t="shared" si="149"/>
        <v>0</v>
      </c>
      <c r="BS284" s="35">
        <f t="shared" si="150"/>
        <v>0</v>
      </c>
      <c r="BT284" s="43">
        <f t="shared" si="151"/>
        <v>0</v>
      </c>
    </row>
    <row r="285" spans="1:72">
      <c r="A285" s="9"/>
      <c r="B285" s="34"/>
      <c r="C285" s="34"/>
      <c r="D285" s="1805"/>
      <c r="E285" s="35">
        <f t="shared" si="123"/>
        <v>0</v>
      </c>
      <c r="F285" s="36"/>
      <c r="G285" s="37">
        <f t="shared" si="124"/>
        <v>0</v>
      </c>
      <c r="H285" s="38">
        <f t="shared" si="125"/>
        <v>0</v>
      </c>
      <c r="I285" s="39"/>
      <c r="J285" s="39"/>
      <c r="K285" s="39"/>
      <c r="L285" s="39"/>
      <c r="M285" s="39"/>
      <c r="N285" s="39"/>
      <c r="O285" s="39"/>
      <c r="P285" s="39"/>
      <c r="Q285" s="39"/>
      <c r="R285" s="39"/>
      <c r="S285" s="39"/>
      <c r="T285" s="39"/>
      <c r="U285" s="39"/>
      <c r="V285" s="39"/>
      <c r="W285" s="39"/>
      <c r="X285" s="39"/>
      <c r="Y285" s="39"/>
      <c r="Z285" s="39"/>
      <c r="AA285" s="39"/>
      <c r="AB285" s="39"/>
      <c r="AC285" s="35">
        <f t="shared" si="126"/>
        <v>0</v>
      </c>
      <c r="AD285" s="40"/>
      <c r="AE285" s="40"/>
      <c r="AF285" s="40"/>
      <c r="AG285" s="40"/>
      <c r="AH285" s="40"/>
      <c r="AI285" s="40"/>
      <c r="AJ285" s="40"/>
      <c r="AK285" s="40"/>
      <c r="AL285" s="40"/>
      <c r="AM285" s="40"/>
      <c r="AN285" s="40"/>
      <c r="AO285" s="40"/>
      <c r="AP285" s="40"/>
      <c r="AQ285" s="40"/>
      <c r="AR285" s="40"/>
      <c r="AS285" s="40"/>
      <c r="AT285" s="41"/>
      <c r="AU285" s="1806"/>
      <c r="AV285" s="1517">
        <f t="shared" si="127"/>
        <v>0</v>
      </c>
      <c r="AW285" s="1517">
        <f t="shared" si="128"/>
        <v>0</v>
      </c>
      <c r="AX285" s="1517">
        <f t="shared" si="129"/>
        <v>0</v>
      </c>
      <c r="AY285" s="42">
        <f t="shared" si="130"/>
        <v>0</v>
      </c>
      <c r="AZ285" s="35">
        <f t="shared" si="131"/>
        <v>0</v>
      </c>
      <c r="BA285" s="35">
        <f t="shared" si="132"/>
        <v>0</v>
      </c>
      <c r="BB285" s="35">
        <f t="shared" si="133"/>
        <v>0</v>
      </c>
      <c r="BC285" s="35">
        <f t="shared" si="134"/>
        <v>0</v>
      </c>
      <c r="BD285" s="35">
        <f t="shared" si="135"/>
        <v>0</v>
      </c>
      <c r="BE285" s="35">
        <f t="shared" si="136"/>
        <v>0</v>
      </c>
      <c r="BF285" s="35">
        <f t="shared" si="137"/>
        <v>0</v>
      </c>
      <c r="BG285" s="35">
        <f t="shared" si="138"/>
        <v>0</v>
      </c>
      <c r="BH285" s="35">
        <f t="shared" si="139"/>
        <v>0</v>
      </c>
      <c r="BI285" s="35">
        <f t="shared" si="140"/>
        <v>0</v>
      </c>
      <c r="BJ285" s="35">
        <f t="shared" si="141"/>
        <v>0</v>
      </c>
      <c r="BK285" s="35">
        <f t="shared" si="142"/>
        <v>0</v>
      </c>
      <c r="BL285" s="35">
        <f t="shared" si="143"/>
        <v>0</v>
      </c>
      <c r="BM285" s="35">
        <f t="shared" si="144"/>
        <v>0</v>
      </c>
      <c r="BN285" s="35">
        <f t="shared" si="145"/>
        <v>0</v>
      </c>
      <c r="BO285" s="35">
        <f t="shared" si="146"/>
        <v>0</v>
      </c>
      <c r="BP285" s="35">
        <f t="shared" si="147"/>
        <v>0</v>
      </c>
      <c r="BQ285" s="35">
        <f t="shared" si="148"/>
        <v>0</v>
      </c>
      <c r="BR285" s="35">
        <f t="shared" si="149"/>
        <v>0</v>
      </c>
      <c r="BS285" s="35">
        <f t="shared" si="150"/>
        <v>0</v>
      </c>
      <c r="BT285" s="43">
        <f t="shared" si="151"/>
        <v>0</v>
      </c>
    </row>
    <row r="286" spans="1:72">
      <c r="A286" s="9"/>
      <c r="B286" s="34"/>
      <c r="C286" s="34"/>
      <c r="D286" s="1805"/>
      <c r="E286" s="35">
        <f t="shared" si="123"/>
        <v>0</v>
      </c>
      <c r="F286" s="36"/>
      <c r="G286" s="37">
        <f t="shared" si="124"/>
        <v>0</v>
      </c>
      <c r="H286" s="38">
        <f t="shared" si="125"/>
        <v>0</v>
      </c>
      <c r="I286" s="39"/>
      <c r="J286" s="39"/>
      <c r="K286" s="39"/>
      <c r="L286" s="39"/>
      <c r="M286" s="39"/>
      <c r="N286" s="39"/>
      <c r="O286" s="39"/>
      <c r="P286" s="39"/>
      <c r="Q286" s="39"/>
      <c r="R286" s="39"/>
      <c r="S286" s="39"/>
      <c r="T286" s="39"/>
      <c r="U286" s="39"/>
      <c r="V286" s="39"/>
      <c r="W286" s="39"/>
      <c r="X286" s="39"/>
      <c r="Y286" s="39"/>
      <c r="Z286" s="39"/>
      <c r="AA286" s="39"/>
      <c r="AB286" s="39"/>
      <c r="AC286" s="35">
        <f t="shared" si="126"/>
        <v>0</v>
      </c>
      <c r="AD286" s="40"/>
      <c r="AE286" s="40"/>
      <c r="AF286" s="40"/>
      <c r="AG286" s="40"/>
      <c r="AH286" s="40"/>
      <c r="AI286" s="40"/>
      <c r="AJ286" s="40"/>
      <c r="AK286" s="40"/>
      <c r="AL286" s="40"/>
      <c r="AM286" s="40"/>
      <c r="AN286" s="40"/>
      <c r="AO286" s="40"/>
      <c r="AP286" s="40"/>
      <c r="AQ286" s="40"/>
      <c r="AR286" s="40"/>
      <c r="AS286" s="40"/>
      <c r="AT286" s="41"/>
      <c r="AU286" s="1806"/>
      <c r="AV286" s="1517">
        <f t="shared" si="127"/>
        <v>0</v>
      </c>
      <c r="AW286" s="1517">
        <f t="shared" si="128"/>
        <v>0</v>
      </c>
      <c r="AX286" s="1517">
        <f t="shared" si="129"/>
        <v>0</v>
      </c>
      <c r="AY286" s="42">
        <f t="shared" si="130"/>
        <v>0</v>
      </c>
      <c r="AZ286" s="35">
        <f t="shared" si="131"/>
        <v>0</v>
      </c>
      <c r="BA286" s="35">
        <f t="shared" si="132"/>
        <v>0</v>
      </c>
      <c r="BB286" s="35">
        <f t="shared" si="133"/>
        <v>0</v>
      </c>
      <c r="BC286" s="35">
        <f t="shared" si="134"/>
        <v>0</v>
      </c>
      <c r="BD286" s="35">
        <f t="shared" si="135"/>
        <v>0</v>
      </c>
      <c r="BE286" s="35">
        <f t="shared" si="136"/>
        <v>0</v>
      </c>
      <c r="BF286" s="35">
        <f t="shared" si="137"/>
        <v>0</v>
      </c>
      <c r="BG286" s="35">
        <f t="shared" si="138"/>
        <v>0</v>
      </c>
      <c r="BH286" s="35">
        <f t="shared" si="139"/>
        <v>0</v>
      </c>
      <c r="BI286" s="35">
        <f t="shared" si="140"/>
        <v>0</v>
      </c>
      <c r="BJ286" s="35">
        <f t="shared" si="141"/>
        <v>0</v>
      </c>
      <c r="BK286" s="35">
        <f t="shared" si="142"/>
        <v>0</v>
      </c>
      <c r="BL286" s="35">
        <f t="shared" si="143"/>
        <v>0</v>
      </c>
      <c r="BM286" s="35">
        <f t="shared" si="144"/>
        <v>0</v>
      </c>
      <c r="BN286" s="35">
        <f t="shared" si="145"/>
        <v>0</v>
      </c>
      <c r="BO286" s="35">
        <f t="shared" si="146"/>
        <v>0</v>
      </c>
      <c r="BP286" s="35">
        <f t="shared" si="147"/>
        <v>0</v>
      </c>
      <c r="BQ286" s="35">
        <f t="shared" si="148"/>
        <v>0</v>
      </c>
      <c r="BR286" s="35">
        <f t="shared" si="149"/>
        <v>0</v>
      </c>
      <c r="BS286" s="35">
        <f t="shared" si="150"/>
        <v>0</v>
      </c>
      <c r="BT286" s="43">
        <f t="shared" si="151"/>
        <v>0</v>
      </c>
    </row>
    <row r="287" spans="1:72">
      <c r="A287" s="9"/>
      <c r="B287" s="34"/>
      <c r="C287" s="34"/>
      <c r="D287" s="1805"/>
      <c r="E287" s="35">
        <f t="shared" si="123"/>
        <v>0</v>
      </c>
      <c r="F287" s="36"/>
      <c r="G287" s="37">
        <f t="shared" si="124"/>
        <v>0</v>
      </c>
      <c r="H287" s="38">
        <f t="shared" si="125"/>
        <v>0</v>
      </c>
      <c r="I287" s="39"/>
      <c r="J287" s="39"/>
      <c r="K287" s="39"/>
      <c r="L287" s="39"/>
      <c r="M287" s="39"/>
      <c r="N287" s="39"/>
      <c r="O287" s="39"/>
      <c r="P287" s="39"/>
      <c r="Q287" s="39"/>
      <c r="R287" s="39"/>
      <c r="S287" s="39"/>
      <c r="T287" s="39"/>
      <c r="U287" s="39"/>
      <c r="V287" s="39"/>
      <c r="W287" s="39"/>
      <c r="X287" s="39"/>
      <c r="Y287" s="39"/>
      <c r="Z287" s="39"/>
      <c r="AA287" s="39"/>
      <c r="AB287" s="39"/>
      <c r="AC287" s="35">
        <f t="shared" si="126"/>
        <v>0</v>
      </c>
      <c r="AD287" s="40"/>
      <c r="AE287" s="40"/>
      <c r="AF287" s="40"/>
      <c r="AG287" s="40"/>
      <c r="AH287" s="40"/>
      <c r="AI287" s="40"/>
      <c r="AJ287" s="40"/>
      <c r="AK287" s="40"/>
      <c r="AL287" s="40"/>
      <c r="AM287" s="40"/>
      <c r="AN287" s="40"/>
      <c r="AO287" s="40"/>
      <c r="AP287" s="40"/>
      <c r="AQ287" s="40"/>
      <c r="AR287" s="40"/>
      <c r="AS287" s="40"/>
      <c r="AT287" s="41"/>
      <c r="AU287" s="1806"/>
      <c r="AV287" s="1517">
        <f t="shared" si="127"/>
        <v>0</v>
      </c>
      <c r="AW287" s="1517">
        <f t="shared" si="128"/>
        <v>0</v>
      </c>
      <c r="AX287" s="1517">
        <f t="shared" si="129"/>
        <v>0</v>
      </c>
      <c r="AY287" s="42">
        <f t="shared" si="130"/>
        <v>0</v>
      </c>
      <c r="AZ287" s="35">
        <f t="shared" si="131"/>
        <v>0</v>
      </c>
      <c r="BA287" s="35">
        <f t="shared" si="132"/>
        <v>0</v>
      </c>
      <c r="BB287" s="35">
        <f t="shared" si="133"/>
        <v>0</v>
      </c>
      <c r="BC287" s="35">
        <f t="shared" si="134"/>
        <v>0</v>
      </c>
      <c r="BD287" s="35">
        <f t="shared" si="135"/>
        <v>0</v>
      </c>
      <c r="BE287" s="35">
        <f t="shared" si="136"/>
        <v>0</v>
      </c>
      <c r="BF287" s="35">
        <f t="shared" si="137"/>
        <v>0</v>
      </c>
      <c r="BG287" s="35">
        <f t="shared" si="138"/>
        <v>0</v>
      </c>
      <c r="BH287" s="35">
        <f t="shared" si="139"/>
        <v>0</v>
      </c>
      <c r="BI287" s="35">
        <f t="shared" si="140"/>
        <v>0</v>
      </c>
      <c r="BJ287" s="35">
        <f t="shared" si="141"/>
        <v>0</v>
      </c>
      <c r="BK287" s="35">
        <f t="shared" si="142"/>
        <v>0</v>
      </c>
      <c r="BL287" s="35">
        <f t="shared" si="143"/>
        <v>0</v>
      </c>
      <c r="BM287" s="35">
        <f t="shared" si="144"/>
        <v>0</v>
      </c>
      <c r="BN287" s="35">
        <f t="shared" si="145"/>
        <v>0</v>
      </c>
      <c r="BO287" s="35">
        <f t="shared" si="146"/>
        <v>0</v>
      </c>
      <c r="BP287" s="35">
        <f t="shared" si="147"/>
        <v>0</v>
      </c>
      <c r="BQ287" s="35">
        <f t="shared" si="148"/>
        <v>0</v>
      </c>
      <c r="BR287" s="35">
        <f t="shared" si="149"/>
        <v>0</v>
      </c>
      <c r="BS287" s="35">
        <f t="shared" si="150"/>
        <v>0</v>
      </c>
      <c r="BT287" s="43">
        <f t="shared" si="151"/>
        <v>0</v>
      </c>
    </row>
    <row r="288" spans="1:72">
      <c r="A288" s="9"/>
      <c r="B288" s="34"/>
      <c r="C288" s="34"/>
      <c r="D288" s="1805"/>
      <c r="E288" s="35">
        <f t="shared" si="123"/>
        <v>0</v>
      </c>
      <c r="F288" s="36"/>
      <c r="G288" s="37">
        <f t="shared" si="124"/>
        <v>0</v>
      </c>
      <c r="H288" s="38">
        <f t="shared" si="125"/>
        <v>0</v>
      </c>
      <c r="I288" s="39"/>
      <c r="J288" s="39"/>
      <c r="K288" s="39"/>
      <c r="L288" s="39"/>
      <c r="M288" s="39"/>
      <c r="N288" s="39"/>
      <c r="O288" s="39"/>
      <c r="P288" s="39"/>
      <c r="Q288" s="39"/>
      <c r="R288" s="39"/>
      <c r="S288" s="39"/>
      <c r="T288" s="39"/>
      <c r="U288" s="39"/>
      <c r="V288" s="39"/>
      <c r="W288" s="39"/>
      <c r="X288" s="39"/>
      <c r="Y288" s="39"/>
      <c r="Z288" s="39"/>
      <c r="AA288" s="39"/>
      <c r="AB288" s="39"/>
      <c r="AC288" s="35">
        <f t="shared" si="126"/>
        <v>0</v>
      </c>
      <c r="AD288" s="40"/>
      <c r="AE288" s="40"/>
      <c r="AF288" s="40"/>
      <c r="AG288" s="40"/>
      <c r="AH288" s="40"/>
      <c r="AI288" s="40"/>
      <c r="AJ288" s="40"/>
      <c r="AK288" s="40"/>
      <c r="AL288" s="40"/>
      <c r="AM288" s="40"/>
      <c r="AN288" s="40"/>
      <c r="AO288" s="40"/>
      <c r="AP288" s="40"/>
      <c r="AQ288" s="40"/>
      <c r="AR288" s="40"/>
      <c r="AS288" s="40"/>
      <c r="AT288" s="41"/>
      <c r="AU288" s="1806"/>
      <c r="AV288" s="1517">
        <f t="shared" si="127"/>
        <v>0</v>
      </c>
      <c r="AW288" s="1517">
        <f t="shared" si="128"/>
        <v>0</v>
      </c>
      <c r="AX288" s="1517">
        <f t="shared" si="129"/>
        <v>0</v>
      </c>
      <c r="AY288" s="42">
        <f t="shared" si="130"/>
        <v>0</v>
      </c>
      <c r="AZ288" s="35">
        <f t="shared" si="131"/>
        <v>0</v>
      </c>
      <c r="BA288" s="35">
        <f t="shared" si="132"/>
        <v>0</v>
      </c>
      <c r="BB288" s="35">
        <f t="shared" si="133"/>
        <v>0</v>
      </c>
      <c r="BC288" s="35">
        <f t="shared" si="134"/>
        <v>0</v>
      </c>
      <c r="BD288" s="35">
        <f t="shared" si="135"/>
        <v>0</v>
      </c>
      <c r="BE288" s="35">
        <f t="shared" si="136"/>
        <v>0</v>
      </c>
      <c r="BF288" s="35">
        <f t="shared" si="137"/>
        <v>0</v>
      </c>
      <c r="BG288" s="35">
        <f t="shared" si="138"/>
        <v>0</v>
      </c>
      <c r="BH288" s="35">
        <f t="shared" si="139"/>
        <v>0</v>
      </c>
      <c r="BI288" s="35">
        <f t="shared" si="140"/>
        <v>0</v>
      </c>
      <c r="BJ288" s="35">
        <f t="shared" si="141"/>
        <v>0</v>
      </c>
      <c r="BK288" s="35">
        <f t="shared" si="142"/>
        <v>0</v>
      </c>
      <c r="BL288" s="35">
        <f t="shared" si="143"/>
        <v>0</v>
      </c>
      <c r="BM288" s="35">
        <f t="shared" si="144"/>
        <v>0</v>
      </c>
      <c r="BN288" s="35">
        <f t="shared" si="145"/>
        <v>0</v>
      </c>
      <c r="BO288" s="35">
        <f t="shared" si="146"/>
        <v>0</v>
      </c>
      <c r="BP288" s="35">
        <f t="shared" si="147"/>
        <v>0</v>
      </c>
      <c r="BQ288" s="35">
        <f t="shared" si="148"/>
        <v>0</v>
      </c>
      <c r="BR288" s="35">
        <f t="shared" si="149"/>
        <v>0</v>
      </c>
      <c r="BS288" s="35">
        <f t="shared" si="150"/>
        <v>0</v>
      </c>
      <c r="BT288" s="43">
        <f t="shared" si="151"/>
        <v>0</v>
      </c>
    </row>
    <row r="289" spans="1:72">
      <c r="A289" s="9"/>
      <c r="B289" s="34"/>
      <c r="C289" s="34"/>
      <c r="D289" s="1805"/>
      <c r="E289" s="35">
        <f t="shared" si="123"/>
        <v>0</v>
      </c>
      <c r="F289" s="36"/>
      <c r="G289" s="37">
        <f t="shared" si="124"/>
        <v>0</v>
      </c>
      <c r="H289" s="38">
        <f t="shared" si="125"/>
        <v>0</v>
      </c>
      <c r="I289" s="39"/>
      <c r="J289" s="39"/>
      <c r="K289" s="39"/>
      <c r="L289" s="39"/>
      <c r="M289" s="39"/>
      <c r="N289" s="39"/>
      <c r="O289" s="39"/>
      <c r="P289" s="39"/>
      <c r="Q289" s="39"/>
      <c r="R289" s="39"/>
      <c r="S289" s="39"/>
      <c r="T289" s="39"/>
      <c r="U289" s="39"/>
      <c r="V289" s="39"/>
      <c r="W289" s="39"/>
      <c r="X289" s="39"/>
      <c r="Y289" s="39"/>
      <c r="Z289" s="39"/>
      <c r="AA289" s="39"/>
      <c r="AB289" s="39"/>
      <c r="AC289" s="35">
        <f t="shared" si="126"/>
        <v>0</v>
      </c>
      <c r="AD289" s="40"/>
      <c r="AE289" s="40"/>
      <c r="AF289" s="40"/>
      <c r="AG289" s="40"/>
      <c r="AH289" s="40"/>
      <c r="AI289" s="40"/>
      <c r="AJ289" s="40"/>
      <c r="AK289" s="40"/>
      <c r="AL289" s="40"/>
      <c r="AM289" s="40"/>
      <c r="AN289" s="40"/>
      <c r="AO289" s="40"/>
      <c r="AP289" s="40"/>
      <c r="AQ289" s="40"/>
      <c r="AR289" s="40"/>
      <c r="AS289" s="40"/>
      <c r="AT289" s="41"/>
      <c r="AU289" s="1806"/>
      <c r="AV289" s="1517">
        <f t="shared" si="127"/>
        <v>0</v>
      </c>
      <c r="AW289" s="1517">
        <f t="shared" si="128"/>
        <v>0</v>
      </c>
      <c r="AX289" s="1517">
        <f t="shared" si="129"/>
        <v>0</v>
      </c>
      <c r="AY289" s="42">
        <f t="shared" si="130"/>
        <v>0</v>
      </c>
      <c r="AZ289" s="35">
        <f t="shared" si="131"/>
        <v>0</v>
      </c>
      <c r="BA289" s="35">
        <f t="shared" si="132"/>
        <v>0</v>
      </c>
      <c r="BB289" s="35">
        <f t="shared" si="133"/>
        <v>0</v>
      </c>
      <c r="BC289" s="35">
        <f t="shared" si="134"/>
        <v>0</v>
      </c>
      <c r="BD289" s="35">
        <f t="shared" si="135"/>
        <v>0</v>
      </c>
      <c r="BE289" s="35">
        <f t="shared" si="136"/>
        <v>0</v>
      </c>
      <c r="BF289" s="35">
        <f t="shared" si="137"/>
        <v>0</v>
      </c>
      <c r="BG289" s="35">
        <f t="shared" si="138"/>
        <v>0</v>
      </c>
      <c r="BH289" s="35">
        <f t="shared" si="139"/>
        <v>0</v>
      </c>
      <c r="BI289" s="35">
        <f t="shared" si="140"/>
        <v>0</v>
      </c>
      <c r="BJ289" s="35">
        <f t="shared" si="141"/>
        <v>0</v>
      </c>
      <c r="BK289" s="35">
        <f t="shared" si="142"/>
        <v>0</v>
      </c>
      <c r="BL289" s="35">
        <f t="shared" si="143"/>
        <v>0</v>
      </c>
      <c r="BM289" s="35">
        <f t="shared" si="144"/>
        <v>0</v>
      </c>
      <c r="BN289" s="35">
        <f t="shared" si="145"/>
        <v>0</v>
      </c>
      <c r="BO289" s="35">
        <f t="shared" si="146"/>
        <v>0</v>
      </c>
      <c r="BP289" s="35">
        <f t="shared" si="147"/>
        <v>0</v>
      </c>
      <c r="BQ289" s="35">
        <f t="shared" si="148"/>
        <v>0</v>
      </c>
      <c r="BR289" s="35">
        <f t="shared" si="149"/>
        <v>0</v>
      </c>
      <c r="BS289" s="35">
        <f t="shared" si="150"/>
        <v>0</v>
      </c>
      <c r="BT289" s="43">
        <f t="shared" si="151"/>
        <v>0</v>
      </c>
    </row>
    <row r="290" spans="1:72">
      <c r="A290" s="9"/>
      <c r="B290" s="34"/>
      <c r="C290" s="34"/>
      <c r="D290" s="1805"/>
      <c r="E290" s="35">
        <f t="shared" si="123"/>
        <v>0</v>
      </c>
      <c r="F290" s="36"/>
      <c r="G290" s="37">
        <f t="shared" si="124"/>
        <v>0</v>
      </c>
      <c r="H290" s="38">
        <f t="shared" si="125"/>
        <v>0</v>
      </c>
      <c r="I290" s="39"/>
      <c r="J290" s="39"/>
      <c r="K290" s="39"/>
      <c r="L290" s="39"/>
      <c r="M290" s="39"/>
      <c r="N290" s="39"/>
      <c r="O290" s="39"/>
      <c r="P290" s="39"/>
      <c r="Q290" s="39"/>
      <c r="R290" s="39"/>
      <c r="S290" s="39"/>
      <c r="T290" s="39"/>
      <c r="U290" s="39"/>
      <c r="V290" s="39"/>
      <c r="W290" s="39"/>
      <c r="X290" s="39"/>
      <c r="Y290" s="39"/>
      <c r="Z290" s="39"/>
      <c r="AA290" s="39"/>
      <c r="AB290" s="39"/>
      <c r="AC290" s="35">
        <f t="shared" si="126"/>
        <v>0</v>
      </c>
      <c r="AD290" s="40"/>
      <c r="AE290" s="40"/>
      <c r="AF290" s="40"/>
      <c r="AG290" s="40"/>
      <c r="AH290" s="40"/>
      <c r="AI290" s="40"/>
      <c r="AJ290" s="40"/>
      <c r="AK290" s="40"/>
      <c r="AL290" s="40"/>
      <c r="AM290" s="40"/>
      <c r="AN290" s="40"/>
      <c r="AO290" s="40"/>
      <c r="AP290" s="40"/>
      <c r="AQ290" s="40"/>
      <c r="AR290" s="40"/>
      <c r="AS290" s="40"/>
      <c r="AT290" s="41"/>
      <c r="AU290" s="1806"/>
      <c r="AV290" s="1517">
        <f t="shared" si="127"/>
        <v>0</v>
      </c>
      <c r="AW290" s="1517">
        <f t="shared" si="128"/>
        <v>0</v>
      </c>
      <c r="AX290" s="1517">
        <f t="shared" si="129"/>
        <v>0</v>
      </c>
      <c r="AY290" s="42">
        <f t="shared" si="130"/>
        <v>0</v>
      </c>
      <c r="AZ290" s="35">
        <f t="shared" si="131"/>
        <v>0</v>
      </c>
      <c r="BA290" s="35">
        <f t="shared" si="132"/>
        <v>0</v>
      </c>
      <c r="BB290" s="35">
        <f t="shared" si="133"/>
        <v>0</v>
      </c>
      <c r="BC290" s="35">
        <f t="shared" si="134"/>
        <v>0</v>
      </c>
      <c r="BD290" s="35">
        <f t="shared" si="135"/>
        <v>0</v>
      </c>
      <c r="BE290" s="35">
        <f t="shared" si="136"/>
        <v>0</v>
      </c>
      <c r="BF290" s="35">
        <f t="shared" si="137"/>
        <v>0</v>
      </c>
      <c r="BG290" s="35">
        <f t="shared" si="138"/>
        <v>0</v>
      </c>
      <c r="BH290" s="35">
        <f t="shared" si="139"/>
        <v>0</v>
      </c>
      <c r="BI290" s="35">
        <f t="shared" si="140"/>
        <v>0</v>
      </c>
      <c r="BJ290" s="35">
        <f t="shared" si="141"/>
        <v>0</v>
      </c>
      <c r="BK290" s="35">
        <f t="shared" si="142"/>
        <v>0</v>
      </c>
      <c r="BL290" s="35">
        <f t="shared" si="143"/>
        <v>0</v>
      </c>
      <c r="BM290" s="35">
        <f t="shared" si="144"/>
        <v>0</v>
      </c>
      <c r="BN290" s="35">
        <f t="shared" si="145"/>
        <v>0</v>
      </c>
      <c r="BO290" s="35">
        <f t="shared" si="146"/>
        <v>0</v>
      </c>
      <c r="BP290" s="35">
        <f t="shared" si="147"/>
        <v>0</v>
      </c>
      <c r="BQ290" s="35">
        <f t="shared" si="148"/>
        <v>0</v>
      </c>
      <c r="BR290" s="35">
        <f t="shared" si="149"/>
        <v>0</v>
      </c>
      <c r="BS290" s="35">
        <f t="shared" si="150"/>
        <v>0</v>
      </c>
      <c r="BT290" s="43">
        <f t="shared" si="151"/>
        <v>0</v>
      </c>
    </row>
    <row r="291" spans="1:72">
      <c r="A291" s="9"/>
      <c r="B291" s="34"/>
      <c r="C291" s="34"/>
      <c r="D291" s="1805"/>
      <c r="E291" s="35">
        <f t="shared" si="123"/>
        <v>0</v>
      </c>
      <c r="F291" s="36"/>
      <c r="G291" s="37">
        <f t="shared" si="124"/>
        <v>0</v>
      </c>
      <c r="H291" s="38">
        <f t="shared" si="125"/>
        <v>0</v>
      </c>
      <c r="I291" s="39"/>
      <c r="J291" s="39"/>
      <c r="K291" s="39"/>
      <c r="L291" s="39"/>
      <c r="M291" s="39"/>
      <c r="N291" s="39"/>
      <c r="O291" s="39"/>
      <c r="P291" s="39"/>
      <c r="Q291" s="39"/>
      <c r="R291" s="39"/>
      <c r="S291" s="39"/>
      <c r="T291" s="39"/>
      <c r="U291" s="39"/>
      <c r="V291" s="39"/>
      <c r="W291" s="39"/>
      <c r="X291" s="39"/>
      <c r="Y291" s="39"/>
      <c r="Z291" s="39"/>
      <c r="AA291" s="39"/>
      <c r="AB291" s="39"/>
      <c r="AC291" s="35">
        <f t="shared" si="126"/>
        <v>0</v>
      </c>
      <c r="AD291" s="40"/>
      <c r="AE291" s="40"/>
      <c r="AF291" s="40"/>
      <c r="AG291" s="40"/>
      <c r="AH291" s="40"/>
      <c r="AI291" s="40"/>
      <c r="AJ291" s="40"/>
      <c r="AK291" s="40"/>
      <c r="AL291" s="40"/>
      <c r="AM291" s="40"/>
      <c r="AN291" s="40"/>
      <c r="AO291" s="40"/>
      <c r="AP291" s="40"/>
      <c r="AQ291" s="40"/>
      <c r="AR291" s="40"/>
      <c r="AS291" s="40"/>
      <c r="AT291" s="41"/>
      <c r="AU291" s="1806"/>
      <c r="AV291" s="1517">
        <f t="shared" si="127"/>
        <v>0</v>
      </c>
      <c r="AW291" s="1517">
        <f t="shared" si="128"/>
        <v>0</v>
      </c>
      <c r="AX291" s="1517">
        <f t="shared" si="129"/>
        <v>0</v>
      </c>
      <c r="AY291" s="42">
        <f t="shared" si="130"/>
        <v>0</v>
      </c>
      <c r="AZ291" s="35">
        <f t="shared" si="131"/>
        <v>0</v>
      </c>
      <c r="BA291" s="35">
        <f t="shared" si="132"/>
        <v>0</v>
      </c>
      <c r="BB291" s="35">
        <f t="shared" si="133"/>
        <v>0</v>
      </c>
      <c r="BC291" s="35">
        <f t="shared" si="134"/>
        <v>0</v>
      </c>
      <c r="BD291" s="35">
        <f t="shared" si="135"/>
        <v>0</v>
      </c>
      <c r="BE291" s="35">
        <f t="shared" si="136"/>
        <v>0</v>
      </c>
      <c r="BF291" s="35">
        <f t="shared" si="137"/>
        <v>0</v>
      </c>
      <c r="BG291" s="35">
        <f t="shared" si="138"/>
        <v>0</v>
      </c>
      <c r="BH291" s="35">
        <f t="shared" si="139"/>
        <v>0</v>
      </c>
      <c r="BI291" s="35">
        <f t="shared" si="140"/>
        <v>0</v>
      </c>
      <c r="BJ291" s="35">
        <f t="shared" si="141"/>
        <v>0</v>
      </c>
      <c r="BK291" s="35">
        <f t="shared" si="142"/>
        <v>0</v>
      </c>
      <c r="BL291" s="35">
        <f t="shared" si="143"/>
        <v>0</v>
      </c>
      <c r="BM291" s="35">
        <f t="shared" si="144"/>
        <v>0</v>
      </c>
      <c r="BN291" s="35">
        <f t="shared" si="145"/>
        <v>0</v>
      </c>
      <c r="BO291" s="35">
        <f t="shared" si="146"/>
        <v>0</v>
      </c>
      <c r="BP291" s="35">
        <f t="shared" si="147"/>
        <v>0</v>
      </c>
      <c r="BQ291" s="35">
        <f t="shared" si="148"/>
        <v>0</v>
      </c>
      <c r="BR291" s="35">
        <f t="shared" si="149"/>
        <v>0</v>
      </c>
      <c r="BS291" s="35">
        <f t="shared" si="150"/>
        <v>0</v>
      </c>
      <c r="BT291" s="43">
        <f t="shared" si="151"/>
        <v>0</v>
      </c>
    </row>
    <row r="292" spans="1:72">
      <c r="A292" s="9"/>
      <c r="B292" s="34"/>
      <c r="C292" s="34"/>
      <c r="D292" s="1805"/>
      <c r="E292" s="35">
        <f t="shared" si="123"/>
        <v>0</v>
      </c>
      <c r="F292" s="36"/>
      <c r="G292" s="37">
        <f t="shared" si="124"/>
        <v>0</v>
      </c>
      <c r="H292" s="38">
        <f t="shared" si="125"/>
        <v>0</v>
      </c>
      <c r="I292" s="39"/>
      <c r="J292" s="39"/>
      <c r="K292" s="39"/>
      <c r="L292" s="39"/>
      <c r="M292" s="39"/>
      <c r="N292" s="39"/>
      <c r="O292" s="39"/>
      <c r="P292" s="39"/>
      <c r="Q292" s="39"/>
      <c r="R292" s="39"/>
      <c r="S292" s="39"/>
      <c r="T292" s="39"/>
      <c r="U292" s="39"/>
      <c r="V292" s="39"/>
      <c r="W292" s="39"/>
      <c r="X292" s="39"/>
      <c r="Y292" s="39"/>
      <c r="Z292" s="39"/>
      <c r="AA292" s="39"/>
      <c r="AB292" s="39"/>
      <c r="AC292" s="35">
        <f t="shared" si="126"/>
        <v>0</v>
      </c>
      <c r="AD292" s="40"/>
      <c r="AE292" s="40"/>
      <c r="AF292" s="40"/>
      <c r="AG292" s="40"/>
      <c r="AH292" s="40"/>
      <c r="AI292" s="40"/>
      <c r="AJ292" s="40"/>
      <c r="AK292" s="40"/>
      <c r="AL292" s="40"/>
      <c r="AM292" s="40"/>
      <c r="AN292" s="40"/>
      <c r="AO292" s="40"/>
      <c r="AP292" s="40"/>
      <c r="AQ292" s="40"/>
      <c r="AR292" s="40"/>
      <c r="AS292" s="40"/>
      <c r="AT292" s="41"/>
      <c r="AU292" s="1806"/>
      <c r="AV292" s="1517">
        <f t="shared" si="127"/>
        <v>0</v>
      </c>
      <c r="AW292" s="1517">
        <f t="shared" si="128"/>
        <v>0</v>
      </c>
      <c r="AX292" s="1517">
        <f t="shared" si="129"/>
        <v>0</v>
      </c>
      <c r="AY292" s="42">
        <f t="shared" si="130"/>
        <v>0</v>
      </c>
      <c r="AZ292" s="35">
        <f t="shared" si="131"/>
        <v>0</v>
      </c>
      <c r="BA292" s="35">
        <f t="shared" si="132"/>
        <v>0</v>
      </c>
      <c r="BB292" s="35">
        <f t="shared" si="133"/>
        <v>0</v>
      </c>
      <c r="BC292" s="35">
        <f t="shared" si="134"/>
        <v>0</v>
      </c>
      <c r="BD292" s="35">
        <f t="shared" si="135"/>
        <v>0</v>
      </c>
      <c r="BE292" s="35">
        <f t="shared" si="136"/>
        <v>0</v>
      </c>
      <c r="BF292" s="35">
        <f t="shared" si="137"/>
        <v>0</v>
      </c>
      <c r="BG292" s="35">
        <f t="shared" si="138"/>
        <v>0</v>
      </c>
      <c r="BH292" s="35">
        <f t="shared" si="139"/>
        <v>0</v>
      </c>
      <c r="BI292" s="35">
        <f t="shared" si="140"/>
        <v>0</v>
      </c>
      <c r="BJ292" s="35">
        <f t="shared" si="141"/>
        <v>0</v>
      </c>
      <c r="BK292" s="35">
        <f t="shared" si="142"/>
        <v>0</v>
      </c>
      <c r="BL292" s="35">
        <f t="shared" si="143"/>
        <v>0</v>
      </c>
      <c r="BM292" s="35">
        <f t="shared" si="144"/>
        <v>0</v>
      </c>
      <c r="BN292" s="35">
        <f t="shared" si="145"/>
        <v>0</v>
      </c>
      <c r="BO292" s="35">
        <f t="shared" si="146"/>
        <v>0</v>
      </c>
      <c r="BP292" s="35">
        <f t="shared" si="147"/>
        <v>0</v>
      </c>
      <c r="BQ292" s="35">
        <f t="shared" si="148"/>
        <v>0</v>
      </c>
      <c r="BR292" s="35">
        <f t="shared" si="149"/>
        <v>0</v>
      </c>
      <c r="BS292" s="35">
        <f t="shared" si="150"/>
        <v>0</v>
      </c>
      <c r="BT292" s="43">
        <f t="shared" si="151"/>
        <v>0</v>
      </c>
    </row>
    <row r="293" spans="1:72">
      <c r="A293" s="9"/>
      <c r="B293" s="34"/>
      <c r="C293" s="34"/>
      <c r="D293" s="1805"/>
      <c r="E293" s="35">
        <f t="shared" si="123"/>
        <v>0</v>
      </c>
      <c r="F293" s="36"/>
      <c r="G293" s="37">
        <f t="shared" si="124"/>
        <v>0</v>
      </c>
      <c r="H293" s="38">
        <f t="shared" si="125"/>
        <v>0</v>
      </c>
      <c r="I293" s="39"/>
      <c r="J293" s="39"/>
      <c r="K293" s="39"/>
      <c r="L293" s="39"/>
      <c r="M293" s="39"/>
      <c r="N293" s="39"/>
      <c r="O293" s="39"/>
      <c r="P293" s="39"/>
      <c r="Q293" s="39"/>
      <c r="R293" s="39"/>
      <c r="S293" s="39"/>
      <c r="T293" s="39"/>
      <c r="U293" s="39"/>
      <c r="V293" s="39"/>
      <c r="W293" s="39"/>
      <c r="X293" s="39"/>
      <c r="Y293" s="39"/>
      <c r="Z293" s="39"/>
      <c r="AA293" s="39"/>
      <c r="AB293" s="39"/>
      <c r="AC293" s="35">
        <f t="shared" si="126"/>
        <v>0</v>
      </c>
      <c r="AD293" s="40"/>
      <c r="AE293" s="40"/>
      <c r="AF293" s="40"/>
      <c r="AG293" s="40"/>
      <c r="AH293" s="40"/>
      <c r="AI293" s="40"/>
      <c r="AJ293" s="40"/>
      <c r="AK293" s="40"/>
      <c r="AL293" s="40"/>
      <c r="AM293" s="40"/>
      <c r="AN293" s="40"/>
      <c r="AO293" s="40"/>
      <c r="AP293" s="40"/>
      <c r="AQ293" s="40"/>
      <c r="AR293" s="40"/>
      <c r="AS293" s="40"/>
      <c r="AT293" s="41"/>
      <c r="AU293" s="1806"/>
      <c r="AV293" s="1517">
        <f t="shared" si="127"/>
        <v>0</v>
      </c>
      <c r="AW293" s="1517">
        <f t="shared" si="128"/>
        <v>0</v>
      </c>
      <c r="AX293" s="1517">
        <f t="shared" si="129"/>
        <v>0</v>
      </c>
      <c r="AY293" s="42">
        <f t="shared" si="130"/>
        <v>0</v>
      </c>
      <c r="AZ293" s="35">
        <f t="shared" si="131"/>
        <v>0</v>
      </c>
      <c r="BA293" s="35">
        <f t="shared" si="132"/>
        <v>0</v>
      </c>
      <c r="BB293" s="35">
        <f t="shared" si="133"/>
        <v>0</v>
      </c>
      <c r="BC293" s="35">
        <f t="shared" si="134"/>
        <v>0</v>
      </c>
      <c r="BD293" s="35">
        <f t="shared" si="135"/>
        <v>0</v>
      </c>
      <c r="BE293" s="35">
        <f t="shared" si="136"/>
        <v>0</v>
      </c>
      <c r="BF293" s="35">
        <f t="shared" si="137"/>
        <v>0</v>
      </c>
      <c r="BG293" s="35">
        <f t="shared" si="138"/>
        <v>0</v>
      </c>
      <c r="BH293" s="35">
        <f t="shared" si="139"/>
        <v>0</v>
      </c>
      <c r="BI293" s="35">
        <f t="shared" si="140"/>
        <v>0</v>
      </c>
      <c r="BJ293" s="35">
        <f t="shared" si="141"/>
        <v>0</v>
      </c>
      <c r="BK293" s="35">
        <f t="shared" si="142"/>
        <v>0</v>
      </c>
      <c r="BL293" s="35">
        <f t="shared" si="143"/>
        <v>0</v>
      </c>
      <c r="BM293" s="35">
        <f t="shared" si="144"/>
        <v>0</v>
      </c>
      <c r="BN293" s="35">
        <f t="shared" si="145"/>
        <v>0</v>
      </c>
      <c r="BO293" s="35">
        <f t="shared" si="146"/>
        <v>0</v>
      </c>
      <c r="BP293" s="35">
        <f t="shared" si="147"/>
        <v>0</v>
      </c>
      <c r="BQ293" s="35">
        <f t="shared" si="148"/>
        <v>0</v>
      </c>
      <c r="BR293" s="35">
        <f t="shared" si="149"/>
        <v>0</v>
      </c>
      <c r="BS293" s="35">
        <f t="shared" si="150"/>
        <v>0</v>
      </c>
      <c r="BT293" s="43">
        <f t="shared" si="151"/>
        <v>0</v>
      </c>
    </row>
    <row r="294" spans="1:72">
      <c r="A294" s="9"/>
      <c r="B294" s="34"/>
      <c r="C294" s="34"/>
      <c r="D294" s="1805"/>
      <c r="E294" s="35">
        <f t="shared" si="123"/>
        <v>0</v>
      </c>
      <c r="F294" s="36"/>
      <c r="G294" s="37">
        <f t="shared" si="124"/>
        <v>0</v>
      </c>
      <c r="H294" s="38">
        <f t="shared" si="125"/>
        <v>0</v>
      </c>
      <c r="I294" s="39"/>
      <c r="J294" s="39"/>
      <c r="K294" s="39"/>
      <c r="L294" s="39"/>
      <c r="M294" s="39"/>
      <c r="N294" s="39"/>
      <c r="O294" s="39"/>
      <c r="P294" s="39"/>
      <c r="Q294" s="39"/>
      <c r="R294" s="39"/>
      <c r="S294" s="39"/>
      <c r="T294" s="39"/>
      <c r="U294" s="39"/>
      <c r="V294" s="39"/>
      <c r="W294" s="39"/>
      <c r="X294" s="39"/>
      <c r="Y294" s="39"/>
      <c r="Z294" s="39"/>
      <c r="AA294" s="39"/>
      <c r="AB294" s="39"/>
      <c r="AC294" s="35">
        <f t="shared" si="126"/>
        <v>0</v>
      </c>
      <c r="AD294" s="40"/>
      <c r="AE294" s="40"/>
      <c r="AF294" s="40"/>
      <c r="AG294" s="40"/>
      <c r="AH294" s="40"/>
      <c r="AI294" s="40"/>
      <c r="AJ294" s="40"/>
      <c r="AK294" s="40"/>
      <c r="AL294" s="40"/>
      <c r="AM294" s="40"/>
      <c r="AN294" s="40"/>
      <c r="AO294" s="40"/>
      <c r="AP294" s="40"/>
      <c r="AQ294" s="40"/>
      <c r="AR294" s="40"/>
      <c r="AS294" s="40"/>
      <c r="AT294" s="41"/>
      <c r="AU294" s="1806"/>
      <c r="AV294" s="1517">
        <f t="shared" si="127"/>
        <v>0</v>
      </c>
      <c r="AW294" s="1517">
        <f t="shared" si="128"/>
        <v>0</v>
      </c>
      <c r="AX294" s="1517">
        <f t="shared" si="129"/>
        <v>0</v>
      </c>
      <c r="AY294" s="42">
        <f t="shared" si="130"/>
        <v>0</v>
      </c>
      <c r="AZ294" s="35">
        <f t="shared" si="131"/>
        <v>0</v>
      </c>
      <c r="BA294" s="35">
        <f t="shared" si="132"/>
        <v>0</v>
      </c>
      <c r="BB294" s="35">
        <f t="shared" si="133"/>
        <v>0</v>
      </c>
      <c r="BC294" s="35">
        <f t="shared" si="134"/>
        <v>0</v>
      </c>
      <c r="BD294" s="35">
        <f t="shared" si="135"/>
        <v>0</v>
      </c>
      <c r="BE294" s="35">
        <f t="shared" si="136"/>
        <v>0</v>
      </c>
      <c r="BF294" s="35">
        <f t="shared" si="137"/>
        <v>0</v>
      </c>
      <c r="BG294" s="35">
        <f t="shared" si="138"/>
        <v>0</v>
      </c>
      <c r="BH294" s="35">
        <f t="shared" si="139"/>
        <v>0</v>
      </c>
      <c r="BI294" s="35">
        <f t="shared" si="140"/>
        <v>0</v>
      </c>
      <c r="BJ294" s="35">
        <f t="shared" si="141"/>
        <v>0</v>
      </c>
      <c r="BK294" s="35">
        <f t="shared" si="142"/>
        <v>0</v>
      </c>
      <c r="BL294" s="35">
        <f t="shared" si="143"/>
        <v>0</v>
      </c>
      <c r="BM294" s="35">
        <f t="shared" si="144"/>
        <v>0</v>
      </c>
      <c r="BN294" s="35">
        <f t="shared" si="145"/>
        <v>0</v>
      </c>
      <c r="BO294" s="35">
        <f t="shared" si="146"/>
        <v>0</v>
      </c>
      <c r="BP294" s="35">
        <f t="shared" si="147"/>
        <v>0</v>
      </c>
      <c r="BQ294" s="35">
        <f t="shared" si="148"/>
        <v>0</v>
      </c>
      <c r="BR294" s="35">
        <f t="shared" si="149"/>
        <v>0</v>
      </c>
      <c r="BS294" s="35">
        <f t="shared" si="150"/>
        <v>0</v>
      </c>
      <c r="BT294" s="43">
        <f t="shared" si="151"/>
        <v>0</v>
      </c>
    </row>
    <row r="295" spans="1:72">
      <c r="A295" s="9"/>
      <c r="B295" s="34"/>
      <c r="C295" s="34"/>
      <c r="D295" s="1805"/>
      <c r="E295" s="35">
        <f t="shared" si="123"/>
        <v>0</v>
      </c>
      <c r="F295" s="36"/>
      <c r="G295" s="37">
        <f t="shared" si="124"/>
        <v>0</v>
      </c>
      <c r="H295" s="38">
        <f t="shared" si="125"/>
        <v>0</v>
      </c>
      <c r="I295" s="39"/>
      <c r="J295" s="39"/>
      <c r="K295" s="39"/>
      <c r="L295" s="39"/>
      <c r="M295" s="39"/>
      <c r="N295" s="39"/>
      <c r="O295" s="39"/>
      <c r="P295" s="39"/>
      <c r="Q295" s="39"/>
      <c r="R295" s="39"/>
      <c r="S295" s="39"/>
      <c r="T295" s="39"/>
      <c r="U295" s="39"/>
      <c r="V295" s="39"/>
      <c r="W295" s="39"/>
      <c r="X295" s="39"/>
      <c r="Y295" s="39"/>
      <c r="Z295" s="39"/>
      <c r="AA295" s="39"/>
      <c r="AB295" s="39"/>
      <c r="AC295" s="35">
        <f t="shared" si="126"/>
        <v>0</v>
      </c>
      <c r="AD295" s="40"/>
      <c r="AE295" s="40"/>
      <c r="AF295" s="40"/>
      <c r="AG295" s="40"/>
      <c r="AH295" s="40"/>
      <c r="AI295" s="40"/>
      <c r="AJ295" s="40"/>
      <c r="AK295" s="40"/>
      <c r="AL295" s="40"/>
      <c r="AM295" s="40"/>
      <c r="AN295" s="40"/>
      <c r="AO295" s="40"/>
      <c r="AP295" s="40"/>
      <c r="AQ295" s="40"/>
      <c r="AR295" s="40"/>
      <c r="AS295" s="40"/>
      <c r="AT295" s="41"/>
      <c r="AU295" s="1806"/>
      <c r="AV295" s="1517">
        <f t="shared" si="127"/>
        <v>0</v>
      </c>
      <c r="AW295" s="1517">
        <f t="shared" si="128"/>
        <v>0</v>
      </c>
      <c r="AX295" s="1517">
        <f t="shared" si="129"/>
        <v>0</v>
      </c>
      <c r="AY295" s="42">
        <f t="shared" si="130"/>
        <v>0</v>
      </c>
      <c r="AZ295" s="35">
        <f t="shared" si="131"/>
        <v>0</v>
      </c>
      <c r="BA295" s="35">
        <f t="shared" si="132"/>
        <v>0</v>
      </c>
      <c r="BB295" s="35">
        <f t="shared" si="133"/>
        <v>0</v>
      </c>
      <c r="BC295" s="35">
        <f t="shared" si="134"/>
        <v>0</v>
      </c>
      <c r="BD295" s="35">
        <f t="shared" si="135"/>
        <v>0</v>
      </c>
      <c r="BE295" s="35">
        <f t="shared" si="136"/>
        <v>0</v>
      </c>
      <c r="BF295" s="35">
        <f t="shared" si="137"/>
        <v>0</v>
      </c>
      <c r="BG295" s="35">
        <f t="shared" si="138"/>
        <v>0</v>
      </c>
      <c r="BH295" s="35">
        <f t="shared" si="139"/>
        <v>0</v>
      </c>
      <c r="BI295" s="35">
        <f t="shared" si="140"/>
        <v>0</v>
      </c>
      <c r="BJ295" s="35">
        <f t="shared" si="141"/>
        <v>0</v>
      </c>
      <c r="BK295" s="35">
        <f t="shared" si="142"/>
        <v>0</v>
      </c>
      <c r="BL295" s="35">
        <f t="shared" si="143"/>
        <v>0</v>
      </c>
      <c r="BM295" s="35">
        <f t="shared" si="144"/>
        <v>0</v>
      </c>
      <c r="BN295" s="35">
        <f t="shared" si="145"/>
        <v>0</v>
      </c>
      <c r="BO295" s="35">
        <f t="shared" si="146"/>
        <v>0</v>
      </c>
      <c r="BP295" s="35">
        <f t="shared" si="147"/>
        <v>0</v>
      </c>
      <c r="BQ295" s="35">
        <f t="shared" si="148"/>
        <v>0</v>
      </c>
      <c r="BR295" s="35">
        <f t="shared" si="149"/>
        <v>0</v>
      </c>
      <c r="BS295" s="35">
        <f t="shared" si="150"/>
        <v>0</v>
      </c>
      <c r="BT295" s="43">
        <f t="shared" si="151"/>
        <v>0</v>
      </c>
    </row>
    <row r="296" spans="1:72">
      <c r="A296" s="9"/>
      <c r="B296" s="34"/>
      <c r="C296" s="34"/>
      <c r="D296" s="1805"/>
      <c r="E296" s="35">
        <f t="shared" si="123"/>
        <v>0</v>
      </c>
      <c r="F296" s="36"/>
      <c r="G296" s="37">
        <f t="shared" si="124"/>
        <v>0</v>
      </c>
      <c r="H296" s="38">
        <f t="shared" si="125"/>
        <v>0</v>
      </c>
      <c r="I296" s="39"/>
      <c r="J296" s="39"/>
      <c r="K296" s="39"/>
      <c r="L296" s="39"/>
      <c r="M296" s="39"/>
      <c r="N296" s="39"/>
      <c r="O296" s="39"/>
      <c r="P296" s="39"/>
      <c r="Q296" s="39"/>
      <c r="R296" s="39"/>
      <c r="S296" s="39"/>
      <c r="T296" s="39"/>
      <c r="U296" s="39"/>
      <c r="V296" s="39"/>
      <c r="W296" s="39"/>
      <c r="X296" s="39"/>
      <c r="Y296" s="39"/>
      <c r="Z296" s="39"/>
      <c r="AA296" s="39"/>
      <c r="AB296" s="39"/>
      <c r="AC296" s="35">
        <f t="shared" si="126"/>
        <v>0</v>
      </c>
      <c r="AD296" s="40"/>
      <c r="AE296" s="40"/>
      <c r="AF296" s="40"/>
      <c r="AG296" s="40"/>
      <c r="AH296" s="40"/>
      <c r="AI296" s="40"/>
      <c r="AJ296" s="40"/>
      <c r="AK296" s="40"/>
      <c r="AL296" s="40"/>
      <c r="AM296" s="40"/>
      <c r="AN296" s="40"/>
      <c r="AO296" s="40"/>
      <c r="AP296" s="40"/>
      <c r="AQ296" s="40"/>
      <c r="AR296" s="40"/>
      <c r="AS296" s="40"/>
      <c r="AT296" s="41"/>
      <c r="AU296" s="1806"/>
      <c r="AV296" s="1517">
        <f t="shared" si="127"/>
        <v>0</v>
      </c>
      <c r="AW296" s="1517">
        <f t="shared" si="128"/>
        <v>0</v>
      </c>
      <c r="AX296" s="1517">
        <f t="shared" si="129"/>
        <v>0</v>
      </c>
      <c r="AY296" s="42">
        <f t="shared" si="130"/>
        <v>0</v>
      </c>
      <c r="AZ296" s="35">
        <f t="shared" si="131"/>
        <v>0</v>
      </c>
      <c r="BA296" s="35">
        <f t="shared" si="132"/>
        <v>0</v>
      </c>
      <c r="BB296" s="35">
        <f t="shared" si="133"/>
        <v>0</v>
      </c>
      <c r="BC296" s="35">
        <f t="shared" si="134"/>
        <v>0</v>
      </c>
      <c r="BD296" s="35">
        <f t="shared" si="135"/>
        <v>0</v>
      </c>
      <c r="BE296" s="35">
        <f t="shared" si="136"/>
        <v>0</v>
      </c>
      <c r="BF296" s="35">
        <f t="shared" si="137"/>
        <v>0</v>
      </c>
      <c r="BG296" s="35">
        <f t="shared" si="138"/>
        <v>0</v>
      </c>
      <c r="BH296" s="35">
        <f t="shared" si="139"/>
        <v>0</v>
      </c>
      <c r="BI296" s="35">
        <f t="shared" si="140"/>
        <v>0</v>
      </c>
      <c r="BJ296" s="35">
        <f t="shared" si="141"/>
        <v>0</v>
      </c>
      <c r="BK296" s="35">
        <f t="shared" si="142"/>
        <v>0</v>
      </c>
      <c r="BL296" s="35">
        <f t="shared" si="143"/>
        <v>0</v>
      </c>
      <c r="BM296" s="35">
        <f t="shared" si="144"/>
        <v>0</v>
      </c>
      <c r="BN296" s="35">
        <f t="shared" si="145"/>
        <v>0</v>
      </c>
      <c r="BO296" s="35">
        <f t="shared" si="146"/>
        <v>0</v>
      </c>
      <c r="BP296" s="35">
        <f t="shared" si="147"/>
        <v>0</v>
      </c>
      <c r="BQ296" s="35">
        <f t="shared" si="148"/>
        <v>0</v>
      </c>
      <c r="BR296" s="35">
        <f t="shared" si="149"/>
        <v>0</v>
      </c>
      <c r="BS296" s="35">
        <f t="shared" si="150"/>
        <v>0</v>
      </c>
      <c r="BT296" s="43">
        <f t="shared" si="151"/>
        <v>0</v>
      </c>
    </row>
    <row r="297" spans="1:72">
      <c r="A297" s="9"/>
      <c r="B297" s="34"/>
      <c r="C297" s="34"/>
      <c r="D297" s="1805"/>
      <c r="E297" s="35">
        <f t="shared" si="123"/>
        <v>0</v>
      </c>
      <c r="F297" s="36"/>
      <c r="G297" s="37">
        <f t="shared" si="124"/>
        <v>0</v>
      </c>
      <c r="H297" s="38">
        <f t="shared" si="125"/>
        <v>0</v>
      </c>
      <c r="I297" s="39"/>
      <c r="J297" s="39"/>
      <c r="K297" s="39"/>
      <c r="L297" s="39"/>
      <c r="M297" s="39"/>
      <c r="N297" s="39"/>
      <c r="O297" s="39"/>
      <c r="P297" s="39"/>
      <c r="Q297" s="39"/>
      <c r="R297" s="39"/>
      <c r="S297" s="39"/>
      <c r="T297" s="39"/>
      <c r="U297" s="39"/>
      <c r="V297" s="39"/>
      <c r="W297" s="39"/>
      <c r="X297" s="39"/>
      <c r="Y297" s="39"/>
      <c r="Z297" s="39"/>
      <c r="AA297" s="39"/>
      <c r="AB297" s="39"/>
      <c r="AC297" s="35">
        <f t="shared" si="126"/>
        <v>0</v>
      </c>
      <c r="AD297" s="40"/>
      <c r="AE297" s="40"/>
      <c r="AF297" s="40"/>
      <c r="AG297" s="40"/>
      <c r="AH297" s="40"/>
      <c r="AI297" s="40"/>
      <c r="AJ297" s="40"/>
      <c r="AK297" s="40"/>
      <c r="AL297" s="40"/>
      <c r="AM297" s="40"/>
      <c r="AN297" s="40"/>
      <c r="AO297" s="40"/>
      <c r="AP297" s="40"/>
      <c r="AQ297" s="40"/>
      <c r="AR297" s="40"/>
      <c r="AS297" s="40"/>
      <c r="AT297" s="41"/>
      <c r="AU297" s="1806"/>
      <c r="AV297" s="1517">
        <f t="shared" si="127"/>
        <v>0</v>
      </c>
      <c r="AW297" s="1517">
        <f t="shared" si="128"/>
        <v>0</v>
      </c>
      <c r="AX297" s="1517">
        <f t="shared" si="129"/>
        <v>0</v>
      </c>
      <c r="AY297" s="42">
        <f t="shared" si="130"/>
        <v>0</v>
      </c>
      <c r="AZ297" s="35">
        <f t="shared" si="131"/>
        <v>0</v>
      </c>
      <c r="BA297" s="35">
        <f t="shared" si="132"/>
        <v>0</v>
      </c>
      <c r="BB297" s="35">
        <f t="shared" si="133"/>
        <v>0</v>
      </c>
      <c r="BC297" s="35">
        <f t="shared" si="134"/>
        <v>0</v>
      </c>
      <c r="BD297" s="35">
        <f t="shared" si="135"/>
        <v>0</v>
      </c>
      <c r="BE297" s="35">
        <f t="shared" si="136"/>
        <v>0</v>
      </c>
      <c r="BF297" s="35">
        <f t="shared" si="137"/>
        <v>0</v>
      </c>
      <c r="BG297" s="35">
        <f t="shared" si="138"/>
        <v>0</v>
      </c>
      <c r="BH297" s="35">
        <f t="shared" si="139"/>
        <v>0</v>
      </c>
      <c r="BI297" s="35">
        <f t="shared" si="140"/>
        <v>0</v>
      </c>
      <c r="BJ297" s="35">
        <f t="shared" si="141"/>
        <v>0</v>
      </c>
      <c r="BK297" s="35">
        <f t="shared" si="142"/>
        <v>0</v>
      </c>
      <c r="BL297" s="35">
        <f t="shared" si="143"/>
        <v>0</v>
      </c>
      <c r="BM297" s="35">
        <f t="shared" si="144"/>
        <v>0</v>
      </c>
      <c r="BN297" s="35">
        <f t="shared" si="145"/>
        <v>0</v>
      </c>
      <c r="BO297" s="35">
        <f t="shared" si="146"/>
        <v>0</v>
      </c>
      <c r="BP297" s="35">
        <f t="shared" si="147"/>
        <v>0</v>
      </c>
      <c r="BQ297" s="35">
        <f t="shared" si="148"/>
        <v>0</v>
      </c>
      <c r="BR297" s="35">
        <f t="shared" si="149"/>
        <v>0</v>
      </c>
      <c r="BS297" s="35">
        <f t="shared" si="150"/>
        <v>0</v>
      </c>
      <c r="BT297" s="43">
        <f t="shared" si="151"/>
        <v>0</v>
      </c>
    </row>
    <row r="298" spans="1:72">
      <c r="A298" s="9"/>
      <c r="B298" s="34"/>
      <c r="C298" s="34"/>
      <c r="D298" s="1805"/>
      <c r="E298" s="35">
        <f t="shared" si="123"/>
        <v>0</v>
      </c>
      <c r="F298" s="36"/>
      <c r="G298" s="37">
        <f t="shared" si="124"/>
        <v>0</v>
      </c>
      <c r="H298" s="38">
        <f t="shared" si="125"/>
        <v>0</v>
      </c>
      <c r="I298" s="39"/>
      <c r="J298" s="39"/>
      <c r="K298" s="39"/>
      <c r="L298" s="39"/>
      <c r="M298" s="39"/>
      <c r="N298" s="39"/>
      <c r="O298" s="39"/>
      <c r="P298" s="39"/>
      <c r="Q298" s="39"/>
      <c r="R298" s="39"/>
      <c r="S298" s="39"/>
      <c r="T298" s="39"/>
      <c r="U298" s="39"/>
      <c r="V298" s="39"/>
      <c r="W298" s="39"/>
      <c r="X298" s="39"/>
      <c r="Y298" s="39"/>
      <c r="Z298" s="39"/>
      <c r="AA298" s="39"/>
      <c r="AB298" s="39"/>
      <c r="AC298" s="35">
        <f t="shared" si="126"/>
        <v>0</v>
      </c>
      <c r="AD298" s="40"/>
      <c r="AE298" s="40"/>
      <c r="AF298" s="40"/>
      <c r="AG298" s="40"/>
      <c r="AH298" s="40"/>
      <c r="AI298" s="40"/>
      <c r="AJ298" s="40"/>
      <c r="AK298" s="40"/>
      <c r="AL298" s="40"/>
      <c r="AM298" s="40"/>
      <c r="AN298" s="40"/>
      <c r="AO298" s="40"/>
      <c r="AP298" s="40"/>
      <c r="AQ298" s="40"/>
      <c r="AR298" s="40"/>
      <c r="AS298" s="40"/>
      <c r="AT298" s="41"/>
      <c r="AU298" s="1806"/>
      <c r="AV298" s="1517">
        <f t="shared" si="127"/>
        <v>0</v>
      </c>
      <c r="AW298" s="1517">
        <f t="shared" si="128"/>
        <v>0</v>
      </c>
      <c r="AX298" s="1517">
        <f t="shared" si="129"/>
        <v>0</v>
      </c>
      <c r="AY298" s="42">
        <f t="shared" si="130"/>
        <v>0</v>
      </c>
      <c r="AZ298" s="35">
        <f t="shared" si="131"/>
        <v>0</v>
      </c>
      <c r="BA298" s="35">
        <f t="shared" si="132"/>
        <v>0</v>
      </c>
      <c r="BB298" s="35">
        <f t="shared" si="133"/>
        <v>0</v>
      </c>
      <c r="BC298" s="35">
        <f t="shared" si="134"/>
        <v>0</v>
      </c>
      <c r="BD298" s="35">
        <f t="shared" si="135"/>
        <v>0</v>
      </c>
      <c r="BE298" s="35">
        <f t="shared" si="136"/>
        <v>0</v>
      </c>
      <c r="BF298" s="35">
        <f t="shared" si="137"/>
        <v>0</v>
      </c>
      <c r="BG298" s="35">
        <f t="shared" si="138"/>
        <v>0</v>
      </c>
      <c r="BH298" s="35">
        <f t="shared" si="139"/>
        <v>0</v>
      </c>
      <c r="BI298" s="35">
        <f t="shared" si="140"/>
        <v>0</v>
      </c>
      <c r="BJ298" s="35">
        <f t="shared" si="141"/>
        <v>0</v>
      </c>
      <c r="BK298" s="35">
        <f t="shared" si="142"/>
        <v>0</v>
      </c>
      <c r="BL298" s="35">
        <f t="shared" si="143"/>
        <v>0</v>
      </c>
      <c r="BM298" s="35">
        <f t="shared" si="144"/>
        <v>0</v>
      </c>
      <c r="BN298" s="35">
        <f t="shared" si="145"/>
        <v>0</v>
      </c>
      <c r="BO298" s="35">
        <f t="shared" si="146"/>
        <v>0</v>
      </c>
      <c r="BP298" s="35">
        <f t="shared" si="147"/>
        <v>0</v>
      </c>
      <c r="BQ298" s="35">
        <f t="shared" si="148"/>
        <v>0</v>
      </c>
      <c r="BR298" s="35">
        <f t="shared" si="149"/>
        <v>0</v>
      </c>
      <c r="BS298" s="35">
        <f t="shared" si="150"/>
        <v>0</v>
      </c>
      <c r="BT298" s="43">
        <f t="shared" si="151"/>
        <v>0</v>
      </c>
    </row>
    <row r="299" spans="1:72">
      <c r="A299" s="9"/>
      <c r="B299" s="34"/>
      <c r="C299" s="34"/>
      <c r="D299" s="1805"/>
      <c r="E299" s="35">
        <f t="shared" si="123"/>
        <v>0</v>
      </c>
      <c r="F299" s="36"/>
      <c r="G299" s="37">
        <f t="shared" si="124"/>
        <v>0</v>
      </c>
      <c r="H299" s="38">
        <f t="shared" si="125"/>
        <v>0</v>
      </c>
      <c r="I299" s="39"/>
      <c r="J299" s="39"/>
      <c r="K299" s="39"/>
      <c r="L299" s="39"/>
      <c r="M299" s="39"/>
      <c r="N299" s="39"/>
      <c r="O299" s="39"/>
      <c r="P299" s="39"/>
      <c r="Q299" s="39"/>
      <c r="R299" s="39"/>
      <c r="S299" s="39"/>
      <c r="T299" s="39"/>
      <c r="U299" s="39"/>
      <c r="V299" s="39"/>
      <c r="W299" s="39"/>
      <c r="X299" s="39"/>
      <c r="Y299" s="39"/>
      <c r="Z299" s="39"/>
      <c r="AA299" s="39"/>
      <c r="AB299" s="39"/>
      <c r="AC299" s="35">
        <f t="shared" si="126"/>
        <v>0</v>
      </c>
      <c r="AD299" s="40"/>
      <c r="AE299" s="40"/>
      <c r="AF299" s="40"/>
      <c r="AG299" s="40"/>
      <c r="AH299" s="40"/>
      <c r="AI299" s="40"/>
      <c r="AJ299" s="40"/>
      <c r="AK299" s="40"/>
      <c r="AL299" s="40"/>
      <c r="AM299" s="40"/>
      <c r="AN299" s="40"/>
      <c r="AO299" s="40"/>
      <c r="AP299" s="40"/>
      <c r="AQ299" s="40"/>
      <c r="AR299" s="40"/>
      <c r="AS299" s="40"/>
      <c r="AT299" s="41"/>
      <c r="AU299" s="1806"/>
      <c r="AV299" s="1517">
        <f t="shared" si="127"/>
        <v>0</v>
      </c>
      <c r="AW299" s="1517">
        <f t="shared" si="128"/>
        <v>0</v>
      </c>
      <c r="AX299" s="1517">
        <f t="shared" si="129"/>
        <v>0</v>
      </c>
      <c r="AY299" s="42">
        <f t="shared" si="130"/>
        <v>0</v>
      </c>
      <c r="AZ299" s="35">
        <f t="shared" si="131"/>
        <v>0</v>
      </c>
      <c r="BA299" s="35">
        <f t="shared" si="132"/>
        <v>0</v>
      </c>
      <c r="BB299" s="35">
        <f t="shared" si="133"/>
        <v>0</v>
      </c>
      <c r="BC299" s="35">
        <f t="shared" si="134"/>
        <v>0</v>
      </c>
      <c r="BD299" s="35">
        <f t="shared" si="135"/>
        <v>0</v>
      </c>
      <c r="BE299" s="35">
        <f t="shared" si="136"/>
        <v>0</v>
      </c>
      <c r="BF299" s="35">
        <f t="shared" si="137"/>
        <v>0</v>
      </c>
      <c r="BG299" s="35">
        <f t="shared" si="138"/>
        <v>0</v>
      </c>
      <c r="BH299" s="35">
        <f t="shared" si="139"/>
        <v>0</v>
      </c>
      <c r="BI299" s="35">
        <f t="shared" si="140"/>
        <v>0</v>
      </c>
      <c r="BJ299" s="35">
        <f t="shared" si="141"/>
        <v>0</v>
      </c>
      <c r="BK299" s="35">
        <f t="shared" si="142"/>
        <v>0</v>
      </c>
      <c r="BL299" s="35">
        <f t="shared" si="143"/>
        <v>0</v>
      </c>
      <c r="BM299" s="35">
        <f t="shared" si="144"/>
        <v>0</v>
      </c>
      <c r="BN299" s="35">
        <f t="shared" si="145"/>
        <v>0</v>
      </c>
      <c r="BO299" s="35">
        <f t="shared" si="146"/>
        <v>0</v>
      </c>
      <c r="BP299" s="35">
        <f t="shared" si="147"/>
        <v>0</v>
      </c>
      <c r="BQ299" s="35">
        <f t="shared" si="148"/>
        <v>0</v>
      </c>
      <c r="BR299" s="35">
        <f t="shared" si="149"/>
        <v>0</v>
      </c>
      <c r="BS299" s="35">
        <f t="shared" si="150"/>
        <v>0</v>
      </c>
      <c r="BT299" s="43">
        <f t="shared" si="151"/>
        <v>0</v>
      </c>
    </row>
    <row r="300" spans="1:72">
      <c r="A300" s="9"/>
      <c r="B300" s="9"/>
      <c r="C300" s="9"/>
      <c r="D300" s="1805"/>
      <c r="E300" s="35">
        <f t="shared" si="123"/>
        <v>0</v>
      </c>
      <c r="F300" s="44"/>
      <c r="G300" s="37">
        <f t="shared" ref="G300:G331" si="152">H300+AC300+AT300</f>
        <v>0</v>
      </c>
      <c r="H300" s="38">
        <f t="shared" ref="H300:H331" si="153">SUMIF(I$12:AB$12,"总值",I300:AB300)</f>
        <v>0</v>
      </c>
      <c r="I300" s="10"/>
      <c r="J300" s="10"/>
      <c r="K300" s="39"/>
      <c r="L300" s="39"/>
      <c r="M300" s="39"/>
      <c r="N300" s="39"/>
      <c r="O300" s="39"/>
      <c r="P300" s="39"/>
      <c r="Q300" s="39"/>
      <c r="R300" s="39"/>
      <c r="S300" s="39"/>
      <c r="T300" s="39"/>
      <c r="U300" s="39"/>
      <c r="V300" s="39"/>
      <c r="W300" s="39"/>
      <c r="X300" s="39"/>
      <c r="Y300" s="39"/>
      <c r="Z300" s="39"/>
      <c r="AA300" s="39"/>
      <c r="AB300" s="39"/>
      <c r="AC300" s="35">
        <f t="shared" ref="AC300:AC331" si="154">SUMIF(AD$12:AS$12,"总值",AD300:AS300)</f>
        <v>0</v>
      </c>
      <c r="AD300" s="40"/>
      <c r="AE300" s="40"/>
      <c r="AF300" s="40"/>
      <c r="AG300" s="40"/>
      <c r="AH300" s="40"/>
      <c r="AI300" s="40"/>
      <c r="AJ300" s="40"/>
      <c r="AK300" s="40"/>
      <c r="AL300" s="40"/>
      <c r="AM300" s="40"/>
      <c r="AN300" s="40"/>
      <c r="AO300" s="40"/>
      <c r="AP300" s="40"/>
      <c r="AQ300" s="40"/>
      <c r="AR300" s="40"/>
      <c r="AS300" s="40"/>
      <c r="AT300" s="40"/>
      <c r="AU300" s="1746"/>
      <c r="AV300" s="1517">
        <f t="shared" si="127"/>
        <v>0</v>
      </c>
      <c r="AW300" s="1517">
        <f t="shared" si="128"/>
        <v>0</v>
      </c>
      <c r="AX300" s="1517">
        <f t="shared" si="129"/>
        <v>0</v>
      </c>
      <c r="AY300" s="42">
        <f t="shared" ref="AY300:AY331" si="155">ROUND($AY$6*AZ300/$AZ$5,2)</f>
        <v>0</v>
      </c>
      <c r="AZ300" s="35">
        <f t="shared" ref="AZ300:AZ331" si="156">BA300+BL300</f>
        <v>0</v>
      </c>
      <c r="BA300" s="35">
        <f t="shared" ref="BA300:BA331" si="157">SUM(BB300:BK300)</f>
        <v>0</v>
      </c>
      <c r="BB300" s="35">
        <f t="shared" ref="BB300:BB331" si="158">IF($D300="是",I300-J300,0)</f>
        <v>0</v>
      </c>
      <c r="BC300" s="35">
        <f t="shared" ref="BC300:BC331" si="159">IF($D300="是",K300-L300,0)</f>
        <v>0</v>
      </c>
      <c r="BD300" s="35">
        <f t="shared" ref="BD300:BD331" si="160">IF($D300="是",M300-N300,0)</f>
        <v>0</v>
      </c>
      <c r="BE300" s="35">
        <f t="shared" ref="BE300:BE331" si="161">IF($D300="是",O300-P300,0)</f>
        <v>0</v>
      </c>
      <c r="BF300" s="35">
        <f t="shared" ref="BF300:BF331" si="162">IF($D300="是",Q300-R300,0)</f>
        <v>0</v>
      </c>
      <c r="BG300" s="35">
        <f t="shared" ref="BG300:BG331" si="163">IF($D300="是",S300-T300,0)</f>
        <v>0</v>
      </c>
      <c r="BH300" s="35">
        <f t="shared" ref="BH300:BH331" si="164">IF($D300="是",U300-V300,0)</f>
        <v>0</v>
      </c>
      <c r="BI300" s="35">
        <f t="shared" ref="BI300:BI331" si="165">IF($D300="是",W300-X300,0)</f>
        <v>0</v>
      </c>
      <c r="BJ300" s="35">
        <f t="shared" ref="BJ300:BJ331" si="166">IF($D300="是",Y300-Z300,0)</f>
        <v>0</v>
      </c>
      <c r="BK300" s="35">
        <f t="shared" ref="BK300:BK331" si="167">IF($D300="是",AA300-AB300,0)</f>
        <v>0</v>
      </c>
      <c r="BL300" s="35">
        <f t="shared" ref="BL300:BL331" si="168">SUM(BM300:BT300)</f>
        <v>0</v>
      </c>
      <c r="BM300" s="35">
        <f t="shared" ref="BM300:BM331" si="169">IF($D300="是",AD300-AE300,0)</f>
        <v>0</v>
      </c>
      <c r="BN300" s="35">
        <f t="shared" ref="BN300:BN331" si="170">IF($D300="是",AF300-AG300,0)</f>
        <v>0</v>
      </c>
      <c r="BO300" s="35">
        <f t="shared" ref="BO300:BO331" si="171">IF($D300="是",AH300-AI300,0)</f>
        <v>0</v>
      </c>
      <c r="BP300" s="35">
        <f t="shared" ref="BP300:BP331" si="172">IF($D300="是",AJ300-AK300,0)</f>
        <v>0</v>
      </c>
      <c r="BQ300" s="35">
        <f t="shared" ref="BQ300:BQ331" si="173">IF($D300="是",AL300-AM300,0)</f>
        <v>0</v>
      </c>
      <c r="BR300" s="35">
        <f t="shared" ref="BR300:BR331" si="174">IF($D300="是",AN300-AO300,0)</f>
        <v>0</v>
      </c>
      <c r="BS300" s="35">
        <f t="shared" ref="BS300:BS331" si="175">IF($D300="是",AP300-AQ300,0)</f>
        <v>0</v>
      </c>
      <c r="BT300" s="43">
        <f t="shared" ref="BT300:BT331" si="176">IF($D300="是",AR300-AS300,0)</f>
        <v>0</v>
      </c>
    </row>
    <row r="301" spans="1:72">
      <c r="A301" s="9"/>
      <c r="B301" s="9"/>
      <c r="C301" s="9"/>
      <c r="D301" s="1805"/>
      <c r="E301" s="35">
        <f t="shared" si="123"/>
        <v>0</v>
      </c>
      <c r="F301" s="44"/>
      <c r="G301" s="37">
        <f t="shared" si="152"/>
        <v>0</v>
      </c>
      <c r="H301" s="38">
        <f t="shared" si="153"/>
        <v>0</v>
      </c>
      <c r="I301" s="39"/>
      <c r="J301" s="39"/>
      <c r="K301" s="39"/>
      <c r="L301" s="39"/>
      <c r="M301" s="39"/>
      <c r="N301" s="39"/>
      <c r="O301" s="39"/>
      <c r="P301" s="39"/>
      <c r="Q301" s="39"/>
      <c r="R301" s="39"/>
      <c r="S301" s="39"/>
      <c r="T301" s="39"/>
      <c r="U301" s="39"/>
      <c r="V301" s="39"/>
      <c r="W301" s="39"/>
      <c r="X301" s="39"/>
      <c r="Y301" s="39"/>
      <c r="Z301" s="39"/>
      <c r="AA301" s="39"/>
      <c r="AB301" s="39"/>
      <c r="AC301" s="35">
        <f t="shared" si="154"/>
        <v>0</v>
      </c>
      <c r="AD301" s="40"/>
      <c r="AE301" s="40"/>
      <c r="AF301" s="40"/>
      <c r="AG301" s="40"/>
      <c r="AH301" s="40"/>
      <c r="AI301" s="40"/>
      <c r="AJ301" s="40"/>
      <c r="AK301" s="40"/>
      <c r="AL301" s="40"/>
      <c r="AM301" s="40"/>
      <c r="AN301" s="40"/>
      <c r="AO301" s="40"/>
      <c r="AP301" s="40"/>
      <c r="AQ301" s="40"/>
      <c r="AR301" s="40"/>
      <c r="AS301" s="40"/>
      <c r="AT301" s="40"/>
      <c r="AU301" s="1746"/>
      <c r="AV301" s="1517">
        <f t="shared" si="127"/>
        <v>0</v>
      </c>
      <c r="AW301" s="1517">
        <f t="shared" si="128"/>
        <v>0</v>
      </c>
      <c r="AX301" s="1517">
        <f t="shared" si="129"/>
        <v>0</v>
      </c>
      <c r="AY301" s="42">
        <f t="shared" si="155"/>
        <v>0</v>
      </c>
      <c r="AZ301" s="35">
        <f t="shared" si="156"/>
        <v>0</v>
      </c>
      <c r="BA301" s="35">
        <f t="shared" si="157"/>
        <v>0</v>
      </c>
      <c r="BB301" s="35">
        <f t="shared" si="158"/>
        <v>0</v>
      </c>
      <c r="BC301" s="35">
        <f t="shared" si="159"/>
        <v>0</v>
      </c>
      <c r="BD301" s="35">
        <f t="shared" si="160"/>
        <v>0</v>
      </c>
      <c r="BE301" s="35">
        <f t="shared" si="161"/>
        <v>0</v>
      </c>
      <c r="BF301" s="35">
        <f t="shared" si="162"/>
        <v>0</v>
      </c>
      <c r="BG301" s="35">
        <f t="shared" si="163"/>
        <v>0</v>
      </c>
      <c r="BH301" s="35">
        <f t="shared" si="164"/>
        <v>0</v>
      </c>
      <c r="BI301" s="35">
        <f t="shared" si="165"/>
        <v>0</v>
      </c>
      <c r="BJ301" s="35">
        <f t="shared" si="166"/>
        <v>0</v>
      </c>
      <c r="BK301" s="35">
        <f t="shared" si="167"/>
        <v>0</v>
      </c>
      <c r="BL301" s="35">
        <f t="shared" si="168"/>
        <v>0</v>
      </c>
      <c r="BM301" s="35">
        <f t="shared" si="169"/>
        <v>0</v>
      </c>
      <c r="BN301" s="35">
        <f t="shared" si="170"/>
        <v>0</v>
      </c>
      <c r="BO301" s="35">
        <f t="shared" si="171"/>
        <v>0</v>
      </c>
      <c r="BP301" s="35">
        <f t="shared" si="172"/>
        <v>0</v>
      </c>
      <c r="BQ301" s="35">
        <f t="shared" si="173"/>
        <v>0</v>
      </c>
      <c r="BR301" s="35">
        <f t="shared" si="174"/>
        <v>0</v>
      </c>
      <c r="BS301" s="35">
        <f t="shared" si="175"/>
        <v>0</v>
      </c>
      <c r="BT301" s="43">
        <f t="shared" si="176"/>
        <v>0</v>
      </c>
    </row>
    <row r="302" spans="1:72">
      <c r="A302" s="9"/>
      <c r="B302" s="9"/>
      <c r="C302" s="9"/>
      <c r="D302" s="1805"/>
      <c r="E302" s="35">
        <f t="shared" si="123"/>
        <v>0</v>
      </c>
      <c r="F302" s="44"/>
      <c r="G302" s="37">
        <f t="shared" si="152"/>
        <v>0</v>
      </c>
      <c r="H302" s="38">
        <f t="shared" si="153"/>
        <v>0</v>
      </c>
      <c r="I302" s="39"/>
      <c r="J302" s="39"/>
      <c r="K302" s="39"/>
      <c r="L302" s="39"/>
      <c r="M302" s="39"/>
      <c r="N302" s="39"/>
      <c r="O302" s="39"/>
      <c r="P302" s="39"/>
      <c r="Q302" s="39"/>
      <c r="R302" s="39"/>
      <c r="S302" s="39"/>
      <c r="T302" s="39"/>
      <c r="U302" s="39"/>
      <c r="V302" s="39"/>
      <c r="W302" s="39"/>
      <c r="X302" s="39"/>
      <c r="Y302" s="39"/>
      <c r="Z302" s="39"/>
      <c r="AA302" s="39"/>
      <c r="AB302" s="39"/>
      <c r="AC302" s="35">
        <f t="shared" si="154"/>
        <v>0</v>
      </c>
      <c r="AD302" s="40"/>
      <c r="AE302" s="40"/>
      <c r="AF302" s="40"/>
      <c r="AG302" s="40"/>
      <c r="AH302" s="40"/>
      <c r="AI302" s="40"/>
      <c r="AJ302" s="40"/>
      <c r="AK302" s="40"/>
      <c r="AL302" s="40"/>
      <c r="AM302" s="40"/>
      <c r="AN302" s="40"/>
      <c r="AO302" s="40"/>
      <c r="AP302" s="40"/>
      <c r="AQ302" s="40"/>
      <c r="AR302" s="40"/>
      <c r="AS302" s="40"/>
      <c r="AT302" s="40"/>
      <c r="AU302" s="1746"/>
      <c r="AV302" s="1517">
        <f t="shared" si="127"/>
        <v>0</v>
      </c>
      <c r="AW302" s="1517">
        <f t="shared" si="128"/>
        <v>0</v>
      </c>
      <c r="AX302" s="1517">
        <f t="shared" si="129"/>
        <v>0</v>
      </c>
      <c r="AY302" s="42">
        <f t="shared" si="155"/>
        <v>0</v>
      </c>
      <c r="AZ302" s="35">
        <f t="shared" si="156"/>
        <v>0</v>
      </c>
      <c r="BA302" s="35">
        <f t="shared" si="157"/>
        <v>0</v>
      </c>
      <c r="BB302" s="35">
        <f t="shared" si="158"/>
        <v>0</v>
      </c>
      <c r="BC302" s="35">
        <f t="shared" si="159"/>
        <v>0</v>
      </c>
      <c r="BD302" s="35">
        <f t="shared" si="160"/>
        <v>0</v>
      </c>
      <c r="BE302" s="35">
        <f t="shared" si="161"/>
        <v>0</v>
      </c>
      <c r="BF302" s="35">
        <f t="shared" si="162"/>
        <v>0</v>
      </c>
      <c r="BG302" s="35">
        <f t="shared" si="163"/>
        <v>0</v>
      </c>
      <c r="BH302" s="35">
        <f t="shared" si="164"/>
        <v>0</v>
      </c>
      <c r="BI302" s="35">
        <f t="shared" si="165"/>
        <v>0</v>
      </c>
      <c r="BJ302" s="35">
        <f t="shared" si="166"/>
        <v>0</v>
      </c>
      <c r="BK302" s="35">
        <f t="shared" si="167"/>
        <v>0</v>
      </c>
      <c r="BL302" s="35">
        <f t="shared" si="168"/>
        <v>0</v>
      </c>
      <c r="BM302" s="35">
        <f t="shared" si="169"/>
        <v>0</v>
      </c>
      <c r="BN302" s="35">
        <f t="shared" si="170"/>
        <v>0</v>
      </c>
      <c r="BO302" s="35">
        <f t="shared" si="171"/>
        <v>0</v>
      </c>
      <c r="BP302" s="35">
        <f t="shared" si="172"/>
        <v>0</v>
      </c>
      <c r="BQ302" s="35">
        <f t="shared" si="173"/>
        <v>0</v>
      </c>
      <c r="BR302" s="35">
        <f t="shared" si="174"/>
        <v>0</v>
      </c>
      <c r="BS302" s="35">
        <f t="shared" si="175"/>
        <v>0</v>
      </c>
      <c r="BT302" s="43">
        <f t="shared" si="176"/>
        <v>0</v>
      </c>
    </row>
    <row r="303" spans="1:72">
      <c r="A303" s="9"/>
      <c r="B303" s="34"/>
      <c r="C303" s="34"/>
      <c r="D303" s="1805"/>
      <c r="E303" s="35">
        <f t="shared" ref="E303:E334" si="177">IF($C$3="是",ROUND($A$3*G303/$B$3,2),ROUND($A$3*(G303-AT303)/$B$3,2))</f>
        <v>0</v>
      </c>
      <c r="F303" s="36"/>
      <c r="G303" s="37">
        <f t="shared" si="152"/>
        <v>0</v>
      </c>
      <c r="H303" s="38">
        <f t="shared" si="153"/>
        <v>0</v>
      </c>
      <c r="I303" s="39"/>
      <c r="J303" s="39"/>
      <c r="K303" s="39"/>
      <c r="L303" s="39"/>
      <c r="M303" s="39"/>
      <c r="N303" s="39"/>
      <c r="O303" s="39"/>
      <c r="P303" s="39"/>
      <c r="Q303" s="39"/>
      <c r="R303" s="39"/>
      <c r="S303" s="39"/>
      <c r="T303" s="39"/>
      <c r="U303" s="39"/>
      <c r="V303" s="39"/>
      <c r="W303" s="39"/>
      <c r="X303" s="39"/>
      <c r="Y303" s="39"/>
      <c r="Z303" s="39"/>
      <c r="AA303" s="39"/>
      <c r="AB303" s="39"/>
      <c r="AC303" s="35">
        <f t="shared" si="154"/>
        <v>0</v>
      </c>
      <c r="AD303" s="40"/>
      <c r="AE303" s="40"/>
      <c r="AF303" s="40"/>
      <c r="AG303" s="40"/>
      <c r="AH303" s="40"/>
      <c r="AI303" s="40"/>
      <c r="AJ303" s="40"/>
      <c r="AK303" s="40"/>
      <c r="AL303" s="40"/>
      <c r="AM303" s="40"/>
      <c r="AN303" s="40"/>
      <c r="AO303" s="40"/>
      <c r="AP303" s="40"/>
      <c r="AQ303" s="40"/>
      <c r="AR303" s="40"/>
      <c r="AS303" s="40"/>
      <c r="AT303" s="41"/>
      <c r="AU303" s="1806"/>
      <c r="AV303" s="1517">
        <f t="shared" ref="AV303:AV334" si="178">A303</f>
        <v>0</v>
      </c>
      <c r="AW303" s="1517">
        <f t="shared" ref="AW303:AW334" si="179">B303</f>
        <v>0</v>
      </c>
      <c r="AX303" s="1517">
        <f t="shared" ref="AX303:AX334" si="180">C303</f>
        <v>0</v>
      </c>
      <c r="AY303" s="42">
        <f t="shared" si="155"/>
        <v>0</v>
      </c>
      <c r="AZ303" s="35">
        <f t="shared" si="156"/>
        <v>0</v>
      </c>
      <c r="BA303" s="35">
        <f t="shared" si="157"/>
        <v>0</v>
      </c>
      <c r="BB303" s="35">
        <f t="shared" si="158"/>
        <v>0</v>
      </c>
      <c r="BC303" s="35">
        <f t="shared" si="159"/>
        <v>0</v>
      </c>
      <c r="BD303" s="35">
        <f t="shared" si="160"/>
        <v>0</v>
      </c>
      <c r="BE303" s="35">
        <f t="shared" si="161"/>
        <v>0</v>
      </c>
      <c r="BF303" s="35">
        <f t="shared" si="162"/>
        <v>0</v>
      </c>
      <c r="BG303" s="35">
        <f t="shared" si="163"/>
        <v>0</v>
      </c>
      <c r="BH303" s="35">
        <f t="shared" si="164"/>
        <v>0</v>
      </c>
      <c r="BI303" s="35">
        <f t="shared" si="165"/>
        <v>0</v>
      </c>
      <c r="BJ303" s="35">
        <f t="shared" si="166"/>
        <v>0</v>
      </c>
      <c r="BK303" s="35">
        <f t="shared" si="167"/>
        <v>0</v>
      </c>
      <c r="BL303" s="35">
        <f t="shared" si="168"/>
        <v>0</v>
      </c>
      <c r="BM303" s="35">
        <f t="shared" si="169"/>
        <v>0</v>
      </c>
      <c r="BN303" s="35">
        <f t="shared" si="170"/>
        <v>0</v>
      </c>
      <c r="BO303" s="35">
        <f t="shared" si="171"/>
        <v>0</v>
      </c>
      <c r="BP303" s="35">
        <f t="shared" si="172"/>
        <v>0</v>
      </c>
      <c r="BQ303" s="35">
        <f t="shared" si="173"/>
        <v>0</v>
      </c>
      <c r="BR303" s="35">
        <f t="shared" si="174"/>
        <v>0</v>
      </c>
      <c r="BS303" s="35">
        <f t="shared" si="175"/>
        <v>0</v>
      </c>
      <c r="BT303" s="43">
        <f t="shared" si="176"/>
        <v>0</v>
      </c>
    </row>
    <row r="304" spans="1:72">
      <c r="A304" s="9"/>
      <c r="B304" s="34"/>
      <c r="C304" s="34"/>
      <c r="D304" s="1805"/>
      <c r="E304" s="35">
        <f t="shared" si="177"/>
        <v>0</v>
      </c>
      <c r="F304" s="36"/>
      <c r="G304" s="37">
        <f t="shared" si="152"/>
        <v>0</v>
      </c>
      <c r="H304" s="38">
        <f t="shared" si="153"/>
        <v>0</v>
      </c>
      <c r="I304" s="39"/>
      <c r="J304" s="39"/>
      <c r="K304" s="39"/>
      <c r="L304" s="39"/>
      <c r="M304" s="39"/>
      <c r="N304" s="39"/>
      <c r="O304" s="39"/>
      <c r="P304" s="39"/>
      <c r="Q304" s="39"/>
      <c r="R304" s="39"/>
      <c r="S304" s="39"/>
      <c r="T304" s="39"/>
      <c r="U304" s="39"/>
      <c r="V304" s="39"/>
      <c r="W304" s="39"/>
      <c r="X304" s="39"/>
      <c r="Y304" s="39"/>
      <c r="Z304" s="39"/>
      <c r="AA304" s="39"/>
      <c r="AB304" s="39"/>
      <c r="AC304" s="35">
        <f t="shared" si="154"/>
        <v>0</v>
      </c>
      <c r="AD304" s="40"/>
      <c r="AE304" s="40"/>
      <c r="AF304" s="40"/>
      <c r="AG304" s="40"/>
      <c r="AH304" s="40"/>
      <c r="AI304" s="40"/>
      <c r="AJ304" s="40"/>
      <c r="AK304" s="40"/>
      <c r="AL304" s="40"/>
      <c r="AM304" s="40"/>
      <c r="AN304" s="40"/>
      <c r="AO304" s="40"/>
      <c r="AP304" s="40"/>
      <c r="AQ304" s="40"/>
      <c r="AR304" s="40"/>
      <c r="AS304" s="40"/>
      <c r="AT304" s="41"/>
      <c r="AU304" s="1806"/>
      <c r="AV304" s="1517">
        <f t="shared" si="178"/>
        <v>0</v>
      </c>
      <c r="AW304" s="1517">
        <f t="shared" si="179"/>
        <v>0</v>
      </c>
      <c r="AX304" s="1517">
        <f t="shared" si="180"/>
        <v>0</v>
      </c>
      <c r="AY304" s="42">
        <f t="shared" si="155"/>
        <v>0</v>
      </c>
      <c r="AZ304" s="35">
        <f t="shared" si="156"/>
        <v>0</v>
      </c>
      <c r="BA304" s="35">
        <f t="shared" si="157"/>
        <v>0</v>
      </c>
      <c r="BB304" s="35">
        <f t="shared" si="158"/>
        <v>0</v>
      </c>
      <c r="BC304" s="35">
        <f t="shared" si="159"/>
        <v>0</v>
      </c>
      <c r="BD304" s="35">
        <f t="shared" si="160"/>
        <v>0</v>
      </c>
      <c r="BE304" s="35">
        <f t="shared" si="161"/>
        <v>0</v>
      </c>
      <c r="BF304" s="35">
        <f t="shared" si="162"/>
        <v>0</v>
      </c>
      <c r="BG304" s="35">
        <f t="shared" si="163"/>
        <v>0</v>
      </c>
      <c r="BH304" s="35">
        <f t="shared" si="164"/>
        <v>0</v>
      </c>
      <c r="BI304" s="35">
        <f t="shared" si="165"/>
        <v>0</v>
      </c>
      <c r="BJ304" s="35">
        <f t="shared" si="166"/>
        <v>0</v>
      </c>
      <c r="BK304" s="35">
        <f t="shared" si="167"/>
        <v>0</v>
      </c>
      <c r="BL304" s="35">
        <f t="shared" si="168"/>
        <v>0</v>
      </c>
      <c r="BM304" s="35">
        <f t="shared" si="169"/>
        <v>0</v>
      </c>
      <c r="BN304" s="35">
        <f t="shared" si="170"/>
        <v>0</v>
      </c>
      <c r="BO304" s="35">
        <f t="shared" si="171"/>
        <v>0</v>
      </c>
      <c r="BP304" s="35">
        <f t="shared" si="172"/>
        <v>0</v>
      </c>
      <c r="BQ304" s="35">
        <f t="shared" si="173"/>
        <v>0</v>
      </c>
      <c r="BR304" s="35">
        <f t="shared" si="174"/>
        <v>0</v>
      </c>
      <c r="BS304" s="35">
        <f t="shared" si="175"/>
        <v>0</v>
      </c>
      <c r="BT304" s="43">
        <f t="shared" si="176"/>
        <v>0</v>
      </c>
    </row>
    <row r="305" spans="1:72">
      <c r="A305" s="9"/>
      <c r="B305" s="34"/>
      <c r="C305" s="34"/>
      <c r="D305" s="1805"/>
      <c r="E305" s="35">
        <f t="shared" si="177"/>
        <v>0</v>
      </c>
      <c r="F305" s="36"/>
      <c r="G305" s="37">
        <f t="shared" si="152"/>
        <v>0</v>
      </c>
      <c r="H305" s="38">
        <f t="shared" si="153"/>
        <v>0</v>
      </c>
      <c r="I305" s="39"/>
      <c r="J305" s="39"/>
      <c r="K305" s="39"/>
      <c r="L305" s="39"/>
      <c r="M305" s="39"/>
      <c r="N305" s="39"/>
      <c r="O305" s="39"/>
      <c r="P305" s="39"/>
      <c r="Q305" s="39"/>
      <c r="R305" s="39"/>
      <c r="S305" s="39"/>
      <c r="T305" s="39"/>
      <c r="U305" s="39"/>
      <c r="V305" s="39"/>
      <c r="W305" s="39"/>
      <c r="X305" s="39"/>
      <c r="Y305" s="39"/>
      <c r="Z305" s="39"/>
      <c r="AA305" s="39"/>
      <c r="AB305" s="39"/>
      <c r="AC305" s="35">
        <f t="shared" si="154"/>
        <v>0</v>
      </c>
      <c r="AD305" s="40"/>
      <c r="AE305" s="40"/>
      <c r="AF305" s="40"/>
      <c r="AG305" s="40"/>
      <c r="AH305" s="40"/>
      <c r="AI305" s="40"/>
      <c r="AJ305" s="40"/>
      <c r="AK305" s="40"/>
      <c r="AL305" s="40"/>
      <c r="AM305" s="40"/>
      <c r="AN305" s="40"/>
      <c r="AO305" s="40"/>
      <c r="AP305" s="40"/>
      <c r="AQ305" s="40"/>
      <c r="AR305" s="40"/>
      <c r="AS305" s="40"/>
      <c r="AT305" s="41"/>
      <c r="AU305" s="1806"/>
      <c r="AV305" s="1517">
        <f t="shared" si="178"/>
        <v>0</v>
      </c>
      <c r="AW305" s="1517">
        <f t="shared" si="179"/>
        <v>0</v>
      </c>
      <c r="AX305" s="1517">
        <f t="shared" si="180"/>
        <v>0</v>
      </c>
      <c r="AY305" s="42">
        <f t="shared" si="155"/>
        <v>0</v>
      </c>
      <c r="AZ305" s="35">
        <f t="shared" si="156"/>
        <v>0</v>
      </c>
      <c r="BA305" s="35">
        <f t="shared" si="157"/>
        <v>0</v>
      </c>
      <c r="BB305" s="35">
        <f t="shared" si="158"/>
        <v>0</v>
      </c>
      <c r="BC305" s="35">
        <f t="shared" si="159"/>
        <v>0</v>
      </c>
      <c r="BD305" s="35">
        <f t="shared" si="160"/>
        <v>0</v>
      </c>
      <c r="BE305" s="35">
        <f t="shared" si="161"/>
        <v>0</v>
      </c>
      <c r="BF305" s="35">
        <f t="shared" si="162"/>
        <v>0</v>
      </c>
      <c r="BG305" s="35">
        <f t="shared" si="163"/>
        <v>0</v>
      </c>
      <c r="BH305" s="35">
        <f t="shared" si="164"/>
        <v>0</v>
      </c>
      <c r="BI305" s="35">
        <f t="shared" si="165"/>
        <v>0</v>
      </c>
      <c r="BJ305" s="35">
        <f t="shared" si="166"/>
        <v>0</v>
      </c>
      <c r="BK305" s="35">
        <f t="shared" si="167"/>
        <v>0</v>
      </c>
      <c r="BL305" s="35">
        <f t="shared" si="168"/>
        <v>0</v>
      </c>
      <c r="BM305" s="35">
        <f t="shared" si="169"/>
        <v>0</v>
      </c>
      <c r="BN305" s="35">
        <f t="shared" si="170"/>
        <v>0</v>
      </c>
      <c r="BO305" s="35">
        <f t="shared" si="171"/>
        <v>0</v>
      </c>
      <c r="BP305" s="35">
        <f t="shared" si="172"/>
        <v>0</v>
      </c>
      <c r="BQ305" s="35">
        <f t="shared" si="173"/>
        <v>0</v>
      </c>
      <c r="BR305" s="35">
        <f t="shared" si="174"/>
        <v>0</v>
      </c>
      <c r="BS305" s="35">
        <f t="shared" si="175"/>
        <v>0</v>
      </c>
      <c r="BT305" s="43">
        <f t="shared" si="176"/>
        <v>0</v>
      </c>
    </row>
    <row r="306" spans="1:72">
      <c r="A306" s="9"/>
      <c r="B306" s="34"/>
      <c r="C306" s="34"/>
      <c r="D306" s="1805"/>
      <c r="E306" s="35">
        <f t="shared" si="177"/>
        <v>0</v>
      </c>
      <c r="F306" s="36"/>
      <c r="G306" s="37">
        <f t="shared" si="152"/>
        <v>0</v>
      </c>
      <c r="H306" s="38">
        <f t="shared" si="153"/>
        <v>0</v>
      </c>
      <c r="I306" s="39"/>
      <c r="J306" s="39"/>
      <c r="K306" s="39"/>
      <c r="L306" s="39"/>
      <c r="M306" s="39"/>
      <c r="N306" s="39"/>
      <c r="O306" s="39"/>
      <c r="P306" s="39"/>
      <c r="Q306" s="39"/>
      <c r="R306" s="39"/>
      <c r="S306" s="39"/>
      <c r="T306" s="39"/>
      <c r="U306" s="39"/>
      <c r="V306" s="39"/>
      <c r="W306" s="39"/>
      <c r="X306" s="39"/>
      <c r="Y306" s="39"/>
      <c r="Z306" s="39"/>
      <c r="AA306" s="39"/>
      <c r="AB306" s="39"/>
      <c r="AC306" s="35">
        <f t="shared" si="154"/>
        <v>0</v>
      </c>
      <c r="AD306" s="40"/>
      <c r="AE306" s="40"/>
      <c r="AF306" s="40"/>
      <c r="AG306" s="40"/>
      <c r="AH306" s="40"/>
      <c r="AI306" s="40"/>
      <c r="AJ306" s="40"/>
      <c r="AK306" s="40"/>
      <c r="AL306" s="40"/>
      <c r="AM306" s="40"/>
      <c r="AN306" s="40"/>
      <c r="AO306" s="40"/>
      <c r="AP306" s="40"/>
      <c r="AQ306" s="40"/>
      <c r="AR306" s="40"/>
      <c r="AS306" s="40"/>
      <c r="AT306" s="41"/>
      <c r="AU306" s="1806"/>
      <c r="AV306" s="1517">
        <f t="shared" si="178"/>
        <v>0</v>
      </c>
      <c r="AW306" s="1517">
        <f t="shared" si="179"/>
        <v>0</v>
      </c>
      <c r="AX306" s="1517">
        <f t="shared" si="180"/>
        <v>0</v>
      </c>
      <c r="AY306" s="42">
        <f t="shared" si="155"/>
        <v>0</v>
      </c>
      <c r="AZ306" s="35">
        <f t="shared" si="156"/>
        <v>0</v>
      </c>
      <c r="BA306" s="35">
        <f t="shared" si="157"/>
        <v>0</v>
      </c>
      <c r="BB306" s="35">
        <f t="shared" si="158"/>
        <v>0</v>
      </c>
      <c r="BC306" s="35">
        <f t="shared" si="159"/>
        <v>0</v>
      </c>
      <c r="BD306" s="35">
        <f t="shared" si="160"/>
        <v>0</v>
      </c>
      <c r="BE306" s="35">
        <f t="shared" si="161"/>
        <v>0</v>
      </c>
      <c r="BF306" s="35">
        <f t="shared" si="162"/>
        <v>0</v>
      </c>
      <c r="BG306" s="35">
        <f t="shared" si="163"/>
        <v>0</v>
      </c>
      <c r="BH306" s="35">
        <f t="shared" si="164"/>
        <v>0</v>
      </c>
      <c r="BI306" s="35">
        <f t="shared" si="165"/>
        <v>0</v>
      </c>
      <c r="BJ306" s="35">
        <f t="shared" si="166"/>
        <v>0</v>
      </c>
      <c r="BK306" s="35">
        <f t="shared" si="167"/>
        <v>0</v>
      </c>
      <c r="BL306" s="35">
        <f t="shared" si="168"/>
        <v>0</v>
      </c>
      <c r="BM306" s="35">
        <f t="shared" si="169"/>
        <v>0</v>
      </c>
      <c r="BN306" s="35">
        <f t="shared" si="170"/>
        <v>0</v>
      </c>
      <c r="BO306" s="35">
        <f t="shared" si="171"/>
        <v>0</v>
      </c>
      <c r="BP306" s="35">
        <f t="shared" si="172"/>
        <v>0</v>
      </c>
      <c r="BQ306" s="35">
        <f t="shared" si="173"/>
        <v>0</v>
      </c>
      <c r="BR306" s="35">
        <f t="shared" si="174"/>
        <v>0</v>
      </c>
      <c r="BS306" s="35">
        <f t="shared" si="175"/>
        <v>0</v>
      </c>
      <c r="BT306" s="43">
        <f t="shared" si="176"/>
        <v>0</v>
      </c>
    </row>
    <row r="307" spans="1:72">
      <c r="A307" s="9"/>
      <c r="B307" s="34"/>
      <c r="C307" s="34"/>
      <c r="D307" s="1805"/>
      <c r="E307" s="35">
        <f t="shared" si="177"/>
        <v>0</v>
      </c>
      <c r="F307" s="36"/>
      <c r="G307" s="37">
        <f t="shared" si="152"/>
        <v>0</v>
      </c>
      <c r="H307" s="38">
        <f t="shared" si="153"/>
        <v>0</v>
      </c>
      <c r="I307" s="39"/>
      <c r="J307" s="39"/>
      <c r="K307" s="39"/>
      <c r="L307" s="39"/>
      <c r="M307" s="39"/>
      <c r="N307" s="39"/>
      <c r="O307" s="39"/>
      <c r="P307" s="39"/>
      <c r="Q307" s="39"/>
      <c r="R307" s="39"/>
      <c r="S307" s="39"/>
      <c r="T307" s="39"/>
      <c r="U307" s="39"/>
      <c r="V307" s="39"/>
      <c r="W307" s="39"/>
      <c r="X307" s="39"/>
      <c r="Y307" s="39"/>
      <c r="Z307" s="39"/>
      <c r="AA307" s="39"/>
      <c r="AB307" s="39"/>
      <c r="AC307" s="35">
        <f t="shared" si="154"/>
        <v>0</v>
      </c>
      <c r="AD307" s="40"/>
      <c r="AE307" s="40"/>
      <c r="AF307" s="40"/>
      <c r="AG307" s="40"/>
      <c r="AH307" s="40"/>
      <c r="AI307" s="40"/>
      <c r="AJ307" s="40"/>
      <c r="AK307" s="40"/>
      <c r="AL307" s="40"/>
      <c r="AM307" s="40"/>
      <c r="AN307" s="40"/>
      <c r="AO307" s="40"/>
      <c r="AP307" s="40"/>
      <c r="AQ307" s="40"/>
      <c r="AR307" s="40"/>
      <c r="AS307" s="40"/>
      <c r="AT307" s="41"/>
      <c r="AU307" s="1806"/>
      <c r="AV307" s="1517">
        <f t="shared" si="178"/>
        <v>0</v>
      </c>
      <c r="AW307" s="1517">
        <f t="shared" si="179"/>
        <v>0</v>
      </c>
      <c r="AX307" s="1517">
        <f t="shared" si="180"/>
        <v>0</v>
      </c>
      <c r="AY307" s="42">
        <f t="shared" si="155"/>
        <v>0</v>
      </c>
      <c r="AZ307" s="35">
        <f t="shared" si="156"/>
        <v>0</v>
      </c>
      <c r="BA307" s="35">
        <f t="shared" si="157"/>
        <v>0</v>
      </c>
      <c r="BB307" s="35">
        <f t="shared" si="158"/>
        <v>0</v>
      </c>
      <c r="BC307" s="35">
        <f t="shared" si="159"/>
        <v>0</v>
      </c>
      <c r="BD307" s="35">
        <f t="shared" si="160"/>
        <v>0</v>
      </c>
      <c r="BE307" s="35">
        <f t="shared" si="161"/>
        <v>0</v>
      </c>
      <c r="BF307" s="35">
        <f t="shared" si="162"/>
        <v>0</v>
      </c>
      <c r="BG307" s="35">
        <f t="shared" si="163"/>
        <v>0</v>
      </c>
      <c r="BH307" s="35">
        <f t="shared" si="164"/>
        <v>0</v>
      </c>
      <c r="BI307" s="35">
        <f t="shared" si="165"/>
        <v>0</v>
      </c>
      <c r="BJ307" s="35">
        <f t="shared" si="166"/>
        <v>0</v>
      </c>
      <c r="BK307" s="35">
        <f t="shared" si="167"/>
        <v>0</v>
      </c>
      <c r="BL307" s="35">
        <f t="shared" si="168"/>
        <v>0</v>
      </c>
      <c r="BM307" s="35">
        <f t="shared" si="169"/>
        <v>0</v>
      </c>
      <c r="BN307" s="35">
        <f t="shared" si="170"/>
        <v>0</v>
      </c>
      <c r="BO307" s="35">
        <f t="shared" si="171"/>
        <v>0</v>
      </c>
      <c r="BP307" s="35">
        <f t="shared" si="172"/>
        <v>0</v>
      </c>
      <c r="BQ307" s="35">
        <f t="shared" si="173"/>
        <v>0</v>
      </c>
      <c r="BR307" s="35">
        <f t="shared" si="174"/>
        <v>0</v>
      </c>
      <c r="BS307" s="35">
        <f t="shared" si="175"/>
        <v>0</v>
      </c>
      <c r="BT307" s="43">
        <f t="shared" si="176"/>
        <v>0</v>
      </c>
    </row>
    <row r="308" spans="1:72">
      <c r="A308" s="9"/>
      <c r="B308" s="34"/>
      <c r="C308" s="34"/>
      <c r="D308" s="1805"/>
      <c r="E308" s="35">
        <f t="shared" si="177"/>
        <v>0</v>
      </c>
      <c r="F308" s="36"/>
      <c r="G308" s="37">
        <f t="shared" si="152"/>
        <v>0</v>
      </c>
      <c r="H308" s="38">
        <f t="shared" si="153"/>
        <v>0</v>
      </c>
      <c r="I308" s="39"/>
      <c r="J308" s="39"/>
      <c r="K308" s="39"/>
      <c r="L308" s="39"/>
      <c r="M308" s="39"/>
      <c r="N308" s="39"/>
      <c r="O308" s="39"/>
      <c r="P308" s="39"/>
      <c r="Q308" s="39"/>
      <c r="R308" s="39"/>
      <c r="S308" s="39"/>
      <c r="T308" s="39"/>
      <c r="U308" s="39"/>
      <c r="V308" s="39"/>
      <c r="W308" s="39"/>
      <c r="X308" s="39"/>
      <c r="Y308" s="39"/>
      <c r="Z308" s="39"/>
      <c r="AA308" s="39"/>
      <c r="AB308" s="39"/>
      <c r="AC308" s="35">
        <f t="shared" si="154"/>
        <v>0</v>
      </c>
      <c r="AD308" s="40"/>
      <c r="AE308" s="40"/>
      <c r="AF308" s="40"/>
      <c r="AG308" s="40"/>
      <c r="AH308" s="40"/>
      <c r="AI308" s="40"/>
      <c r="AJ308" s="40"/>
      <c r="AK308" s="40"/>
      <c r="AL308" s="40"/>
      <c r="AM308" s="40"/>
      <c r="AN308" s="40"/>
      <c r="AO308" s="40"/>
      <c r="AP308" s="40"/>
      <c r="AQ308" s="40"/>
      <c r="AR308" s="40"/>
      <c r="AS308" s="40"/>
      <c r="AT308" s="41"/>
      <c r="AU308" s="1806"/>
      <c r="AV308" s="1517">
        <f t="shared" si="178"/>
        <v>0</v>
      </c>
      <c r="AW308" s="1517">
        <f t="shared" si="179"/>
        <v>0</v>
      </c>
      <c r="AX308" s="1517">
        <f t="shared" si="180"/>
        <v>0</v>
      </c>
      <c r="AY308" s="42">
        <f t="shared" si="155"/>
        <v>0</v>
      </c>
      <c r="AZ308" s="35">
        <f t="shared" si="156"/>
        <v>0</v>
      </c>
      <c r="BA308" s="35">
        <f t="shared" si="157"/>
        <v>0</v>
      </c>
      <c r="BB308" s="35">
        <f t="shared" si="158"/>
        <v>0</v>
      </c>
      <c r="BC308" s="35">
        <f t="shared" si="159"/>
        <v>0</v>
      </c>
      <c r="BD308" s="35">
        <f t="shared" si="160"/>
        <v>0</v>
      </c>
      <c r="BE308" s="35">
        <f t="shared" si="161"/>
        <v>0</v>
      </c>
      <c r="BF308" s="35">
        <f t="shared" si="162"/>
        <v>0</v>
      </c>
      <c r="BG308" s="35">
        <f t="shared" si="163"/>
        <v>0</v>
      </c>
      <c r="BH308" s="35">
        <f t="shared" si="164"/>
        <v>0</v>
      </c>
      <c r="BI308" s="35">
        <f t="shared" si="165"/>
        <v>0</v>
      </c>
      <c r="BJ308" s="35">
        <f t="shared" si="166"/>
        <v>0</v>
      </c>
      <c r="BK308" s="35">
        <f t="shared" si="167"/>
        <v>0</v>
      </c>
      <c r="BL308" s="35">
        <f t="shared" si="168"/>
        <v>0</v>
      </c>
      <c r="BM308" s="35">
        <f t="shared" si="169"/>
        <v>0</v>
      </c>
      <c r="BN308" s="35">
        <f t="shared" si="170"/>
        <v>0</v>
      </c>
      <c r="BO308" s="35">
        <f t="shared" si="171"/>
        <v>0</v>
      </c>
      <c r="BP308" s="35">
        <f t="shared" si="172"/>
        <v>0</v>
      </c>
      <c r="BQ308" s="35">
        <f t="shared" si="173"/>
        <v>0</v>
      </c>
      <c r="BR308" s="35">
        <f t="shared" si="174"/>
        <v>0</v>
      </c>
      <c r="BS308" s="35">
        <f t="shared" si="175"/>
        <v>0</v>
      </c>
      <c r="BT308" s="43">
        <f t="shared" si="176"/>
        <v>0</v>
      </c>
    </row>
    <row r="309" spans="1:72">
      <c r="A309" s="9"/>
      <c r="B309" s="34"/>
      <c r="C309" s="34"/>
      <c r="D309" s="1805"/>
      <c r="E309" s="35">
        <f t="shared" si="177"/>
        <v>0</v>
      </c>
      <c r="F309" s="36"/>
      <c r="G309" s="37">
        <f t="shared" si="152"/>
        <v>0</v>
      </c>
      <c r="H309" s="38">
        <f t="shared" si="153"/>
        <v>0</v>
      </c>
      <c r="I309" s="39"/>
      <c r="J309" s="39"/>
      <c r="K309" s="39"/>
      <c r="L309" s="39"/>
      <c r="M309" s="39"/>
      <c r="N309" s="39"/>
      <c r="O309" s="39"/>
      <c r="P309" s="39"/>
      <c r="Q309" s="39"/>
      <c r="R309" s="39"/>
      <c r="S309" s="39"/>
      <c r="T309" s="39"/>
      <c r="U309" s="39"/>
      <c r="V309" s="39"/>
      <c r="W309" s="39"/>
      <c r="X309" s="39"/>
      <c r="Y309" s="39"/>
      <c r="Z309" s="39"/>
      <c r="AA309" s="39"/>
      <c r="AB309" s="39"/>
      <c r="AC309" s="35">
        <f t="shared" si="154"/>
        <v>0</v>
      </c>
      <c r="AD309" s="40"/>
      <c r="AE309" s="40"/>
      <c r="AF309" s="40"/>
      <c r="AG309" s="40"/>
      <c r="AH309" s="40"/>
      <c r="AI309" s="40"/>
      <c r="AJ309" s="40"/>
      <c r="AK309" s="40"/>
      <c r="AL309" s="40"/>
      <c r="AM309" s="40"/>
      <c r="AN309" s="40"/>
      <c r="AO309" s="40"/>
      <c r="AP309" s="40"/>
      <c r="AQ309" s="40"/>
      <c r="AR309" s="40"/>
      <c r="AS309" s="40"/>
      <c r="AT309" s="41"/>
      <c r="AU309" s="1806"/>
      <c r="AV309" s="1517">
        <f t="shared" si="178"/>
        <v>0</v>
      </c>
      <c r="AW309" s="1517">
        <f t="shared" si="179"/>
        <v>0</v>
      </c>
      <c r="AX309" s="1517">
        <f t="shared" si="180"/>
        <v>0</v>
      </c>
      <c r="AY309" s="42">
        <f t="shared" si="155"/>
        <v>0</v>
      </c>
      <c r="AZ309" s="35">
        <f t="shared" si="156"/>
        <v>0</v>
      </c>
      <c r="BA309" s="35">
        <f t="shared" si="157"/>
        <v>0</v>
      </c>
      <c r="BB309" s="35">
        <f t="shared" si="158"/>
        <v>0</v>
      </c>
      <c r="BC309" s="35">
        <f t="shared" si="159"/>
        <v>0</v>
      </c>
      <c r="BD309" s="35">
        <f t="shared" si="160"/>
        <v>0</v>
      </c>
      <c r="BE309" s="35">
        <f t="shared" si="161"/>
        <v>0</v>
      </c>
      <c r="BF309" s="35">
        <f t="shared" si="162"/>
        <v>0</v>
      </c>
      <c r="BG309" s="35">
        <f t="shared" si="163"/>
        <v>0</v>
      </c>
      <c r="BH309" s="35">
        <f t="shared" si="164"/>
        <v>0</v>
      </c>
      <c r="BI309" s="35">
        <f t="shared" si="165"/>
        <v>0</v>
      </c>
      <c r="BJ309" s="35">
        <f t="shared" si="166"/>
        <v>0</v>
      </c>
      <c r="BK309" s="35">
        <f t="shared" si="167"/>
        <v>0</v>
      </c>
      <c r="BL309" s="35">
        <f t="shared" si="168"/>
        <v>0</v>
      </c>
      <c r="BM309" s="35">
        <f t="shared" si="169"/>
        <v>0</v>
      </c>
      <c r="BN309" s="35">
        <f t="shared" si="170"/>
        <v>0</v>
      </c>
      <c r="BO309" s="35">
        <f t="shared" si="171"/>
        <v>0</v>
      </c>
      <c r="BP309" s="35">
        <f t="shared" si="172"/>
        <v>0</v>
      </c>
      <c r="BQ309" s="35">
        <f t="shared" si="173"/>
        <v>0</v>
      </c>
      <c r="BR309" s="35">
        <f t="shared" si="174"/>
        <v>0</v>
      </c>
      <c r="BS309" s="35">
        <f t="shared" si="175"/>
        <v>0</v>
      </c>
      <c r="BT309" s="43">
        <f t="shared" si="176"/>
        <v>0</v>
      </c>
    </row>
    <row r="310" spans="1:72">
      <c r="A310" s="9"/>
      <c r="B310" s="34"/>
      <c r="C310" s="34"/>
      <c r="D310" s="1805"/>
      <c r="E310" s="35">
        <f t="shared" si="177"/>
        <v>0</v>
      </c>
      <c r="F310" s="36"/>
      <c r="G310" s="37">
        <f t="shared" si="152"/>
        <v>0</v>
      </c>
      <c r="H310" s="38">
        <f t="shared" si="153"/>
        <v>0</v>
      </c>
      <c r="I310" s="39"/>
      <c r="J310" s="39"/>
      <c r="K310" s="39"/>
      <c r="L310" s="39"/>
      <c r="M310" s="39"/>
      <c r="N310" s="39"/>
      <c r="O310" s="39"/>
      <c r="P310" s="39"/>
      <c r="Q310" s="39"/>
      <c r="R310" s="39"/>
      <c r="S310" s="39"/>
      <c r="T310" s="39"/>
      <c r="U310" s="39"/>
      <c r="V310" s="39"/>
      <c r="W310" s="39"/>
      <c r="X310" s="39"/>
      <c r="Y310" s="39"/>
      <c r="Z310" s="39"/>
      <c r="AA310" s="39"/>
      <c r="AB310" s="39"/>
      <c r="AC310" s="35">
        <f t="shared" si="154"/>
        <v>0</v>
      </c>
      <c r="AD310" s="40"/>
      <c r="AE310" s="40"/>
      <c r="AF310" s="40"/>
      <c r="AG310" s="40"/>
      <c r="AH310" s="40"/>
      <c r="AI310" s="40"/>
      <c r="AJ310" s="40"/>
      <c r="AK310" s="40"/>
      <c r="AL310" s="40"/>
      <c r="AM310" s="40"/>
      <c r="AN310" s="40"/>
      <c r="AO310" s="40"/>
      <c r="AP310" s="40"/>
      <c r="AQ310" s="40"/>
      <c r="AR310" s="40"/>
      <c r="AS310" s="40"/>
      <c r="AT310" s="41"/>
      <c r="AU310" s="1806"/>
      <c r="AV310" s="1517">
        <f t="shared" si="178"/>
        <v>0</v>
      </c>
      <c r="AW310" s="1517">
        <f t="shared" si="179"/>
        <v>0</v>
      </c>
      <c r="AX310" s="1517">
        <f t="shared" si="180"/>
        <v>0</v>
      </c>
      <c r="AY310" s="42">
        <f t="shared" si="155"/>
        <v>0</v>
      </c>
      <c r="AZ310" s="35">
        <f t="shared" si="156"/>
        <v>0</v>
      </c>
      <c r="BA310" s="35">
        <f t="shared" si="157"/>
        <v>0</v>
      </c>
      <c r="BB310" s="35">
        <f t="shared" si="158"/>
        <v>0</v>
      </c>
      <c r="BC310" s="35">
        <f t="shared" si="159"/>
        <v>0</v>
      </c>
      <c r="BD310" s="35">
        <f t="shared" si="160"/>
        <v>0</v>
      </c>
      <c r="BE310" s="35">
        <f t="shared" si="161"/>
        <v>0</v>
      </c>
      <c r="BF310" s="35">
        <f t="shared" si="162"/>
        <v>0</v>
      </c>
      <c r="BG310" s="35">
        <f t="shared" si="163"/>
        <v>0</v>
      </c>
      <c r="BH310" s="35">
        <f t="shared" si="164"/>
        <v>0</v>
      </c>
      <c r="BI310" s="35">
        <f t="shared" si="165"/>
        <v>0</v>
      </c>
      <c r="BJ310" s="35">
        <f t="shared" si="166"/>
        <v>0</v>
      </c>
      <c r="BK310" s="35">
        <f t="shared" si="167"/>
        <v>0</v>
      </c>
      <c r="BL310" s="35">
        <f t="shared" si="168"/>
        <v>0</v>
      </c>
      <c r="BM310" s="35">
        <f t="shared" si="169"/>
        <v>0</v>
      </c>
      <c r="BN310" s="35">
        <f t="shared" si="170"/>
        <v>0</v>
      </c>
      <c r="BO310" s="35">
        <f t="shared" si="171"/>
        <v>0</v>
      </c>
      <c r="BP310" s="35">
        <f t="shared" si="172"/>
        <v>0</v>
      </c>
      <c r="BQ310" s="35">
        <f t="shared" si="173"/>
        <v>0</v>
      </c>
      <c r="BR310" s="35">
        <f t="shared" si="174"/>
        <v>0</v>
      </c>
      <c r="BS310" s="35">
        <f t="shared" si="175"/>
        <v>0</v>
      </c>
      <c r="BT310" s="43">
        <f t="shared" si="176"/>
        <v>0</v>
      </c>
    </row>
    <row r="311" spans="1:72">
      <c r="A311" s="9"/>
      <c r="B311" s="34"/>
      <c r="C311" s="34"/>
      <c r="D311" s="1805"/>
      <c r="E311" s="35">
        <f t="shared" si="177"/>
        <v>0</v>
      </c>
      <c r="F311" s="36"/>
      <c r="G311" s="37">
        <f t="shared" si="152"/>
        <v>0</v>
      </c>
      <c r="H311" s="38">
        <f t="shared" si="153"/>
        <v>0</v>
      </c>
      <c r="I311" s="39"/>
      <c r="J311" s="39"/>
      <c r="K311" s="39"/>
      <c r="L311" s="39"/>
      <c r="M311" s="39"/>
      <c r="N311" s="39"/>
      <c r="O311" s="39"/>
      <c r="P311" s="39"/>
      <c r="Q311" s="39"/>
      <c r="R311" s="39"/>
      <c r="S311" s="39"/>
      <c r="T311" s="39"/>
      <c r="U311" s="39"/>
      <c r="V311" s="39"/>
      <c r="W311" s="39"/>
      <c r="X311" s="39"/>
      <c r="Y311" s="39"/>
      <c r="Z311" s="39"/>
      <c r="AA311" s="39"/>
      <c r="AB311" s="39"/>
      <c r="AC311" s="35">
        <f t="shared" si="154"/>
        <v>0</v>
      </c>
      <c r="AD311" s="40"/>
      <c r="AE311" s="40"/>
      <c r="AF311" s="40"/>
      <c r="AG311" s="40"/>
      <c r="AH311" s="40"/>
      <c r="AI311" s="40"/>
      <c r="AJ311" s="40"/>
      <c r="AK311" s="40"/>
      <c r="AL311" s="40"/>
      <c r="AM311" s="40"/>
      <c r="AN311" s="40"/>
      <c r="AO311" s="40"/>
      <c r="AP311" s="40"/>
      <c r="AQ311" s="40"/>
      <c r="AR311" s="40"/>
      <c r="AS311" s="40"/>
      <c r="AT311" s="41"/>
      <c r="AU311" s="1806"/>
      <c r="AV311" s="1517">
        <f t="shared" si="178"/>
        <v>0</v>
      </c>
      <c r="AW311" s="1517">
        <f t="shared" si="179"/>
        <v>0</v>
      </c>
      <c r="AX311" s="1517">
        <f t="shared" si="180"/>
        <v>0</v>
      </c>
      <c r="AY311" s="42">
        <f t="shared" si="155"/>
        <v>0</v>
      </c>
      <c r="AZ311" s="35">
        <f t="shared" si="156"/>
        <v>0</v>
      </c>
      <c r="BA311" s="35">
        <f t="shared" si="157"/>
        <v>0</v>
      </c>
      <c r="BB311" s="35">
        <f t="shared" si="158"/>
        <v>0</v>
      </c>
      <c r="BC311" s="35">
        <f t="shared" si="159"/>
        <v>0</v>
      </c>
      <c r="BD311" s="35">
        <f t="shared" si="160"/>
        <v>0</v>
      </c>
      <c r="BE311" s="35">
        <f t="shared" si="161"/>
        <v>0</v>
      </c>
      <c r="BF311" s="35">
        <f t="shared" si="162"/>
        <v>0</v>
      </c>
      <c r="BG311" s="35">
        <f t="shared" si="163"/>
        <v>0</v>
      </c>
      <c r="BH311" s="35">
        <f t="shared" si="164"/>
        <v>0</v>
      </c>
      <c r="BI311" s="35">
        <f t="shared" si="165"/>
        <v>0</v>
      </c>
      <c r="BJ311" s="35">
        <f t="shared" si="166"/>
        <v>0</v>
      </c>
      <c r="BK311" s="35">
        <f t="shared" si="167"/>
        <v>0</v>
      </c>
      <c r="BL311" s="35">
        <f t="shared" si="168"/>
        <v>0</v>
      </c>
      <c r="BM311" s="35">
        <f t="shared" si="169"/>
        <v>0</v>
      </c>
      <c r="BN311" s="35">
        <f t="shared" si="170"/>
        <v>0</v>
      </c>
      <c r="BO311" s="35">
        <f t="shared" si="171"/>
        <v>0</v>
      </c>
      <c r="BP311" s="35">
        <f t="shared" si="172"/>
        <v>0</v>
      </c>
      <c r="BQ311" s="35">
        <f t="shared" si="173"/>
        <v>0</v>
      </c>
      <c r="BR311" s="35">
        <f t="shared" si="174"/>
        <v>0</v>
      </c>
      <c r="BS311" s="35">
        <f t="shared" si="175"/>
        <v>0</v>
      </c>
      <c r="BT311" s="43">
        <f t="shared" si="176"/>
        <v>0</v>
      </c>
    </row>
    <row r="312" spans="1:72">
      <c r="A312" s="9"/>
      <c r="B312" s="34"/>
      <c r="C312" s="34"/>
      <c r="D312" s="1805"/>
      <c r="E312" s="35">
        <f t="shared" si="177"/>
        <v>0</v>
      </c>
      <c r="F312" s="36"/>
      <c r="G312" s="37">
        <f t="shared" si="152"/>
        <v>0</v>
      </c>
      <c r="H312" s="38">
        <f t="shared" si="153"/>
        <v>0</v>
      </c>
      <c r="I312" s="39"/>
      <c r="J312" s="39"/>
      <c r="K312" s="39"/>
      <c r="L312" s="39"/>
      <c r="M312" s="39"/>
      <c r="N312" s="39"/>
      <c r="O312" s="39"/>
      <c r="P312" s="39"/>
      <c r="Q312" s="39"/>
      <c r="R312" s="39"/>
      <c r="S312" s="39"/>
      <c r="T312" s="39"/>
      <c r="U312" s="39"/>
      <c r="V312" s="39"/>
      <c r="W312" s="39"/>
      <c r="X312" s="39"/>
      <c r="Y312" s="39"/>
      <c r="Z312" s="39"/>
      <c r="AA312" s="39"/>
      <c r="AB312" s="39"/>
      <c r="AC312" s="35">
        <f t="shared" si="154"/>
        <v>0</v>
      </c>
      <c r="AD312" s="40"/>
      <c r="AE312" s="40"/>
      <c r="AF312" s="40"/>
      <c r="AG312" s="40"/>
      <c r="AH312" s="40"/>
      <c r="AI312" s="40"/>
      <c r="AJ312" s="40"/>
      <c r="AK312" s="40"/>
      <c r="AL312" s="40"/>
      <c r="AM312" s="40"/>
      <c r="AN312" s="40"/>
      <c r="AO312" s="40"/>
      <c r="AP312" s="40"/>
      <c r="AQ312" s="40"/>
      <c r="AR312" s="40"/>
      <c r="AS312" s="40"/>
      <c r="AT312" s="41"/>
      <c r="AU312" s="1806"/>
      <c r="AV312" s="1517">
        <f t="shared" si="178"/>
        <v>0</v>
      </c>
      <c r="AW312" s="1517">
        <f t="shared" si="179"/>
        <v>0</v>
      </c>
      <c r="AX312" s="1517">
        <f t="shared" si="180"/>
        <v>0</v>
      </c>
      <c r="AY312" s="42">
        <f t="shared" si="155"/>
        <v>0</v>
      </c>
      <c r="AZ312" s="35">
        <f t="shared" si="156"/>
        <v>0</v>
      </c>
      <c r="BA312" s="35">
        <f t="shared" si="157"/>
        <v>0</v>
      </c>
      <c r="BB312" s="35">
        <f t="shared" si="158"/>
        <v>0</v>
      </c>
      <c r="BC312" s="35">
        <f t="shared" si="159"/>
        <v>0</v>
      </c>
      <c r="BD312" s="35">
        <f t="shared" si="160"/>
        <v>0</v>
      </c>
      <c r="BE312" s="35">
        <f t="shared" si="161"/>
        <v>0</v>
      </c>
      <c r="BF312" s="35">
        <f t="shared" si="162"/>
        <v>0</v>
      </c>
      <c r="BG312" s="35">
        <f t="shared" si="163"/>
        <v>0</v>
      </c>
      <c r="BH312" s="35">
        <f t="shared" si="164"/>
        <v>0</v>
      </c>
      <c r="BI312" s="35">
        <f t="shared" si="165"/>
        <v>0</v>
      </c>
      <c r="BJ312" s="35">
        <f t="shared" si="166"/>
        <v>0</v>
      </c>
      <c r="BK312" s="35">
        <f t="shared" si="167"/>
        <v>0</v>
      </c>
      <c r="BL312" s="35">
        <f t="shared" si="168"/>
        <v>0</v>
      </c>
      <c r="BM312" s="35">
        <f t="shared" si="169"/>
        <v>0</v>
      </c>
      <c r="BN312" s="35">
        <f t="shared" si="170"/>
        <v>0</v>
      </c>
      <c r="BO312" s="35">
        <f t="shared" si="171"/>
        <v>0</v>
      </c>
      <c r="BP312" s="35">
        <f t="shared" si="172"/>
        <v>0</v>
      </c>
      <c r="BQ312" s="35">
        <f t="shared" si="173"/>
        <v>0</v>
      </c>
      <c r="BR312" s="35">
        <f t="shared" si="174"/>
        <v>0</v>
      </c>
      <c r="BS312" s="35">
        <f t="shared" si="175"/>
        <v>0</v>
      </c>
      <c r="BT312" s="43">
        <f t="shared" si="176"/>
        <v>0</v>
      </c>
    </row>
    <row r="313" spans="1:72">
      <c r="A313" s="9"/>
      <c r="B313" s="34"/>
      <c r="C313" s="34"/>
      <c r="D313" s="1805"/>
      <c r="E313" s="35">
        <f t="shared" si="177"/>
        <v>0</v>
      </c>
      <c r="F313" s="36"/>
      <c r="G313" s="37">
        <f t="shared" si="152"/>
        <v>0</v>
      </c>
      <c r="H313" s="38">
        <f t="shared" si="153"/>
        <v>0</v>
      </c>
      <c r="I313" s="39"/>
      <c r="J313" s="39"/>
      <c r="K313" s="39"/>
      <c r="L313" s="39"/>
      <c r="M313" s="39"/>
      <c r="N313" s="39"/>
      <c r="O313" s="39"/>
      <c r="P313" s="39"/>
      <c r="Q313" s="39"/>
      <c r="R313" s="39"/>
      <c r="S313" s="39"/>
      <c r="T313" s="39"/>
      <c r="U313" s="39"/>
      <c r="V313" s="39"/>
      <c r="W313" s="39"/>
      <c r="X313" s="39"/>
      <c r="Y313" s="39"/>
      <c r="Z313" s="39"/>
      <c r="AA313" s="39"/>
      <c r="AB313" s="39"/>
      <c r="AC313" s="35">
        <f t="shared" si="154"/>
        <v>0</v>
      </c>
      <c r="AD313" s="40"/>
      <c r="AE313" s="40"/>
      <c r="AF313" s="40"/>
      <c r="AG313" s="40"/>
      <c r="AH313" s="40"/>
      <c r="AI313" s="40"/>
      <c r="AJ313" s="40"/>
      <c r="AK313" s="40"/>
      <c r="AL313" s="40"/>
      <c r="AM313" s="40"/>
      <c r="AN313" s="40"/>
      <c r="AO313" s="40"/>
      <c r="AP313" s="40"/>
      <c r="AQ313" s="40"/>
      <c r="AR313" s="40"/>
      <c r="AS313" s="40"/>
      <c r="AT313" s="41"/>
      <c r="AU313" s="1806"/>
      <c r="AV313" s="1517">
        <f t="shared" si="178"/>
        <v>0</v>
      </c>
      <c r="AW313" s="1517">
        <f t="shared" si="179"/>
        <v>0</v>
      </c>
      <c r="AX313" s="1517">
        <f t="shared" si="180"/>
        <v>0</v>
      </c>
      <c r="AY313" s="42">
        <f t="shared" si="155"/>
        <v>0</v>
      </c>
      <c r="AZ313" s="35">
        <f t="shared" si="156"/>
        <v>0</v>
      </c>
      <c r="BA313" s="35">
        <f t="shared" si="157"/>
        <v>0</v>
      </c>
      <c r="BB313" s="35">
        <f t="shared" si="158"/>
        <v>0</v>
      </c>
      <c r="BC313" s="35">
        <f t="shared" si="159"/>
        <v>0</v>
      </c>
      <c r="BD313" s="35">
        <f t="shared" si="160"/>
        <v>0</v>
      </c>
      <c r="BE313" s="35">
        <f t="shared" si="161"/>
        <v>0</v>
      </c>
      <c r="BF313" s="35">
        <f t="shared" si="162"/>
        <v>0</v>
      </c>
      <c r="BG313" s="35">
        <f t="shared" si="163"/>
        <v>0</v>
      </c>
      <c r="BH313" s="35">
        <f t="shared" si="164"/>
        <v>0</v>
      </c>
      <c r="BI313" s="35">
        <f t="shared" si="165"/>
        <v>0</v>
      </c>
      <c r="BJ313" s="35">
        <f t="shared" si="166"/>
        <v>0</v>
      </c>
      <c r="BK313" s="35">
        <f t="shared" si="167"/>
        <v>0</v>
      </c>
      <c r="BL313" s="35">
        <f t="shared" si="168"/>
        <v>0</v>
      </c>
      <c r="BM313" s="35">
        <f t="shared" si="169"/>
        <v>0</v>
      </c>
      <c r="BN313" s="35">
        <f t="shared" si="170"/>
        <v>0</v>
      </c>
      <c r="BO313" s="35">
        <f t="shared" si="171"/>
        <v>0</v>
      </c>
      <c r="BP313" s="35">
        <f t="shared" si="172"/>
        <v>0</v>
      </c>
      <c r="BQ313" s="35">
        <f t="shared" si="173"/>
        <v>0</v>
      </c>
      <c r="BR313" s="35">
        <f t="shared" si="174"/>
        <v>0</v>
      </c>
      <c r="BS313" s="35">
        <f t="shared" si="175"/>
        <v>0</v>
      </c>
      <c r="BT313" s="43">
        <f t="shared" si="176"/>
        <v>0</v>
      </c>
    </row>
    <row r="314" spans="1:72">
      <c r="A314" s="9"/>
      <c r="B314" s="34"/>
      <c r="C314" s="34"/>
      <c r="D314" s="1805"/>
      <c r="E314" s="35">
        <f t="shared" si="177"/>
        <v>0</v>
      </c>
      <c r="F314" s="36"/>
      <c r="G314" s="37">
        <f t="shared" si="152"/>
        <v>0</v>
      </c>
      <c r="H314" s="38">
        <f t="shared" si="153"/>
        <v>0</v>
      </c>
      <c r="I314" s="39"/>
      <c r="J314" s="39"/>
      <c r="K314" s="39"/>
      <c r="L314" s="39"/>
      <c r="M314" s="39"/>
      <c r="N314" s="39"/>
      <c r="O314" s="39"/>
      <c r="P314" s="39"/>
      <c r="Q314" s="39"/>
      <c r="R314" s="39"/>
      <c r="S314" s="39"/>
      <c r="T314" s="39"/>
      <c r="U314" s="39"/>
      <c r="V314" s="39"/>
      <c r="W314" s="39"/>
      <c r="X314" s="39"/>
      <c r="Y314" s="39"/>
      <c r="Z314" s="39"/>
      <c r="AA314" s="39"/>
      <c r="AB314" s="39"/>
      <c r="AC314" s="35">
        <f t="shared" si="154"/>
        <v>0</v>
      </c>
      <c r="AD314" s="40"/>
      <c r="AE314" s="40"/>
      <c r="AF314" s="40"/>
      <c r="AG314" s="40"/>
      <c r="AH314" s="40"/>
      <c r="AI314" s="40"/>
      <c r="AJ314" s="40"/>
      <c r="AK314" s="40"/>
      <c r="AL314" s="40"/>
      <c r="AM314" s="40"/>
      <c r="AN314" s="40"/>
      <c r="AO314" s="40"/>
      <c r="AP314" s="40"/>
      <c r="AQ314" s="40"/>
      <c r="AR314" s="40"/>
      <c r="AS314" s="40"/>
      <c r="AT314" s="41"/>
      <c r="AU314" s="1806"/>
      <c r="AV314" s="1517">
        <f t="shared" si="178"/>
        <v>0</v>
      </c>
      <c r="AW314" s="1517">
        <f t="shared" si="179"/>
        <v>0</v>
      </c>
      <c r="AX314" s="1517">
        <f t="shared" si="180"/>
        <v>0</v>
      </c>
      <c r="AY314" s="42">
        <f t="shared" si="155"/>
        <v>0</v>
      </c>
      <c r="AZ314" s="35">
        <f t="shared" si="156"/>
        <v>0</v>
      </c>
      <c r="BA314" s="35">
        <f t="shared" si="157"/>
        <v>0</v>
      </c>
      <c r="BB314" s="35">
        <f t="shared" si="158"/>
        <v>0</v>
      </c>
      <c r="BC314" s="35">
        <f t="shared" si="159"/>
        <v>0</v>
      </c>
      <c r="BD314" s="35">
        <f t="shared" si="160"/>
        <v>0</v>
      </c>
      <c r="BE314" s="35">
        <f t="shared" si="161"/>
        <v>0</v>
      </c>
      <c r="BF314" s="35">
        <f t="shared" si="162"/>
        <v>0</v>
      </c>
      <c r="BG314" s="35">
        <f t="shared" si="163"/>
        <v>0</v>
      </c>
      <c r="BH314" s="35">
        <f t="shared" si="164"/>
        <v>0</v>
      </c>
      <c r="BI314" s="35">
        <f t="shared" si="165"/>
        <v>0</v>
      </c>
      <c r="BJ314" s="35">
        <f t="shared" si="166"/>
        <v>0</v>
      </c>
      <c r="BK314" s="35">
        <f t="shared" si="167"/>
        <v>0</v>
      </c>
      <c r="BL314" s="35">
        <f t="shared" si="168"/>
        <v>0</v>
      </c>
      <c r="BM314" s="35">
        <f t="shared" si="169"/>
        <v>0</v>
      </c>
      <c r="BN314" s="35">
        <f t="shared" si="170"/>
        <v>0</v>
      </c>
      <c r="BO314" s="35">
        <f t="shared" si="171"/>
        <v>0</v>
      </c>
      <c r="BP314" s="35">
        <f t="shared" si="172"/>
        <v>0</v>
      </c>
      <c r="BQ314" s="35">
        <f t="shared" si="173"/>
        <v>0</v>
      </c>
      <c r="BR314" s="35">
        <f t="shared" si="174"/>
        <v>0</v>
      </c>
      <c r="BS314" s="35">
        <f t="shared" si="175"/>
        <v>0</v>
      </c>
      <c r="BT314" s="43">
        <f t="shared" si="176"/>
        <v>0</v>
      </c>
    </row>
    <row r="315" spans="1:72">
      <c r="A315" s="9"/>
      <c r="B315" s="34"/>
      <c r="C315" s="34"/>
      <c r="D315" s="1805"/>
      <c r="E315" s="35">
        <f t="shared" si="177"/>
        <v>0</v>
      </c>
      <c r="F315" s="36"/>
      <c r="G315" s="37">
        <f t="shared" si="152"/>
        <v>0</v>
      </c>
      <c r="H315" s="38">
        <f t="shared" si="153"/>
        <v>0</v>
      </c>
      <c r="I315" s="39"/>
      <c r="J315" s="39"/>
      <c r="K315" s="39"/>
      <c r="L315" s="39"/>
      <c r="M315" s="39"/>
      <c r="N315" s="39"/>
      <c r="O315" s="39"/>
      <c r="P315" s="39"/>
      <c r="Q315" s="39"/>
      <c r="R315" s="39"/>
      <c r="S315" s="39"/>
      <c r="T315" s="39"/>
      <c r="U315" s="39"/>
      <c r="V315" s="39"/>
      <c r="W315" s="39"/>
      <c r="X315" s="39"/>
      <c r="Y315" s="39"/>
      <c r="Z315" s="39"/>
      <c r="AA315" s="39"/>
      <c r="AB315" s="39"/>
      <c r="AC315" s="35">
        <f t="shared" si="154"/>
        <v>0</v>
      </c>
      <c r="AD315" s="40"/>
      <c r="AE315" s="40"/>
      <c r="AF315" s="40"/>
      <c r="AG315" s="40"/>
      <c r="AH315" s="40"/>
      <c r="AI315" s="40"/>
      <c r="AJ315" s="40"/>
      <c r="AK315" s="40"/>
      <c r="AL315" s="40"/>
      <c r="AM315" s="40"/>
      <c r="AN315" s="40"/>
      <c r="AO315" s="40"/>
      <c r="AP315" s="40"/>
      <c r="AQ315" s="40"/>
      <c r="AR315" s="40"/>
      <c r="AS315" s="40"/>
      <c r="AT315" s="41"/>
      <c r="AU315" s="1806"/>
      <c r="AV315" s="1517">
        <f t="shared" si="178"/>
        <v>0</v>
      </c>
      <c r="AW315" s="1517">
        <f t="shared" si="179"/>
        <v>0</v>
      </c>
      <c r="AX315" s="1517">
        <f t="shared" si="180"/>
        <v>0</v>
      </c>
      <c r="AY315" s="42">
        <f t="shared" si="155"/>
        <v>0</v>
      </c>
      <c r="AZ315" s="35">
        <f t="shared" si="156"/>
        <v>0</v>
      </c>
      <c r="BA315" s="35">
        <f t="shared" si="157"/>
        <v>0</v>
      </c>
      <c r="BB315" s="35">
        <f t="shared" si="158"/>
        <v>0</v>
      </c>
      <c r="BC315" s="35">
        <f t="shared" si="159"/>
        <v>0</v>
      </c>
      <c r="BD315" s="35">
        <f t="shared" si="160"/>
        <v>0</v>
      </c>
      <c r="BE315" s="35">
        <f t="shared" si="161"/>
        <v>0</v>
      </c>
      <c r="BF315" s="35">
        <f t="shared" si="162"/>
        <v>0</v>
      </c>
      <c r="BG315" s="35">
        <f t="shared" si="163"/>
        <v>0</v>
      </c>
      <c r="BH315" s="35">
        <f t="shared" si="164"/>
        <v>0</v>
      </c>
      <c r="BI315" s="35">
        <f t="shared" si="165"/>
        <v>0</v>
      </c>
      <c r="BJ315" s="35">
        <f t="shared" si="166"/>
        <v>0</v>
      </c>
      <c r="BK315" s="35">
        <f t="shared" si="167"/>
        <v>0</v>
      </c>
      <c r="BL315" s="35">
        <f t="shared" si="168"/>
        <v>0</v>
      </c>
      <c r="BM315" s="35">
        <f t="shared" si="169"/>
        <v>0</v>
      </c>
      <c r="BN315" s="35">
        <f t="shared" si="170"/>
        <v>0</v>
      </c>
      <c r="BO315" s="35">
        <f t="shared" si="171"/>
        <v>0</v>
      </c>
      <c r="BP315" s="35">
        <f t="shared" si="172"/>
        <v>0</v>
      </c>
      <c r="BQ315" s="35">
        <f t="shared" si="173"/>
        <v>0</v>
      </c>
      <c r="BR315" s="35">
        <f t="shared" si="174"/>
        <v>0</v>
      </c>
      <c r="BS315" s="35">
        <f t="shared" si="175"/>
        <v>0</v>
      </c>
      <c r="BT315" s="43">
        <f t="shared" si="176"/>
        <v>0</v>
      </c>
    </row>
    <row r="316" spans="1:72">
      <c r="A316" s="9"/>
      <c r="B316" s="34"/>
      <c r="C316" s="34"/>
      <c r="D316" s="1805"/>
      <c r="E316" s="35">
        <f t="shared" si="177"/>
        <v>0</v>
      </c>
      <c r="F316" s="36"/>
      <c r="G316" s="37">
        <f t="shared" si="152"/>
        <v>0</v>
      </c>
      <c r="H316" s="38">
        <f t="shared" si="153"/>
        <v>0</v>
      </c>
      <c r="I316" s="39"/>
      <c r="J316" s="39"/>
      <c r="K316" s="39"/>
      <c r="L316" s="39"/>
      <c r="M316" s="39"/>
      <c r="N316" s="39"/>
      <c r="O316" s="39"/>
      <c r="P316" s="39"/>
      <c r="Q316" s="39"/>
      <c r="R316" s="39"/>
      <c r="S316" s="39"/>
      <c r="T316" s="39"/>
      <c r="U316" s="39"/>
      <c r="V316" s="39"/>
      <c r="W316" s="39"/>
      <c r="X316" s="39"/>
      <c r="Y316" s="39"/>
      <c r="Z316" s="39"/>
      <c r="AA316" s="39"/>
      <c r="AB316" s="39"/>
      <c r="AC316" s="35">
        <f t="shared" si="154"/>
        <v>0</v>
      </c>
      <c r="AD316" s="40"/>
      <c r="AE316" s="40"/>
      <c r="AF316" s="40"/>
      <c r="AG316" s="40"/>
      <c r="AH316" s="40"/>
      <c r="AI316" s="40"/>
      <c r="AJ316" s="40"/>
      <c r="AK316" s="40"/>
      <c r="AL316" s="40"/>
      <c r="AM316" s="40"/>
      <c r="AN316" s="40"/>
      <c r="AO316" s="40"/>
      <c r="AP316" s="40"/>
      <c r="AQ316" s="40"/>
      <c r="AR316" s="40"/>
      <c r="AS316" s="40"/>
      <c r="AT316" s="41"/>
      <c r="AU316" s="1806"/>
      <c r="AV316" s="1517">
        <f t="shared" si="178"/>
        <v>0</v>
      </c>
      <c r="AW316" s="1517">
        <f t="shared" si="179"/>
        <v>0</v>
      </c>
      <c r="AX316" s="1517">
        <f t="shared" si="180"/>
        <v>0</v>
      </c>
      <c r="AY316" s="42">
        <f t="shared" si="155"/>
        <v>0</v>
      </c>
      <c r="AZ316" s="35">
        <f t="shared" si="156"/>
        <v>0</v>
      </c>
      <c r="BA316" s="35">
        <f t="shared" si="157"/>
        <v>0</v>
      </c>
      <c r="BB316" s="35">
        <f t="shared" si="158"/>
        <v>0</v>
      </c>
      <c r="BC316" s="35">
        <f t="shared" si="159"/>
        <v>0</v>
      </c>
      <c r="BD316" s="35">
        <f t="shared" si="160"/>
        <v>0</v>
      </c>
      <c r="BE316" s="35">
        <f t="shared" si="161"/>
        <v>0</v>
      </c>
      <c r="BF316" s="35">
        <f t="shared" si="162"/>
        <v>0</v>
      </c>
      <c r="BG316" s="35">
        <f t="shared" si="163"/>
        <v>0</v>
      </c>
      <c r="BH316" s="35">
        <f t="shared" si="164"/>
        <v>0</v>
      </c>
      <c r="BI316" s="35">
        <f t="shared" si="165"/>
        <v>0</v>
      </c>
      <c r="BJ316" s="35">
        <f t="shared" si="166"/>
        <v>0</v>
      </c>
      <c r="BK316" s="35">
        <f t="shared" si="167"/>
        <v>0</v>
      </c>
      <c r="BL316" s="35">
        <f t="shared" si="168"/>
        <v>0</v>
      </c>
      <c r="BM316" s="35">
        <f t="shared" si="169"/>
        <v>0</v>
      </c>
      <c r="BN316" s="35">
        <f t="shared" si="170"/>
        <v>0</v>
      </c>
      <c r="BO316" s="35">
        <f t="shared" si="171"/>
        <v>0</v>
      </c>
      <c r="BP316" s="35">
        <f t="shared" si="172"/>
        <v>0</v>
      </c>
      <c r="BQ316" s="35">
        <f t="shared" si="173"/>
        <v>0</v>
      </c>
      <c r="BR316" s="35">
        <f t="shared" si="174"/>
        <v>0</v>
      </c>
      <c r="BS316" s="35">
        <f t="shared" si="175"/>
        <v>0</v>
      </c>
      <c r="BT316" s="43">
        <f t="shared" si="176"/>
        <v>0</v>
      </c>
    </row>
    <row r="317" spans="1:72">
      <c r="A317" s="9"/>
      <c r="B317" s="34"/>
      <c r="C317" s="34"/>
      <c r="D317" s="1805"/>
      <c r="E317" s="35">
        <f t="shared" si="177"/>
        <v>0</v>
      </c>
      <c r="F317" s="36"/>
      <c r="G317" s="37">
        <f t="shared" si="152"/>
        <v>0</v>
      </c>
      <c r="H317" s="38">
        <f t="shared" si="153"/>
        <v>0</v>
      </c>
      <c r="I317" s="39"/>
      <c r="J317" s="39"/>
      <c r="K317" s="39"/>
      <c r="L317" s="39"/>
      <c r="M317" s="39"/>
      <c r="N317" s="39"/>
      <c r="O317" s="39"/>
      <c r="P317" s="39"/>
      <c r="Q317" s="39"/>
      <c r="R317" s="39"/>
      <c r="S317" s="39"/>
      <c r="T317" s="39"/>
      <c r="U317" s="39"/>
      <c r="V317" s="39"/>
      <c r="W317" s="39"/>
      <c r="X317" s="39"/>
      <c r="Y317" s="39"/>
      <c r="Z317" s="39"/>
      <c r="AA317" s="39"/>
      <c r="AB317" s="39"/>
      <c r="AC317" s="35">
        <f t="shared" si="154"/>
        <v>0</v>
      </c>
      <c r="AD317" s="40"/>
      <c r="AE317" s="40"/>
      <c r="AF317" s="40"/>
      <c r="AG317" s="40"/>
      <c r="AH317" s="40"/>
      <c r="AI317" s="40"/>
      <c r="AJ317" s="40"/>
      <c r="AK317" s="40"/>
      <c r="AL317" s="40"/>
      <c r="AM317" s="40"/>
      <c r="AN317" s="40"/>
      <c r="AO317" s="40"/>
      <c r="AP317" s="40"/>
      <c r="AQ317" s="40"/>
      <c r="AR317" s="40"/>
      <c r="AS317" s="40"/>
      <c r="AT317" s="41"/>
      <c r="AU317" s="1806"/>
      <c r="AV317" s="1517">
        <f t="shared" si="178"/>
        <v>0</v>
      </c>
      <c r="AW317" s="1517">
        <f t="shared" si="179"/>
        <v>0</v>
      </c>
      <c r="AX317" s="1517">
        <f t="shared" si="180"/>
        <v>0</v>
      </c>
      <c r="AY317" s="42">
        <f t="shared" si="155"/>
        <v>0</v>
      </c>
      <c r="AZ317" s="35">
        <f t="shared" si="156"/>
        <v>0</v>
      </c>
      <c r="BA317" s="35">
        <f t="shared" si="157"/>
        <v>0</v>
      </c>
      <c r="BB317" s="35">
        <f t="shared" si="158"/>
        <v>0</v>
      </c>
      <c r="BC317" s="35">
        <f t="shared" si="159"/>
        <v>0</v>
      </c>
      <c r="BD317" s="35">
        <f t="shared" si="160"/>
        <v>0</v>
      </c>
      <c r="BE317" s="35">
        <f t="shared" si="161"/>
        <v>0</v>
      </c>
      <c r="BF317" s="35">
        <f t="shared" si="162"/>
        <v>0</v>
      </c>
      <c r="BG317" s="35">
        <f t="shared" si="163"/>
        <v>0</v>
      </c>
      <c r="BH317" s="35">
        <f t="shared" si="164"/>
        <v>0</v>
      </c>
      <c r="BI317" s="35">
        <f t="shared" si="165"/>
        <v>0</v>
      </c>
      <c r="BJ317" s="35">
        <f t="shared" si="166"/>
        <v>0</v>
      </c>
      <c r="BK317" s="35">
        <f t="shared" si="167"/>
        <v>0</v>
      </c>
      <c r="BL317" s="35">
        <f t="shared" si="168"/>
        <v>0</v>
      </c>
      <c r="BM317" s="35">
        <f t="shared" si="169"/>
        <v>0</v>
      </c>
      <c r="BN317" s="35">
        <f t="shared" si="170"/>
        <v>0</v>
      </c>
      <c r="BO317" s="35">
        <f t="shared" si="171"/>
        <v>0</v>
      </c>
      <c r="BP317" s="35">
        <f t="shared" si="172"/>
        <v>0</v>
      </c>
      <c r="BQ317" s="35">
        <f t="shared" si="173"/>
        <v>0</v>
      </c>
      <c r="BR317" s="35">
        <f t="shared" si="174"/>
        <v>0</v>
      </c>
      <c r="BS317" s="35">
        <f t="shared" si="175"/>
        <v>0</v>
      </c>
      <c r="BT317" s="43">
        <f t="shared" si="176"/>
        <v>0</v>
      </c>
    </row>
    <row r="318" spans="1:72">
      <c r="A318" s="9"/>
      <c r="B318" s="34"/>
      <c r="C318" s="34"/>
      <c r="D318" s="1805"/>
      <c r="E318" s="35">
        <f t="shared" si="177"/>
        <v>0</v>
      </c>
      <c r="F318" s="36"/>
      <c r="G318" s="37">
        <f t="shared" si="152"/>
        <v>0</v>
      </c>
      <c r="H318" s="38">
        <f t="shared" si="153"/>
        <v>0</v>
      </c>
      <c r="I318" s="39"/>
      <c r="J318" s="39"/>
      <c r="K318" s="39"/>
      <c r="L318" s="39"/>
      <c r="M318" s="39"/>
      <c r="N318" s="39"/>
      <c r="O318" s="39"/>
      <c r="P318" s="39"/>
      <c r="Q318" s="39"/>
      <c r="R318" s="39"/>
      <c r="S318" s="39"/>
      <c r="T318" s="39"/>
      <c r="U318" s="39"/>
      <c r="V318" s="39"/>
      <c r="W318" s="39"/>
      <c r="X318" s="39"/>
      <c r="Y318" s="39"/>
      <c r="Z318" s="39"/>
      <c r="AA318" s="39"/>
      <c r="AB318" s="39"/>
      <c r="AC318" s="35">
        <f t="shared" si="154"/>
        <v>0</v>
      </c>
      <c r="AD318" s="40"/>
      <c r="AE318" s="40"/>
      <c r="AF318" s="40"/>
      <c r="AG318" s="40"/>
      <c r="AH318" s="40"/>
      <c r="AI318" s="40"/>
      <c r="AJ318" s="40"/>
      <c r="AK318" s="40"/>
      <c r="AL318" s="40"/>
      <c r="AM318" s="40"/>
      <c r="AN318" s="40"/>
      <c r="AO318" s="40"/>
      <c r="AP318" s="40"/>
      <c r="AQ318" s="40"/>
      <c r="AR318" s="40"/>
      <c r="AS318" s="40"/>
      <c r="AT318" s="41"/>
      <c r="AU318" s="1806"/>
      <c r="AV318" s="1517">
        <f t="shared" si="178"/>
        <v>0</v>
      </c>
      <c r="AW318" s="1517">
        <f t="shared" si="179"/>
        <v>0</v>
      </c>
      <c r="AX318" s="1517">
        <f t="shared" si="180"/>
        <v>0</v>
      </c>
      <c r="AY318" s="42">
        <f t="shared" si="155"/>
        <v>0</v>
      </c>
      <c r="AZ318" s="35">
        <f t="shared" si="156"/>
        <v>0</v>
      </c>
      <c r="BA318" s="35">
        <f t="shared" si="157"/>
        <v>0</v>
      </c>
      <c r="BB318" s="35">
        <f t="shared" si="158"/>
        <v>0</v>
      </c>
      <c r="BC318" s="35">
        <f t="shared" si="159"/>
        <v>0</v>
      </c>
      <c r="BD318" s="35">
        <f t="shared" si="160"/>
        <v>0</v>
      </c>
      <c r="BE318" s="35">
        <f t="shared" si="161"/>
        <v>0</v>
      </c>
      <c r="BF318" s="35">
        <f t="shared" si="162"/>
        <v>0</v>
      </c>
      <c r="BG318" s="35">
        <f t="shared" si="163"/>
        <v>0</v>
      </c>
      <c r="BH318" s="35">
        <f t="shared" si="164"/>
        <v>0</v>
      </c>
      <c r="BI318" s="35">
        <f t="shared" si="165"/>
        <v>0</v>
      </c>
      <c r="BJ318" s="35">
        <f t="shared" si="166"/>
        <v>0</v>
      </c>
      <c r="BK318" s="35">
        <f t="shared" si="167"/>
        <v>0</v>
      </c>
      <c r="BL318" s="35">
        <f t="shared" si="168"/>
        <v>0</v>
      </c>
      <c r="BM318" s="35">
        <f t="shared" si="169"/>
        <v>0</v>
      </c>
      <c r="BN318" s="35">
        <f t="shared" si="170"/>
        <v>0</v>
      </c>
      <c r="BO318" s="35">
        <f t="shared" si="171"/>
        <v>0</v>
      </c>
      <c r="BP318" s="35">
        <f t="shared" si="172"/>
        <v>0</v>
      </c>
      <c r="BQ318" s="35">
        <f t="shared" si="173"/>
        <v>0</v>
      </c>
      <c r="BR318" s="35">
        <f t="shared" si="174"/>
        <v>0</v>
      </c>
      <c r="BS318" s="35">
        <f t="shared" si="175"/>
        <v>0</v>
      </c>
      <c r="BT318" s="43">
        <f t="shared" si="176"/>
        <v>0</v>
      </c>
    </row>
    <row r="319" spans="1:72">
      <c r="A319" s="9"/>
      <c r="B319" s="34"/>
      <c r="C319" s="34"/>
      <c r="D319" s="1805"/>
      <c r="E319" s="35">
        <f t="shared" si="177"/>
        <v>0</v>
      </c>
      <c r="F319" s="36"/>
      <c r="G319" s="37">
        <f t="shared" si="152"/>
        <v>0</v>
      </c>
      <c r="H319" s="38">
        <f t="shared" si="153"/>
        <v>0</v>
      </c>
      <c r="I319" s="39"/>
      <c r="J319" s="39"/>
      <c r="K319" s="39"/>
      <c r="L319" s="39"/>
      <c r="M319" s="39"/>
      <c r="N319" s="39"/>
      <c r="O319" s="39"/>
      <c r="P319" s="39"/>
      <c r="Q319" s="39"/>
      <c r="R319" s="39"/>
      <c r="S319" s="39"/>
      <c r="T319" s="39"/>
      <c r="U319" s="39"/>
      <c r="V319" s="39"/>
      <c r="W319" s="39"/>
      <c r="X319" s="39"/>
      <c r="Y319" s="39"/>
      <c r="Z319" s="39"/>
      <c r="AA319" s="39"/>
      <c r="AB319" s="39"/>
      <c r="AC319" s="35">
        <f t="shared" si="154"/>
        <v>0</v>
      </c>
      <c r="AD319" s="40"/>
      <c r="AE319" s="40"/>
      <c r="AF319" s="40"/>
      <c r="AG319" s="40"/>
      <c r="AH319" s="40"/>
      <c r="AI319" s="40"/>
      <c r="AJ319" s="40"/>
      <c r="AK319" s="40"/>
      <c r="AL319" s="40"/>
      <c r="AM319" s="40"/>
      <c r="AN319" s="40"/>
      <c r="AO319" s="40"/>
      <c r="AP319" s="40"/>
      <c r="AQ319" s="40"/>
      <c r="AR319" s="40"/>
      <c r="AS319" s="40"/>
      <c r="AT319" s="41"/>
      <c r="AU319" s="1806"/>
      <c r="AV319" s="1517">
        <f t="shared" si="178"/>
        <v>0</v>
      </c>
      <c r="AW319" s="1517">
        <f t="shared" si="179"/>
        <v>0</v>
      </c>
      <c r="AX319" s="1517">
        <f t="shared" si="180"/>
        <v>0</v>
      </c>
      <c r="AY319" s="42">
        <f t="shared" si="155"/>
        <v>0</v>
      </c>
      <c r="AZ319" s="35">
        <f t="shared" si="156"/>
        <v>0</v>
      </c>
      <c r="BA319" s="35">
        <f t="shared" si="157"/>
        <v>0</v>
      </c>
      <c r="BB319" s="35">
        <f t="shared" si="158"/>
        <v>0</v>
      </c>
      <c r="BC319" s="35">
        <f t="shared" si="159"/>
        <v>0</v>
      </c>
      <c r="BD319" s="35">
        <f t="shared" si="160"/>
        <v>0</v>
      </c>
      <c r="BE319" s="35">
        <f t="shared" si="161"/>
        <v>0</v>
      </c>
      <c r="BF319" s="35">
        <f t="shared" si="162"/>
        <v>0</v>
      </c>
      <c r="BG319" s="35">
        <f t="shared" si="163"/>
        <v>0</v>
      </c>
      <c r="BH319" s="35">
        <f t="shared" si="164"/>
        <v>0</v>
      </c>
      <c r="BI319" s="35">
        <f t="shared" si="165"/>
        <v>0</v>
      </c>
      <c r="BJ319" s="35">
        <f t="shared" si="166"/>
        <v>0</v>
      </c>
      <c r="BK319" s="35">
        <f t="shared" si="167"/>
        <v>0</v>
      </c>
      <c r="BL319" s="35">
        <f t="shared" si="168"/>
        <v>0</v>
      </c>
      <c r="BM319" s="35">
        <f t="shared" si="169"/>
        <v>0</v>
      </c>
      <c r="BN319" s="35">
        <f t="shared" si="170"/>
        <v>0</v>
      </c>
      <c r="BO319" s="35">
        <f t="shared" si="171"/>
        <v>0</v>
      </c>
      <c r="BP319" s="35">
        <f t="shared" si="172"/>
        <v>0</v>
      </c>
      <c r="BQ319" s="35">
        <f t="shared" si="173"/>
        <v>0</v>
      </c>
      <c r="BR319" s="35">
        <f t="shared" si="174"/>
        <v>0</v>
      </c>
      <c r="BS319" s="35">
        <f t="shared" si="175"/>
        <v>0</v>
      </c>
      <c r="BT319" s="43">
        <f t="shared" si="176"/>
        <v>0</v>
      </c>
    </row>
    <row r="320" spans="1:72">
      <c r="A320" s="9"/>
      <c r="B320" s="34"/>
      <c r="C320" s="34"/>
      <c r="D320" s="1805"/>
      <c r="E320" s="35">
        <f t="shared" si="177"/>
        <v>0</v>
      </c>
      <c r="F320" s="36"/>
      <c r="G320" s="37">
        <f t="shared" si="152"/>
        <v>0</v>
      </c>
      <c r="H320" s="38">
        <f t="shared" si="153"/>
        <v>0</v>
      </c>
      <c r="I320" s="39"/>
      <c r="J320" s="39"/>
      <c r="K320" s="39"/>
      <c r="L320" s="39"/>
      <c r="M320" s="39"/>
      <c r="N320" s="39"/>
      <c r="O320" s="39"/>
      <c r="P320" s="39"/>
      <c r="Q320" s="39"/>
      <c r="R320" s="39"/>
      <c r="S320" s="39"/>
      <c r="T320" s="39"/>
      <c r="U320" s="39"/>
      <c r="V320" s="39"/>
      <c r="W320" s="39"/>
      <c r="X320" s="39"/>
      <c r="Y320" s="39"/>
      <c r="Z320" s="39"/>
      <c r="AA320" s="39"/>
      <c r="AB320" s="39"/>
      <c r="AC320" s="35">
        <f t="shared" si="154"/>
        <v>0</v>
      </c>
      <c r="AD320" s="40"/>
      <c r="AE320" s="40"/>
      <c r="AF320" s="40"/>
      <c r="AG320" s="40"/>
      <c r="AH320" s="40"/>
      <c r="AI320" s="40"/>
      <c r="AJ320" s="40"/>
      <c r="AK320" s="40"/>
      <c r="AL320" s="40"/>
      <c r="AM320" s="40"/>
      <c r="AN320" s="40"/>
      <c r="AO320" s="40"/>
      <c r="AP320" s="40"/>
      <c r="AQ320" s="40"/>
      <c r="AR320" s="40"/>
      <c r="AS320" s="40"/>
      <c r="AT320" s="41"/>
      <c r="AU320" s="1806"/>
      <c r="AV320" s="1517">
        <f t="shared" si="178"/>
        <v>0</v>
      </c>
      <c r="AW320" s="1517">
        <f t="shared" si="179"/>
        <v>0</v>
      </c>
      <c r="AX320" s="1517">
        <f t="shared" si="180"/>
        <v>0</v>
      </c>
      <c r="AY320" s="42">
        <f t="shared" si="155"/>
        <v>0</v>
      </c>
      <c r="AZ320" s="35">
        <f t="shared" si="156"/>
        <v>0</v>
      </c>
      <c r="BA320" s="35">
        <f t="shared" si="157"/>
        <v>0</v>
      </c>
      <c r="BB320" s="35">
        <f t="shared" si="158"/>
        <v>0</v>
      </c>
      <c r="BC320" s="35">
        <f t="shared" si="159"/>
        <v>0</v>
      </c>
      <c r="BD320" s="35">
        <f t="shared" si="160"/>
        <v>0</v>
      </c>
      <c r="BE320" s="35">
        <f t="shared" si="161"/>
        <v>0</v>
      </c>
      <c r="BF320" s="35">
        <f t="shared" si="162"/>
        <v>0</v>
      </c>
      <c r="BG320" s="35">
        <f t="shared" si="163"/>
        <v>0</v>
      </c>
      <c r="BH320" s="35">
        <f t="shared" si="164"/>
        <v>0</v>
      </c>
      <c r="BI320" s="35">
        <f t="shared" si="165"/>
        <v>0</v>
      </c>
      <c r="BJ320" s="35">
        <f t="shared" si="166"/>
        <v>0</v>
      </c>
      <c r="BK320" s="35">
        <f t="shared" si="167"/>
        <v>0</v>
      </c>
      <c r="BL320" s="35">
        <f t="shared" si="168"/>
        <v>0</v>
      </c>
      <c r="BM320" s="35">
        <f t="shared" si="169"/>
        <v>0</v>
      </c>
      <c r="BN320" s="35">
        <f t="shared" si="170"/>
        <v>0</v>
      </c>
      <c r="BO320" s="35">
        <f t="shared" si="171"/>
        <v>0</v>
      </c>
      <c r="BP320" s="35">
        <f t="shared" si="172"/>
        <v>0</v>
      </c>
      <c r="BQ320" s="35">
        <f t="shared" si="173"/>
        <v>0</v>
      </c>
      <c r="BR320" s="35">
        <f t="shared" si="174"/>
        <v>0</v>
      </c>
      <c r="BS320" s="35">
        <f t="shared" si="175"/>
        <v>0</v>
      </c>
      <c r="BT320" s="43">
        <f t="shared" si="176"/>
        <v>0</v>
      </c>
    </row>
    <row r="321" spans="1:72">
      <c r="A321" s="9"/>
      <c r="B321" s="34"/>
      <c r="C321" s="34"/>
      <c r="D321" s="1805"/>
      <c r="E321" s="35">
        <f t="shared" si="177"/>
        <v>0</v>
      </c>
      <c r="F321" s="36"/>
      <c r="G321" s="37">
        <f t="shared" si="152"/>
        <v>0</v>
      </c>
      <c r="H321" s="38">
        <f t="shared" si="153"/>
        <v>0</v>
      </c>
      <c r="I321" s="39"/>
      <c r="J321" s="39"/>
      <c r="K321" s="39"/>
      <c r="L321" s="39"/>
      <c r="M321" s="39"/>
      <c r="N321" s="39"/>
      <c r="O321" s="39"/>
      <c r="P321" s="39"/>
      <c r="Q321" s="39"/>
      <c r="R321" s="39"/>
      <c r="S321" s="39"/>
      <c r="T321" s="39"/>
      <c r="U321" s="39"/>
      <c r="V321" s="39"/>
      <c r="W321" s="39"/>
      <c r="X321" s="39"/>
      <c r="Y321" s="39"/>
      <c r="Z321" s="39"/>
      <c r="AA321" s="39"/>
      <c r="AB321" s="39"/>
      <c r="AC321" s="35">
        <f t="shared" si="154"/>
        <v>0</v>
      </c>
      <c r="AD321" s="40"/>
      <c r="AE321" s="40"/>
      <c r="AF321" s="40"/>
      <c r="AG321" s="40"/>
      <c r="AH321" s="40"/>
      <c r="AI321" s="40"/>
      <c r="AJ321" s="40"/>
      <c r="AK321" s="40"/>
      <c r="AL321" s="40"/>
      <c r="AM321" s="40"/>
      <c r="AN321" s="40"/>
      <c r="AO321" s="40"/>
      <c r="AP321" s="40"/>
      <c r="AQ321" s="40"/>
      <c r="AR321" s="40"/>
      <c r="AS321" s="40"/>
      <c r="AT321" s="41"/>
      <c r="AU321" s="1806"/>
      <c r="AV321" s="1517">
        <f t="shared" si="178"/>
        <v>0</v>
      </c>
      <c r="AW321" s="1517">
        <f t="shared" si="179"/>
        <v>0</v>
      </c>
      <c r="AX321" s="1517">
        <f t="shared" si="180"/>
        <v>0</v>
      </c>
      <c r="AY321" s="42">
        <f t="shared" si="155"/>
        <v>0</v>
      </c>
      <c r="AZ321" s="35">
        <f t="shared" si="156"/>
        <v>0</v>
      </c>
      <c r="BA321" s="35">
        <f t="shared" si="157"/>
        <v>0</v>
      </c>
      <c r="BB321" s="35">
        <f t="shared" si="158"/>
        <v>0</v>
      </c>
      <c r="BC321" s="35">
        <f t="shared" si="159"/>
        <v>0</v>
      </c>
      <c r="BD321" s="35">
        <f t="shared" si="160"/>
        <v>0</v>
      </c>
      <c r="BE321" s="35">
        <f t="shared" si="161"/>
        <v>0</v>
      </c>
      <c r="BF321" s="35">
        <f t="shared" si="162"/>
        <v>0</v>
      </c>
      <c r="BG321" s="35">
        <f t="shared" si="163"/>
        <v>0</v>
      </c>
      <c r="BH321" s="35">
        <f t="shared" si="164"/>
        <v>0</v>
      </c>
      <c r="BI321" s="35">
        <f t="shared" si="165"/>
        <v>0</v>
      </c>
      <c r="BJ321" s="35">
        <f t="shared" si="166"/>
        <v>0</v>
      </c>
      <c r="BK321" s="35">
        <f t="shared" si="167"/>
        <v>0</v>
      </c>
      <c r="BL321" s="35">
        <f t="shared" si="168"/>
        <v>0</v>
      </c>
      <c r="BM321" s="35">
        <f t="shared" si="169"/>
        <v>0</v>
      </c>
      <c r="BN321" s="35">
        <f t="shared" si="170"/>
        <v>0</v>
      </c>
      <c r="BO321" s="35">
        <f t="shared" si="171"/>
        <v>0</v>
      </c>
      <c r="BP321" s="35">
        <f t="shared" si="172"/>
        <v>0</v>
      </c>
      <c r="BQ321" s="35">
        <f t="shared" si="173"/>
        <v>0</v>
      </c>
      <c r="BR321" s="35">
        <f t="shared" si="174"/>
        <v>0</v>
      </c>
      <c r="BS321" s="35">
        <f t="shared" si="175"/>
        <v>0</v>
      </c>
      <c r="BT321" s="43">
        <f t="shared" si="176"/>
        <v>0</v>
      </c>
    </row>
    <row r="322" spans="1:72">
      <c r="A322" s="9"/>
      <c r="B322" s="34"/>
      <c r="C322" s="34"/>
      <c r="D322" s="1805"/>
      <c r="E322" s="35">
        <f t="shared" si="177"/>
        <v>0</v>
      </c>
      <c r="F322" s="36"/>
      <c r="G322" s="37">
        <f t="shared" si="152"/>
        <v>0</v>
      </c>
      <c r="H322" s="38">
        <f t="shared" si="153"/>
        <v>0</v>
      </c>
      <c r="I322" s="39"/>
      <c r="J322" s="39"/>
      <c r="K322" s="39"/>
      <c r="L322" s="39"/>
      <c r="M322" s="39"/>
      <c r="N322" s="39"/>
      <c r="O322" s="39"/>
      <c r="P322" s="39"/>
      <c r="Q322" s="39"/>
      <c r="R322" s="39"/>
      <c r="S322" s="39"/>
      <c r="T322" s="39"/>
      <c r="U322" s="39"/>
      <c r="V322" s="39"/>
      <c r="W322" s="39"/>
      <c r="X322" s="39"/>
      <c r="Y322" s="39"/>
      <c r="Z322" s="39"/>
      <c r="AA322" s="39"/>
      <c r="AB322" s="39"/>
      <c r="AC322" s="35">
        <f t="shared" si="154"/>
        <v>0</v>
      </c>
      <c r="AD322" s="40"/>
      <c r="AE322" s="40"/>
      <c r="AF322" s="40"/>
      <c r="AG322" s="40"/>
      <c r="AH322" s="40"/>
      <c r="AI322" s="40"/>
      <c r="AJ322" s="40"/>
      <c r="AK322" s="40"/>
      <c r="AL322" s="40"/>
      <c r="AM322" s="40"/>
      <c r="AN322" s="40"/>
      <c r="AO322" s="40"/>
      <c r="AP322" s="40"/>
      <c r="AQ322" s="40"/>
      <c r="AR322" s="40"/>
      <c r="AS322" s="40"/>
      <c r="AT322" s="41"/>
      <c r="AU322" s="1806"/>
      <c r="AV322" s="1517">
        <f t="shared" si="178"/>
        <v>0</v>
      </c>
      <c r="AW322" s="1517">
        <f t="shared" si="179"/>
        <v>0</v>
      </c>
      <c r="AX322" s="1517">
        <f t="shared" si="180"/>
        <v>0</v>
      </c>
      <c r="AY322" s="42">
        <f t="shared" si="155"/>
        <v>0</v>
      </c>
      <c r="AZ322" s="35">
        <f t="shared" si="156"/>
        <v>0</v>
      </c>
      <c r="BA322" s="35">
        <f t="shared" si="157"/>
        <v>0</v>
      </c>
      <c r="BB322" s="35">
        <f t="shared" si="158"/>
        <v>0</v>
      </c>
      <c r="BC322" s="35">
        <f t="shared" si="159"/>
        <v>0</v>
      </c>
      <c r="BD322" s="35">
        <f t="shared" si="160"/>
        <v>0</v>
      </c>
      <c r="BE322" s="35">
        <f t="shared" si="161"/>
        <v>0</v>
      </c>
      <c r="BF322" s="35">
        <f t="shared" si="162"/>
        <v>0</v>
      </c>
      <c r="BG322" s="35">
        <f t="shared" si="163"/>
        <v>0</v>
      </c>
      <c r="BH322" s="35">
        <f t="shared" si="164"/>
        <v>0</v>
      </c>
      <c r="BI322" s="35">
        <f t="shared" si="165"/>
        <v>0</v>
      </c>
      <c r="BJ322" s="35">
        <f t="shared" si="166"/>
        <v>0</v>
      </c>
      <c r="BK322" s="35">
        <f t="shared" si="167"/>
        <v>0</v>
      </c>
      <c r="BL322" s="35">
        <f t="shared" si="168"/>
        <v>0</v>
      </c>
      <c r="BM322" s="35">
        <f t="shared" si="169"/>
        <v>0</v>
      </c>
      <c r="BN322" s="35">
        <f t="shared" si="170"/>
        <v>0</v>
      </c>
      <c r="BO322" s="35">
        <f t="shared" si="171"/>
        <v>0</v>
      </c>
      <c r="BP322" s="35">
        <f t="shared" si="172"/>
        <v>0</v>
      </c>
      <c r="BQ322" s="35">
        <f t="shared" si="173"/>
        <v>0</v>
      </c>
      <c r="BR322" s="35">
        <f t="shared" si="174"/>
        <v>0</v>
      </c>
      <c r="BS322" s="35">
        <f t="shared" si="175"/>
        <v>0</v>
      </c>
      <c r="BT322" s="43">
        <f t="shared" si="176"/>
        <v>0</v>
      </c>
    </row>
    <row r="323" spans="1:72">
      <c r="A323" s="9"/>
      <c r="B323" s="34"/>
      <c r="C323" s="34"/>
      <c r="D323" s="1805"/>
      <c r="E323" s="35">
        <f t="shared" si="177"/>
        <v>0</v>
      </c>
      <c r="F323" s="36"/>
      <c r="G323" s="37">
        <f t="shared" si="152"/>
        <v>0</v>
      </c>
      <c r="H323" s="38">
        <f t="shared" si="153"/>
        <v>0</v>
      </c>
      <c r="I323" s="39"/>
      <c r="J323" s="39"/>
      <c r="K323" s="39"/>
      <c r="L323" s="39"/>
      <c r="M323" s="39"/>
      <c r="N323" s="39"/>
      <c r="O323" s="39"/>
      <c r="P323" s="39"/>
      <c r="Q323" s="39"/>
      <c r="R323" s="39"/>
      <c r="S323" s="39"/>
      <c r="T323" s="39"/>
      <c r="U323" s="39"/>
      <c r="V323" s="39"/>
      <c r="W323" s="39"/>
      <c r="X323" s="39"/>
      <c r="Y323" s="39"/>
      <c r="Z323" s="39"/>
      <c r="AA323" s="39"/>
      <c r="AB323" s="39"/>
      <c r="AC323" s="35">
        <f t="shared" si="154"/>
        <v>0</v>
      </c>
      <c r="AD323" s="40"/>
      <c r="AE323" s="40"/>
      <c r="AF323" s="40"/>
      <c r="AG323" s="40"/>
      <c r="AH323" s="40"/>
      <c r="AI323" s="40"/>
      <c r="AJ323" s="40"/>
      <c r="AK323" s="40"/>
      <c r="AL323" s="40"/>
      <c r="AM323" s="40"/>
      <c r="AN323" s="40"/>
      <c r="AO323" s="40"/>
      <c r="AP323" s="40"/>
      <c r="AQ323" s="40"/>
      <c r="AR323" s="40"/>
      <c r="AS323" s="40"/>
      <c r="AT323" s="41"/>
      <c r="AU323" s="1806"/>
      <c r="AV323" s="1517">
        <f t="shared" si="178"/>
        <v>0</v>
      </c>
      <c r="AW323" s="1517">
        <f t="shared" si="179"/>
        <v>0</v>
      </c>
      <c r="AX323" s="1517">
        <f t="shared" si="180"/>
        <v>0</v>
      </c>
      <c r="AY323" s="42">
        <f t="shared" si="155"/>
        <v>0</v>
      </c>
      <c r="AZ323" s="35">
        <f t="shared" si="156"/>
        <v>0</v>
      </c>
      <c r="BA323" s="35">
        <f t="shared" si="157"/>
        <v>0</v>
      </c>
      <c r="BB323" s="35">
        <f t="shared" si="158"/>
        <v>0</v>
      </c>
      <c r="BC323" s="35">
        <f t="shared" si="159"/>
        <v>0</v>
      </c>
      <c r="BD323" s="35">
        <f t="shared" si="160"/>
        <v>0</v>
      </c>
      <c r="BE323" s="35">
        <f t="shared" si="161"/>
        <v>0</v>
      </c>
      <c r="BF323" s="35">
        <f t="shared" si="162"/>
        <v>0</v>
      </c>
      <c r="BG323" s="35">
        <f t="shared" si="163"/>
        <v>0</v>
      </c>
      <c r="BH323" s="35">
        <f t="shared" si="164"/>
        <v>0</v>
      </c>
      <c r="BI323" s="35">
        <f t="shared" si="165"/>
        <v>0</v>
      </c>
      <c r="BJ323" s="35">
        <f t="shared" si="166"/>
        <v>0</v>
      </c>
      <c r="BK323" s="35">
        <f t="shared" si="167"/>
        <v>0</v>
      </c>
      <c r="BL323" s="35">
        <f t="shared" si="168"/>
        <v>0</v>
      </c>
      <c r="BM323" s="35">
        <f t="shared" si="169"/>
        <v>0</v>
      </c>
      <c r="BN323" s="35">
        <f t="shared" si="170"/>
        <v>0</v>
      </c>
      <c r="BO323" s="35">
        <f t="shared" si="171"/>
        <v>0</v>
      </c>
      <c r="BP323" s="35">
        <f t="shared" si="172"/>
        <v>0</v>
      </c>
      <c r="BQ323" s="35">
        <f t="shared" si="173"/>
        <v>0</v>
      </c>
      <c r="BR323" s="35">
        <f t="shared" si="174"/>
        <v>0</v>
      </c>
      <c r="BS323" s="35">
        <f t="shared" si="175"/>
        <v>0</v>
      </c>
      <c r="BT323" s="43">
        <f t="shared" si="176"/>
        <v>0</v>
      </c>
    </row>
    <row r="324" spans="1:72">
      <c r="A324" s="9"/>
      <c r="B324" s="34"/>
      <c r="C324" s="34"/>
      <c r="D324" s="1805"/>
      <c r="E324" s="35">
        <f t="shared" si="177"/>
        <v>0</v>
      </c>
      <c r="F324" s="36"/>
      <c r="G324" s="37">
        <f t="shared" si="152"/>
        <v>0</v>
      </c>
      <c r="H324" s="38">
        <f t="shared" si="153"/>
        <v>0</v>
      </c>
      <c r="I324" s="39"/>
      <c r="J324" s="39"/>
      <c r="K324" s="39"/>
      <c r="L324" s="39"/>
      <c r="M324" s="39"/>
      <c r="N324" s="39"/>
      <c r="O324" s="39"/>
      <c r="P324" s="39"/>
      <c r="Q324" s="39"/>
      <c r="R324" s="39"/>
      <c r="S324" s="39"/>
      <c r="T324" s="39"/>
      <c r="U324" s="39"/>
      <c r="V324" s="39"/>
      <c r="W324" s="39"/>
      <c r="X324" s="39"/>
      <c r="Y324" s="39"/>
      <c r="Z324" s="39"/>
      <c r="AA324" s="39"/>
      <c r="AB324" s="39"/>
      <c r="AC324" s="35">
        <f t="shared" si="154"/>
        <v>0</v>
      </c>
      <c r="AD324" s="40"/>
      <c r="AE324" s="40"/>
      <c r="AF324" s="40"/>
      <c r="AG324" s="40"/>
      <c r="AH324" s="40"/>
      <c r="AI324" s="40"/>
      <c r="AJ324" s="40"/>
      <c r="AK324" s="40"/>
      <c r="AL324" s="40"/>
      <c r="AM324" s="40"/>
      <c r="AN324" s="40"/>
      <c r="AO324" s="40"/>
      <c r="AP324" s="40"/>
      <c r="AQ324" s="40"/>
      <c r="AR324" s="40"/>
      <c r="AS324" s="40"/>
      <c r="AT324" s="41"/>
      <c r="AU324" s="1806"/>
      <c r="AV324" s="1517">
        <f t="shared" si="178"/>
        <v>0</v>
      </c>
      <c r="AW324" s="1517">
        <f t="shared" si="179"/>
        <v>0</v>
      </c>
      <c r="AX324" s="1517">
        <f t="shared" si="180"/>
        <v>0</v>
      </c>
      <c r="AY324" s="42">
        <f t="shared" si="155"/>
        <v>0</v>
      </c>
      <c r="AZ324" s="35">
        <f t="shared" si="156"/>
        <v>0</v>
      </c>
      <c r="BA324" s="35">
        <f t="shared" si="157"/>
        <v>0</v>
      </c>
      <c r="BB324" s="35">
        <f t="shared" si="158"/>
        <v>0</v>
      </c>
      <c r="BC324" s="35">
        <f t="shared" si="159"/>
        <v>0</v>
      </c>
      <c r="BD324" s="35">
        <f t="shared" si="160"/>
        <v>0</v>
      </c>
      <c r="BE324" s="35">
        <f t="shared" si="161"/>
        <v>0</v>
      </c>
      <c r="BF324" s="35">
        <f t="shared" si="162"/>
        <v>0</v>
      </c>
      <c r="BG324" s="35">
        <f t="shared" si="163"/>
        <v>0</v>
      </c>
      <c r="BH324" s="35">
        <f t="shared" si="164"/>
        <v>0</v>
      </c>
      <c r="BI324" s="35">
        <f t="shared" si="165"/>
        <v>0</v>
      </c>
      <c r="BJ324" s="35">
        <f t="shared" si="166"/>
        <v>0</v>
      </c>
      <c r="BK324" s="35">
        <f t="shared" si="167"/>
        <v>0</v>
      </c>
      <c r="BL324" s="35">
        <f t="shared" si="168"/>
        <v>0</v>
      </c>
      <c r="BM324" s="35">
        <f t="shared" si="169"/>
        <v>0</v>
      </c>
      <c r="BN324" s="35">
        <f t="shared" si="170"/>
        <v>0</v>
      </c>
      <c r="BO324" s="35">
        <f t="shared" si="171"/>
        <v>0</v>
      </c>
      <c r="BP324" s="35">
        <f t="shared" si="172"/>
        <v>0</v>
      </c>
      <c r="BQ324" s="35">
        <f t="shared" si="173"/>
        <v>0</v>
      </c>
      <c r="BR324" s="35">
        <f t="shared" si="174"/>
        <v>0</v>
      </c>
      <c r="BS324" s="35">
        <f t="shared" si="175"/>
        <v>0</v>
      </c>
      <c r="BT324" s="43">
        <f t="shared" si="176"/>
        <v>0</v>
      </c>
    </row>
    <row r="325" spans="1:72">
      <c r="A325" s="9"/>
      <c r="B325" s="34"/>
      <c r="C325" s="34"/>
      <c r="D325" s="1805"/>
      <c r="E325" s="35">
        <f t="shared" si="177"/>
        <v>0</v>
      </c>
      <c r="F325" s="36"/>
      <c r="G325" s="37">
        <f t="shared" si="152"/>
        <v>0</v>
      </c>
      <c r="H325" s="38">
        <f t="shared" si="153"/>
        <v>0</v>
      </c>
      <c r="I325" s="39"/>
      <c r="J325" s="39"/>
      <c r="K325" s="39"/>
      <c r="L325" s="39"/>
      <c r="M325" s="39"/>
      <c r="N325" s="39"/>
      <c r="O325" s="39"/>
      <c r="P325" s="39"/>
      <c r="Q325" s="39"/>
      <c r="R325" s="39"/>
      <c r="S325" s="39"/>
      <c r="T325" s="39"/>
      <c r="U325" s="39"/>
      <c r="V325" s="39"/>
      <c r="W325" s="39"/>
      <c r="X325" s="39"/>
      <c r="Y325" s="39"/>
      <c r="Z325" s="39"/>
      <c r="AA325" s="39"/>
      <c r="AB325" s="39"/>
      <c r="AC325" s="35">
        <f t="shared" si="154"/>
        <v>0</v>
      </c>
      <c r="AD325" s="40"/>
      <c r="AE325" s="40"/>
      <c r="AF325" s="40"/>
      <c r="AG325" s="40"/>
      <c r="AH325" s="40"/>
      <c r="AI325" s="40"/>
      <c r="AJ325" s="40"/>
      <c r="AK325" s="40"/>
      <c r="AL325" s="40"/>
      <c r="AM325" s="40"/>
      <c r="AN325" s="40"/>
      <c r="AO325" s="40"/>
      <c r="AP325" s="40"/>
      <c r="AQ325" s="40"/>
      <c r="AR325" s="40"/>
      <c r="AS325" s="40"/>
      <c r="AT325" s="41"/>
      <c r="AU325" s="1806"/>
      <c r="AV325" s="1517">
        <f t="shared" si="178"/>
        <v>0</v>
      </c>
      <c r="AW325" s="1517">
        <f t="shared" si="179"/>
        <v>0</v>
      </c>
      <c r="AX325" s="1517">
        <f t="shared" si="180"/>
        <v>0</v>
      </c>
      <c r="AY325" s="42">
        <f t="shared" si="155"/>
        <v>0</v>
      </c>
      <c r="AZ325" s="35">
        <f t="shared" si="156"/>
        <v>0</v>
      </c>
      <c r="BA325" s="35">
        <f t="shared" si="157"/>
        <v>0</v>
      </c>
      <c r="BB325" s="35">
        <f t="shared" si="158"/>
        <v>0</v>
      </c>
      <c r="BC325" s="35">
        <f t="shared" si="159"/>
        <v>0</v>
      </c>
      <c r="BD325" s="35">
        <f t="shared" si="160"/>
        <v>0</v>
      </c>
      <c r="BE325" s="35">
        <f t="shared" si="161"/>
        <v>0</v>
      </c>
      <c r="BF325" s="35">
        <f t="shared" si="162"/>
        <v>0</v>
      </c>
      <c r="BG325" s="35">
        <f t="shared" si="163"/>
        <v>0</v>
      </c>
      <c r="BH325" s="35">
        <f t="shared" si="164"/>
        <v>0</v>
      </c>
      <c r="BI325" s="35">
        <f t="shared" si="165"/>
        <v>0</v>
      </c>
      <c r="BJ325" s="35">
        <f t="shared" si="166"/>
        <v>0</v>
      </c>
      <c r="BK325" s="35">
        <f t="shared" si="167"/>
        <v>0</v>
      </c>
      <c r="BL325" s="35">
        <f t="shared" si="168"/>
        <v>0</v>
      </c>
      <c r="BM325" s="35">
        <f t="shared" si="169"/>
        <v>0</v>
      </c>
      <c r="BN325" s="35">
        <f t="shared" si="170"/>
        <v>0</v>
      </c>
      <c r="BO325" s="35">
        <f t="shared" si="171"/>
        <v>0</v>
      </c>
      <c r="BP325" s="35">
        <f t="shared" si="172"/>
        <v>0</v>
      </c>
      <c r="BQ325" s="35">
        <f t="shared" si="173"/>
        <v>0</v>
      </c>
      <c r="BR325" s="35">
        <f t="shared" si="174"/>
        <v>0</v>
      </c>
      <c r="BS325" s="35">
        <f t="shared" si="175"/>
        <v>0</v>
      </c>
      <c r="BT325" s="43">
        <f t="shared" si="176"/>
        <v>0</v>
      </c>
    </row>
    <row r="326" spans="1:72">
      <c r="A326" s="9"/>
      <c r="B326" s="34"/>
      <c r="C326" s="34"/>
      <c r="D326" s="1805"/>
      <c r="E326" s="35">
        <f t="shared" si="177"/>
        <v>0</v>
      </c>
      <c r="F326" s="36"/>
      <c r="G326" s="37">
        <f t="shared" si="152"/>
        <v>0</v>
      </c>
      <c r="H326" s="38">
        <f t="shared" si="153"/>
        <v>0</v>
      </c>
      <c r="I326" s="39"/>
      <c r="J326" s="39"/>
      <c r="K326" s="39"/>
      <c r="L326" s="39"/>
      <c r="M326" s="39"/>
      <c r="N326" s="39"/>
      <c r="O326" s="39"/>
      <c r="P326" s="39"/>
      <c r="Q326" s="39"/>
      <c r="R326" s="39"/>
      <c r="S326" s="39"/>
      <c r="T326" s="39"/>
      <c r="U326" s="39"/>
      <c r="V326" s="39"/>
      <c r="W326" s="39"/>
      <c r="X326" s="39"/>
      <c r="Y326" s="39"/>
      <c r="Z326" s="39"/>
      <c r="AA326" s="39"/>
      <c r="AB326" s="39"/>
      <c r="AC326" s="35">
        <f t="shared" si="154"/>
        <v>0</v>
      </c>
      <c r="AD326" s="40"/>
      <c r="AE326" s="40"/>
      <c r="AF326" s="40"/>
      <c r="AG326" s="40"/>
      <c r="AH326" s="40"/>
      <c r="AI326" s="40"/>
      <c r="AJ326" s="40"/>
      <c r="AK326" s="40"/>
      <c r="AL326" s="40"/>
      <c r="AM326" s="40"/>
      <c r="AN326" s="40"/>
      <c r="AO326" s="40"/>
      <c r="AP326" s="40"/>
      <c r="AQ326" s="40"/>
      <c r="AR326" s="40"/>
      <c r="AS326" s="40"/>
      <c r="AT326" s="41"/>
      <c r="AU326" s="1806"/>
      <c r="AV326" s="1517">
        <f t="shared" si="178"/>
        <v>0</v>
      </c>
      <c r="AW326" s="1517">
        <f t="shared" si="179"/>
        <v>0</v>
      </c>
      <c r="AX326" s="1517">
        <f t="shared" si="180"/>
        <v>0</v>
      </c>
      <c r="AY326" s="42">
        <f t="shared" si="155"/>
        <v>0</v>
      </c>
      <c r="AZ326" s="35">
        <f t="shared" si="156"/>
        <v>0</v>
      </c>
      <c r="BA326" s="35">
        <f t="shared" si="157"/>
        <v>0</v>
      </c>
      <c r="BB326" s="35">
        <f t="shared" si="158"/>
        <v>0</v>
      </c>
      <c r="BC326" s="35">
        <f t="shared" si="159"/>
        <v>0</v>
      </c>
      <c r="BD326" s="35">
        <f t="shared" si="160"/>
        <v>0</v>
      </c>
      <c r="BE326" s="35">
        <f t="shared" si="161"/>
        <v>0</v>
      </c>
      <c r="BF326" s="35">
        <f t="shared" si="162"/>
        <v>0</v>
      </c>
      <c r="BG326" s="35">
        <f t="shared" si="163"/>
        <v>0</v>
      </c>
      <c r="BH326" s="35">
        <f t="shared" si="164"/>
        <v>0</v>
      </c>
      <c r="BI326" s="35">
        <f t="shared" si="165"/>
        <v>0</v>
      </c>
      <c r="BJ326" s="35">
        <f t="shared" si="166"/>
        <v>0</v>
      </c>
      <c r="BK326" s="35">
        <f t="shared" si="167"/>
        <v>0</v>
      </c>
      <c r="BL326" s="35">
        <f t="shared" si="168"/>
        <v>0</v>
      </c>
      <c r="BM326" s="35">
        <f t="shared" si="169"/>
        <v>0</v>
      </c>
      <c r="BN326" s="35">
        <f t="shared" si="170"/>
        <v>0</v>
      </c>
      <c r="BO326" s="35">
        <f t="shared" si="171"/>
        <v>0</v>
      </c>
      <c r="BP326" s="35">
        <f t="shared" si="172"/>
        <v>0</v>
      </c>
      <c r="BQ326" s="35">
        <f t="shared" si="173"/>
        <v>0</v>
      </c>
      <c r="BR326" s="35">
        <f t="shared" si="174"/>
        <v>0</v>
      </c>
      <c r="BS326" s="35">
        <f t="shared" si="175"/>
        <v>0</v>
      </c>
      <c r="BT326" s="43">
        <f t="shared" si="176"/>
        <v>0</v>
      </c>
    </row>
    <row r="327" spans="1:72">
      <c r="A327" s="9"/>
      <c r="B327" s="34"/>
      <c r="C327" s="34"/>
      <c r="D327" s="1805"/>
      <c r="E327" s="35">
        <f t="shared" si="177"/>
        <v>0</v>
      </c>
      <c r="F327" s="36"/>
      <c r="G327" s="37">
        <f t="shared" si="152"/>
        <v>0</v>
      </c>
      <c r="H327" s="38">
        <f t="shared" si="153"/>
        <v>0</v>
      </c>
      <c r="I327" s="39"/>
      <c r="J327" s="39"/>
      <c r="K327" s="39"/>
      <c r="L327" s="39"/>
      <c r="M327" s="39"/>
      <c r="N327" s="39"/>
      <c r="O327" s="39"/>
      <c r="P327" s="39"/>
      <c r="Q327" s="39"/>
      <c r="R327" s="39"/>
      <c r="S327" s="39"/>
      <c r="T327" s="39"/>
      <c r="U327" s="39"/>
      <c r="V327" s="39"/>
      <c r="W327" s="39"/>
      <c r="X327" s="39"/>
      <c r="Y327" s="39"/>
      <c r="Z327" s="39"/>
      <c r="AA327" s="39"/>
      <c r="AB327" s="39"/>
      <c r="AC327" s="35">
        <f t="shared" si="154"/>
        <v>0</v>
      </c>
      <c r="AD327" s="40"/>
      <c r="AE327" s="40"/>
      <c r="AF327" s="40"/>
      <c r="AG327" s="40"/>
      <c r="AH327" s="40"/>
      <c r="AI327" s="40"/>
      <c r="AJ327" s="40"/>
      <c r="AK327" s="40"/>
      <c r="AL327" s="40"/>
      <c r="AM327" s="40"/>
      <c r="AN327" s="40"/>
      <c r="AO327" s="40"/>
      <c r="AP327" s="40"/>
      <c r="AQ327" s="40"/>
      <c r="AR327" s="40"/>
      <c r="AS327" s="40"/>
      <c r="AT327" s="41"/>
      <c r="AU327" s="1806"/>
      <c r="AV327" s="1517">
        <f t="shared" si="178"/>
        <v>0</v>
      </c>
      <c r="AW327" s="1517">
        <f t="shared" si="179"/>
        <v>0</v>
      </c>
      <c r="AX327" s="1517">
        <f t="shared" si="180"/>
        <v>0</v>
      </c>
      <c r="AY327" s="42">
        <f t="shared" si="155"/>
        <v>0</v>
      </c>
      <c r="AZ327" s="35">
        <f t="shared" si="156"/>
        <v>0</v>
      </c>
      <c r="BA327" s="35">
        <f t="shared" si="157"/>
        <v>0</v>
      </c>
      <c r="BB327" s="35">
        <f t="shared" si="158"/>
        <v>0</v>
      </c>
      <c r="BC327" s="35">
        <f t="shared" si="159"/>
        <v>0</v>
      </c>
      <c r="BD327" s="35">
        <f t="shared" si="160"/>
        <v>0</v>
      </c>
      <c r="BE327" s="35">
        <f t="shared" si="161"/>
        <v>0</v>
      </c>
      <c r="BF327" s="35">
        <f t="shared" si="162"/>
        <v>0</v>
      </c>
      <c r="BG327" s="35">
        <f t="shared" si="163"/>
        <v>0</v>
      </c>
      <c r="BH327" s="35">
        <f t="shared" si="164"/>
        <v>0</v>
      </c>
      <c r="BI327" s="35">
        <f t="shared" si="165"/>
        <v>0</v>
      </c>
      <c r="BJ327" s="35">
        <f t="shared" si="166"/>
        <v>0</v>
      </c>
      <c r="BK327" s="35">
        <f t="shared" si="167"/>
        <v>0</v>
      </c>
      <c r="BL327" s="35">
        <f t="shared" si="168"/>
        <v>0</v>
      </c>
      <c r="BM327" s="35">
        <f t="shared" si="169"/>
        <v>0</v>
      </c>
      <c r="BN327" s="35">
        <f t="shared" si="170"/>
        <v>0</v>
      </c>
      <c r="BO327" s="35">
        <f t="shared" si="171"/>
        <v>0</v>
      </c>
      <c r="BP327" s="35">
        <f t="shared" si="172"/>
        <v>0</v>
      </c>
      <c r="BQ327" s="35">
        <f t="shared" si="173"/>
        <v>0</v>
      </c>
      <c r="BR327" s="35">
        <f t="shared" si="174"/>
        <v>0</v>
      </c>
      <c r="BS327" s="35">
        <f t="shared" si="175"/>
        <v>0</v>
      </c>
      <c r="BT327" s="43">
        <f t="shared" si="176"/>
        <v>0</v>
      </c>
    </row>
    <row r="328" spans="1:72">
      <c r="A328" s="9"/>
      <c r="B328" s="34"/>
      <c r="C328" s="34"/>
      <c r="D328" s="1805"/>
      <c r="E328" s="35">
        <f t="shared" si="177"/>
        <v>0</v>
      </c>
      <c r="F328" s="36"/>
      <c r="G328" s="37">
        <f t="shared" si="152"/>
        <v>0</v>
      </c>
      <c r="H328" s="38">
        <f t="shared" si="153"/>
        <v>0</v>
      </c>
      <c r="I328" s="39"/>
      <c r="J328" s="39"/>
      <c r="K328" s="39"/>
      <c r="L328" s="39"/>
      <c r="M328" s="39"/>
      <c r="N328" s="39"/>
      <c r="O328" s="39"/>
      <c r="P328" s="39"/>
      <c r="Q328" s="39"/>
      <c r="R328" s="39"/>
      <c r="S328" s="39"/>
      <c r="T328" s="39"/>
      <c r="U328" s="39"/>
      <c r="V328" s="39"/>
      <c r="W328" s="39"/>
      <c r="X328" s="39"/>
      <c r="Y328" s="39"/>
      <c r="Z328" s="39"/>
      <c r="AA328" s="39"/>
      <c r="AB328" s="39"/>
      <c r="AC328" s="35">
        <f t="shared" si="154"/>
        <v>0</v>
      </c>
      <c r="AD328" s="40"/>
      <c r="AE328" s="40"/>
      <c r="AF328" s="40"/>
      <c r="AG328" s="40"/>
      <c r="AH328" s="40"/>
      <c r="AI328" s="40"/>
      <c r="AJ328" s="40"/>
      <c r="AK328" s="40"/>
      <c r="AL328" s="40"/>
      <c r="AM328" s="40"/>
      <c r="AN328" s="40"/>
      <c r="AO328" s="40"/>
      <c r="AP328" s="40"/>
      <c r="AQ328" s="40"/>
      <c r="AR328" s="40"/>
      <c r="AS328" s="40"/>
      <c r="AT328" s="41"/>
      <c r="AU328" s="1806"/>
      <c r="AV328" s="1517">
        <f t="shared" si="178"/>
        <v>0</v>
      </c>
      <c r="AW328" s="1517">
        <f t="shared" si="179"/>
        <v>0</v>
      </c>
      <c r="AX328" s="1517">
        <f t="shared" si="180"/>
        <v>0</v>
      </c>
      <c r="AY328" s="42">
        <f t="shared" si="155"/>
        <v>0</v>
      </c>
      <c r="AZ328" s="35">
        <f t="shared" si="156"/>
        <v>0</v>
      </c>
      <c r="BA328" s="35">
        <f t="shared" si="157"/>
        <v>0</v>
      </c>
      <c r="BB328" s="35">
        <f t="shared" si="158"/>
        <v>0</v>
      </c>
      <c r="BC328" s="35">
        <f t="shared" si="159"/>
        <v>0</v>
      </c>
      <c r="BD328" s="35">
        <f t="shared" si="160"/>
        <v>0</v>
      </c>
      <c r="BE328" s="35">
        <f t="shared" si="161"/>
        <v>0</v>
      </c>
      <c r="BF328" s="35">
        <f t="shared" si="162"/>
        <v>0</v>
      </c>
      <c r="BG328" s="35">
        <f t="shared" si="163"/>
        <v>0</v>
      </c>
      <c r="BH328" s="35">
        <f t="shared" si="164"/>
        <v>0</v>
      </c>
      <c r="BI328" s="35">
        <f t="shared" si="165"/>
        <v>0</v>
      </c>
      <c r="BJ328" s="35">
        <f t="shared" si="166"/>
        <v>0</v>
      </c>
      <c r="BK328" s="35">
        <f t="shared" si="167"/>
        <v>0</v>
      </c>
      <c r="BL328" s="35">
        <f t="shared" si="168"/>
        <v>0</v>
      </c>
      <c r="BM328" s="35">
        <f t="shared" si="169"/>
        <v>0</v>
      </c>
      <c r="BN328" s="35">
        <f t="shared" si="170"/>
        <v>0</v>
      </c>
      <c r="BO328" s="35">
        <f t="shared" si="171"/>
        <v>0</v>
      </c>
      <c r="BP328" s="35">
        <f t="shared" si="172"/>
        <v>0</v>
      </c>
      <c r="BQ328" s="35">
        <f t="shared" si="173"/>
        <v>0</v>
      </c>
      <c r="BR328" s="35">
        <f t="shared" si="174"/>
        <v>0</v>
      </c>
      <c r="BS328" s="35">
        <f t="shared" si="175"/>
        <v>0</v>
      </c>
      <c r="BT328" s="43">
        <f t="shared" si="176"/>
        <v>0</v>
      </c>
    </row>
    <row r="329" spans="1:72">
      <c r="A329" s="9"/>
      <c r="B329" s="34"/>
      <c r="C329" s="34"/>
      <c r="D329" s="1805"/>
      <c r="E329" s="35">
        <f t="shared" si="177"/>
        <v>0</v>
      </c>
      <c r="F329" s="36"/>
      <c r="G329" s="37">
        <f t="shared" si="152"/>
        <v>0</v>
      </c>
      <c r="H329" s="38">
        <f t="shared" si="153"/>
        <v>0</v>
      </c>
      <c r="I329" s="39"/>
      <c r="J329" s="39"/>
      <c r="K329" s="39"/>
      <c r="L329" s="39"/>
      <c r="M329" s="39"/>
      <c r="N329" s="39"/>
      <c r="O329" s="39"/>
      <c r="P329" s="39"/>
      <c r="Q329" s="39"/>
      <c r="R329" s="39"/>
      <c r="S329" s="39"/>
      <c r="T329" s="39"/>
      <c r="U329" s="39"/>
      <c r="V329" s="39"/>
      <c r="W329" s="39"/>
      <c r="X329" s="39"/>
      <c r="Y329" s="39"/>
      <c r="Z329" s="39"/>
      <c r="AA329" s="39"/>
      <c r="AB329" s="39"/>
      <c r="AC329" s="35">
        <f t="shared" si="154"/>
        <v>0</v>
      </c>
      <c r="AD329" s="40"/>
      <c r="AE329" s="40"/>
      <c r="AF329" s="40"/>
      <c r="AG329" s="40"/>
      <c r="AH329" s="40"/>
      <c r="AI329" s="40"/>
      <c r="AJ329" s="40"/>
      <c r="AK329" s="40"/>
      <c r="AL329" s="40"/>
      <c r="AM329" s="40"/>
      <c r="AN329" s="40"/>
      <c r="AO329" s="40"/>
      <c r="AP329" s="40"/>
      <c r="AQ329" s="40"/>
      <c r="AR329" s="40"/>
      <c r="AS329" s="40"/>
      <c r="AT329" s="41"/>
      <c r="AU329" s="1806"/>
      <c r="AV329" s="1517">
        <f t="shared" si="178"/>
        <v>0</v>
      </c>
      <c r="AW329" s="1517">
        <f t="shared" si="179"/>
        <v>0</v>
      </c>
      <c r="AX329" s="1517">
        <f t="shared" si="180"/>
        <v>0</v>
      </c>
      <c r="AY329" s="42">
        <f t="shared" si="155"/>
        <v>0</v>
      </c>
      <c r="AZ329" s="35">
        <f t="shared" si="156"/>
        <v>0</v>
      </c>
      <c r="BA329" s="35">
        <f t="shared" si="157"/>
        <v>0</v>
      </c>
      <c r="BB329" s="35">
        <f t="shared" si="158"/>
        <v>0</v>
      </c>
      <c r="BC329" s="35">
        <f t="shared" si="159"/>
        <v>0</v>
      </c>
      <c r="BD329" s="35">
        <f t="shared" si="160"/>
        <v>0</v>
      </c>
      <c r="BE329" s="35">
        <f t="shared" si="161"/>
        <v>0</v>
      </c>
      <c r="BF329" s="35">
        <f t="shared" si="162"/>
        <v>0</v>
      </c>
      <c r="BG329" s="35">
        <f t="shared" si="163"/>
        <v>0</v>
      </c>
      <c r="BH329" s="35">
        <f t="shared" si="164"/>
        <v>0</v>
      </c>
      <c r="BI329" s="35">
        <f t="shared" si="165"/>
        <v>0</v>
      </c>
      <c r="BJ329" s="35">
        <f t="shared" si="166"/>
        <v>0</v>
      </c>
      <c r="BK329" s="35">
        <f t="shared" si="167"/>
        <v>0</v>
      </c>
      <c r="BL329" s="35">
        <f t="shared" si="168"/>
        <v>0</v>
      </c>
      <c r="BM329" s="35">
        <f t="shared" si="169"/>
        <v>0</v>
      </c>
      <c r="BN329" s="35">
        <f t="shared" si="170"/>
        <v>0</v>
      </c>
      <c r="BO329" s="35">
        <f t="shared" si="171"/>
        <v>0</v>
      </c>
      <c r="BP329" s="35">
        <f t="shared" si="172"/>
        <v>0</v>
      </c>
      <c r="BQ329" s="35">
        <f t="shared" si="173"/>
        <v>0</v>
      </c>
      <c r="BR329" s="35">
        <f t="shared" si="174"/>
        <v>0</v>
      </c>
      <c r="BS329" s="35">
        <f t="shared" si="175"/>
        <v>0</v>
      </c>
      <c r="BT329" s="43">
        <f t="shared" si="176"/>
        <v>0</v>
      </c>
    </row>
    <row r="330" spans="1:72">
      <c r="A330" s="9"/>
      <c r="B330" s="34"/>
      <c r="C330" s="34"/>
      <c r="D330" s="1805"/>
      <c r="E330" s="35">
        <f t="shared" si="177"/>
        <v>0</v>
      </c>
      <c r="F330" s="36"/>
      <c r="G330" s="37">
        <f t="shared" si="152"/>
        <v>0</v>
      </c>
      <c r="H330" s="38">
        <f t="shared" si="153"/>
        <v>0</v>
      </c>
      <c r="I330" s="39"/>
      <c r="J330" s="39"/>
      <c r="K330" s="39"/>
      <c r="L330" s="39"/>
      <c r="M330" s="39"/>
      <c r="N330" s="39"/>
      <c r="O330" s="39"/>
      <c r="P330" s="39"/>
      <c r="Q330" s="39"/>
      <c r="R330" s="39"/>
      <c r="S330" s="39"/>
      <c r="T330" s="39"/>
      <c r="U330" s="39"/>
      <c r="V330" s="39"/>
      <c r="W330" s="39"/>
      <c r="X330" s="39"/>
      <c r="Y330" s="39"/>
      <c r="Z330" s="39"/>
      <c r="AA330" s="39"/>
      <c r="AB330" s="39"/>
      <c r="AC330" s="35">
        <f t="shared" si="154"/>
        <v>0</v>
      </c>
      <c r="AD330" s="40"/>
      <c r="AE330" s="40"/>
      <c r="AF330" s="40"/>
      <c r="AG330" s="40"/>
      <c r="AH330" s="40"/>
      <c r="AI330" s="40"/>
      <c r="AJ330" s="40"/>
      <c r="AK330" s="40"/>
      <c r="AL330" s="40"/>
      <c r="AM330" s="40"/>
      <c r="AN330" s="40"/>
      <c r="AO330" s="40"/>
      <c r="AP330" s="40"/>
      <c r="AQ330" s="40"/>
      <c r="AR330" s="40"/>
      <c r="AS330" s="40"/>
      <c r="AT330" s="41"/>
      <c r="AU330" s="1806"/>
      <c r="AV330" s="1517">
        <f t="shared" si="178"/>
        <v>0</v>
      </c>
      <c r="AW330" s="1517">
        <f t="shared" si="179"/>
        <v>0</v>
      </c>
      <c r="AX330" s="1517">
        <f t="shared" si="180"/>
        <v>0</v>
      </c>
      <c r="AY330" s="42">
        <f t="shared" si="155"/>
        <v>0</v>
      </c>
      <c r="AZ330" s="35">
        <f t="shared" si="156"/>
        <v>0</v>
      </c>
      <c r="BA330" s="35">
        <f t="shared" si="157"/>
        <v>0</v>
      </c>
      <c r="BB330" s="35">
        <f t="shared" si="158"/>
        <v>0</v>
      </c>
      <c r="BC330" s="35">
        <f t="shared" si="159"/>
        <v>0</v>
      </c>
      <c r="BD330" s="35">
        <f t="shared" si="160"/>
        <v>0</v>
      </c>
      <c r="BE330" s="35">
        <f t="shared" si="161"/>
        <v>0</v>
      </c>
      <c r="BF330" s="35">
        <f t="shared" si="162"/>
        <v>0</v>
      </c>
      <c r="BG330" s="35">
        <f t="shared" si="163"/>
        <v>0</v>
      </c>
      <c r="BH330" s="35">
        <f t="shared" si="164"/>
        <v>0</v>
      </c>
      <c r="BI330" s="35">
        <f t="shared" si="165"/>
        <v>0</v>
      </c>
      <c r="BJ330" s="35">
        <f t="shared" si="166"/>
        <v>0</v>
      </c>
      <c r="BK330" s="35">
        <f t="shared" si="167"/>
        <v>0</v>
      </c>
      <c r="BL330" s="35">
        <f t="shared" si="168"/>
        <v>0</v>
      </c>
      <c r="BM330" s="35">
        <f t="shared" si="169"/>
        <v>0</v>
      </c>
      <c r="BN330" s="35">
        <f t="shared" si="170"/>
        <v>0</v>
      </c>
      <c r="BO330" s="35">
        <f t="shared" si="171"/>
        <v>0</v>
      </c>
      <c r="BP330" s="35">
        <f t="shared" si="172"/>
        <v>0</v>
      </c>
      <c r="BQ330" s="35">
        <f t="shared" si="173"/>
        <v>0</v>
      </c>
      <c r="BR330" s="35">
        <f t="shared" si="174"/>
        <v>0</v>
      </c>
      <c r="BS330" s="35">
        <f t="shared" si="175"/>
        <v>0</v>
      </c>
      <c r="BT330" s="43">
        <f t="shared" si="176"/>
        <v>0</v>
      </c>
    </row>
    <row r="331" spans="1:72">
      <c r="A331" s="9"/>
      <c r="B331" s="34"/>
      <c r="C331" s="34"/>
      <c r="D331" s="1805"/>
      <c r="E331" s="35">
        <f t="shared" si="177"/>
        <v>0</v>
      </c>
      <c r="F331" s="36"/>
      <c r="G331" s="37">
        <f t="shared" si="152"/>
        <v>0</v>
      </c>
      <c r="H331" s="38">
        <f t="shared" si="153"/>
        <v>0</v>
      </c>
      <c r="I331" s="39"/>
      <c r="J331" s="39"/>
      <c r="K331" s="39"/>
      <c r="L331" s="39"/>
      <c r="M331" s="39"/>
      <c r="N331" s="39"/>
      <c r="O331" s="39"/>
      <c r="P331" s="39"/>
      <c r="Q331" s="39"/>
      <c r="R331" s="39"/>
      <c r="S331" s="39"/>
      <c r="T331" s="39"/>
      <c r="U331" s="39"/>
      <c r="V331" s="39"/>
      <c r="W331" s="39"/>
      <c r="X331" s="39"/>
      <c r="Y331" s="39"/>
      <c r="Z331" s="39"/>
      <c r="AA331" s="39"/>
      <c r="AB331" s="39"/>
      <c r="AC331" s="35">
        <f t="shared" si="154"/>
        <v>0</v>
      </c>
      <c r="AD331" s="40"/>
      <c r="AE331" s="40"/>
      <c r="AF331" s="40"/>
      <c r="AG331" s="40"/>
      <c r="AH331" s="40"/>
      <c r="AI331" s="40"/>
      <c r="AJ331" s="40"/>
      <c r="AK331" s="40"/>
      <c r="AL331" s="40"/>
      <c r="AM331" s="40"/>
      <c r="AN331" s="40"/>
      <c r="AO331" s="40"/>
      <c r="AP331" s="40"/>
      <c r="AQ331" s="40"/>
      <c r="AR331" s="40"/>
      <c r="AS331" s="40"/>
      <c r="AT331" s="41"/>
      <c r="AU331" s="1806"/>
      <c r="AV331" s="1517">
        <f t="shared" si="178"/>
        <v>0</v>
      </c>
      <c r="AW331" s="1517">
        <f t="shared" si="179"/>
        <v>0</v>
      </c>
      <c r="AX331" s="1517">
        <f t="shared" si="180"/>
        <v>0</v>
      </c>
      <c r="AY331" s="42">
        <f t="shared" si="155"/>
        <v>0</v>
      </c>
      <c r="AZ331" s="35">
        <f t="shared" si="156"/>
        <v>0</v>
      </c>
      <c r="BA331" s="35">
        <f t="shared" si="157"/>
        <v>0</v>
      </c>
      <c r="BB331" s="35">
        <f t="shared" si="158"/>
        <v>0</v>
      </c>
      <c r="BC331" s="35">
        <f t="shared" si="159"/>
        <v>0</v>
      </c>
      <c r="BD331" s="35">
        <f t="shared" si="160"/>
        <v>0</v>
      </c>
      <c r="BE331" s="35">
        <f t="shared" si="161"/>
        <v>0</v>
      </c>
      <c r="BF331" s="35">
        <f t="shared" si="162"/>
        <v>0</v>
      </c>
      <c r="BG331" s="35">
        <f t="shared" si="163"/>
        <v>0</v>
      </c>
      <c r="BH331" s="35">
        <f t="shared" si="164"/>
        <v>0</v>
      </c>
      <c r="BI331" s="35">
        <f t="shared" si="165"/>
        <v>0</v>
      </c>
      <c r="BJ331" s="35">
        <f t="shared" si="166"/>
        <v>0</v>
      </c>
      <c r="BK331" s="35">
        <f t="shared" si="167"/>
        <v>0</v>
      </c>
      <c r="BL331" s="35">
        <f t="shared" si="168"/>
        <v>0</v>
      </c>
      <c r="BM331" s="35">
        <f t="shared" si="169"/>
        <v>0</v>
      </c>
      <c r="BN331" s="35">
        <f t="shared" si="170"/>
        <v>0</v>
      </c>
      <c r="BO331" s="35">
        <f t="shared" si="171"/>
        <v>0</v>
      </c>
      <c r="BP331" s="35">
        <f t="shared" si="172"/>
        <v>0</v>
      </c>
      <c r="BQ331" s="35">
        <f t="shared" si="173"/>
        <v>0</v>
      </c>
      <c r="BR331" s="35">
        <f t="shared" si="174"/>
        <v>0</v>
      </c>
      <c r="BS331" s="35">
        <f t="shared" si="175"/>
        <v>0</v>
      </c>
      <c r="BT331" s="43">
        <f t="shared" si="176"/>
        <v>0</v>
      </c>
    </row>
    <row r="332" spans="1:72">
      <c r="A332" s="9"/>
      <c r="B332" s="34"/>
      <c r="C332" s="34"/>
      <c r="D332" s="1805"/>
      <c r="E332" s="35">
        <f t="shared" si="177"/>
        <v>0</v>
      </c>
      <c r="F332" s="36"/>
      <c r="G332" s="37">
        <f t="shared" ref="G332:G363" si="181">H332+AC332+AT332</f>
        <v>0</v>
      </c>
      <c r="H332" s="38">
        <f t="shared" ref="H332:H363" si="182">SUMIF(I$12:AB$12,"总值",I332:AB332)</f>
        <v>0</v>
      </c>
      <c r="I332" s="39"/>
      <c r="J332" s="39"/>
      <c r="K332" s="39"/>
      <c r="L332" s="39"/>
      <c r="M332" s="39"/>
      <c r="N332" s="39"/>
      <c r="O332" s="39"/>
      <c r="P332" s="39"/>
      <c r="Q332" s="39"/>
      <c r="R332" s="39"/>
      <c r="S332" s="39"/>
      <c r="T332" s="39"/>
      <c r="U332" s="39"/>
      <c r="V332" s="39"/>
      <c r="W332" s="39"/>
      <c r="X332" s="39"/>
      <c r="Y332" s="39"/>
      <c r="Z332" s="39"/>
      <c r="AA332" s="39"/>
      <c r="AB332" s="39"/>
      <c r="AC332" s="35">
        <f t="shared" ref="AC332:AC363" si="183">SUMIF(AD$12:AS$12,"总值",AD332:AS332)</f>
        <v>0</v>
      </c>
      <c r="AD332" s="40"/>
      <c r="AE332" s="40"/>
      <c r="AF332" s="40"/>
      <c r="AG332" s="40"/>
      <c r="AH332" s="40"/>
      <c r="AI332" s="40"/>
      <c r="AJ332" s="40"/>
      <c r="AK332" s="40"/>
      <c r="AL332" s="40"/>
      <c r="AM332" s="40"/>
      <c r="AN332" s="40"/>
      <c r="AO332" s="40"/>
      <c r="AP332" s="40"/>
      <c r="AQ332" s="40"/>
      <c r="AR332" s="40"/>
      <c r="AS332" s="40"/>
      <c r="AT332" s="41"/>
      <c r="AU332" s="1806"/>
      <c r="AV332" s="1517">
        <f t="shared" si="178"/>
        <v>0</v>
      </c>
      <c r="AW332" s="1517">
        <f t="shared" si="179"/>
        <v>0</v>
      </c>
      <c r="AX332" s="1517">
        <f t="shared" si="180"/>
        <v>0</v>
      </c>
      <c r="AY332" s="42">
        <f t="shared" ref="AY332:AY363" si="184">ROUND($AY$6*AZ332/$AZ$5,2)</f>
        <v>0</v>
      </c>
      <c r="AZ332" s="35">
        <f t="shared" ref="AZ332:AZ363" si="185">BA332+BL332</f>
        <v>0</v>
      </c>
      <c r="BA332" s="35">
        <f t="shared" ref="BA332:BA363" si="186">SUM(BB332:BK332)</f>
        <v>0</v>
      </c>
      <c r="BB332" s="35">
        <f t="shared" ref="BB332:BB363" si="187">IF($D332="是",I332-J332,0)</f>
        <v>0</v>
      </c>
      <c r="BC332" s="35">
        <f t="shared" ref="BC332:BC363" si="188">IF($D332="是",K332-L332,0)</f>
        <v>0</v>
      </c>
      <c r="BD332" s="35">
        <f t="shared" ref="BD332:BD363" si="189">IF($D332="是",M332-N332,0)</f>
        <v>0</v>
      </c>
      <c r="BE332" s="35">
        <f t="shared" ref="BE332:BE363" si="190">IF($D332="是",O332-P332,0)</f>
        <v>0</v>
      </c>
      <c r="BF332" s="35">
        <f t="shared" ref="BF332:BF363" si="191">IF($D332="是",Q332-R332,0)</f>
        <v>0</v>
      </c>
      <c r="BG332" s="35">
        <f t="shared" ref="BG332:BG363" si="192">IF($D332="是",S332-T332,0)</f>
        <v>0</v>
      </c>
      <c r="BH332" s="35">
        <f t="shared" ref="BH332:BH363" si="193">IF($D332="是",U332-V332,0)</f>
        <v>0</v>
      </c>
      <c r="BI332" s="35">
        <f t="shared" ref="BI332:BI363" si="194">IF($D332="是",W332-X332,0)</f>
        <v>0</v>
      </c>
      <c r="BJ332" s="35">
        <f t="shared" ref="BJ332:BJ363" si="195">IF($D332="是",Y332-Z332,0)</f>
        <v>0</v>
      </c>
      <c r="BK332" s="35">
        <f t="shared" ref="BK332:BK363" si="196">IF($D332="是",AA332-AB332,0)</f>
        <v>0</v>
      </c>
      <c r="BL332" s="35">
        <f t="shared" ref="BL332:BL363" si="197">SUM(BM332:BT332)</f>
        <v>0</v>
      </c>
      <c r="BM332" s="35">
        <f t="shared" ref="BM332:BM363" si="198">IF($D332="是",AD332-AE332,0)</f>
        <v>0</v>
      </c>
      <c r="BN332" s="35">
        <f t="shared" ref="BN332:BN363" si="199">IF($D332="是",AF332-AG332,0)</f>
        <v>0</v>
      </c>
      <c r="BO332" s="35">
        <f t="shared" ref="BO332:BO363" si="200">IF($D332="是",AH332-AI332,0)</f>
        <v>0</v>
      </c>
      <c r="BP332" s="35">
        <f t="shared" ref="BP332:BP363" si="201">IF($D332="是",AJ332-AK332,0)</f>
        <v>0</v>
      </c>
      <c r="BQ332" s="35">
        <f t="shared" ref="BQ332:BQ363" si="202">IF($D332="是",AL332-AM332,0)</f>
        <v>0</v>
      </c>
      <c r="BR332" s="35">
        <f t="shared" ref="BR332:BR363" si="203">IF($D332="是",AN332-AO332,0)</f>
        <v>0</v>
      </c>
      <c r="BS332" s="35">
        <f t="shared" ref="BS332:BS363" si="204">IF($D332="是",AP332-AQ332,0)</f>
        <v>0</v>
      </c>
      <c r="BT332" s="43">
        <f t="shared" ref="BT332:BT363" si="205">IF($D332="是",AR332-AS332,0)</f>
        <v>0</v>
      </c>
    </row>
    <row r="333" spans="1:72">
      <c r="A333" s="9"/>
      <c r="B333" s="34"/>
      <c r="C333" s="34"/>
      <c r="D333" s="1805"/>
      <c r="E333" s="35">
        <f t="shared" si="177"/>
        <v>0</v>
      </c>
      <c r="F333" s="36"/>
      <c r="G333" s="37">
        <f t="shared" si="181"/>
        <v>0</v>
      </c>
      <c r="H333" s="38">
        <f t="shared" si="182"/>
        <v>0</v>
      </c>
      <c r="I333" s="39"/>
      <c r="J333" s="39"/>
      <c r="K333" s="39"/>
      <c r="L333" s="39"/>
      <c r="M333" s="39"/>
      <c r="N333" s="39"/>
      <c r="O333" s="39"/>
      <c r="P333" s="39"/>
      <c r="Q333" s="39"/>
      <c r="R333" s="39"/>
      <c r="S333" s="39"/>
      <c r="T333" s="39"/>
      <c r="U333" s="39"/>
      <c r="V333" s="39"/>
      <c r="W333" s="39"/>
      <c r="X333" s="39"/>
      <c r="Y333" s="39"/>
      <c r="Z333" s="39"/>
      <c r="AA333" s="39"/>
      <c r="AB333" s="39"/>
      <c r="AC333" s="35">
        <f t="shared" si="183"/>
        <v>0</v>
      </c>
      <c r="AD333" s="40"/>
      <c r="AE333" s="40"/>
      <c r="AF333" s="40"/>
      <c r="AG333" s="40"/>
      <c r="AH333" s="40"/>
      <c r="AI333" s="40"/>
      <c r="AJ333" s="40"/>
      <c r="AK333" s="40"/>
      <c r="AL333" s="40"/>
      <c r="AM333" s="40"/>
      <c r="AN333" s="40"/>
      <c r="AO333" s="40"/>
      <c r="AP333" s="40"/>
      <c r="AQ333" s="40"/>
      <c r="AR333" s="40"/>
      <c r="AS333" s="40"/>
      <c r="AT333" s="41"/>
      <c r="AU333" s="1806"/>
      <c r="AV333" s="1517">
        <f t="shared" si="178"/>
        <v>0</v>
      </c>
      <c r="AW333" s="1517">
        <f t="shared" si="179"/>
        <v>0</v>
      </c>
      <c r="AX333" s="1517">
        <f t="shared" si="180"/>
        <v>0</v>
      </c>
      <c r="AY333" s="42">
        <f t="shared" si="184"/>
        <v>0</v>
      </c>
      <c r="AZ333" s="35">
        <f t="shared" si="185"/>
        <v>0</v>
      </c>
      <c r="BA333" s="35">
        <f t="shared" si="186"/>
        <v>0</v>
      </c>
      <c r="BB333" s="35">
        <f t="shared" si="187"/>
        <v>0</v>
      </c>
      <c r="BC333" s="35">
        <f t="shared" si="188"/>
        <v>0</v>
      </c>
      <c r="BD333" s="35">
        <f t="shared" si="189"/>
        <v>0</v>
      </c>
      <c r="BE333" s="35">
        <f t="shared" si="190"/>
        <v>0</v>
      </c>
      <c r="BF333" s="35">
        <f t="shared" si="191"/>
        <v>0</v>
      </c>
      <c r="BG333" s="35">
        <f t="shared" si="192"/>
        <v>0</v>
      </c>
      <c r="BH333" s="35">
        <f t="shared" si="193"/>
        <v>0</v>
      </c>
      <c r="BI333" s="35">
        <f t="shared" si="194"/>
        <v>0</v>
      </c>
      <c r="BJ333" s="35">
        <f t="shared" si="195"/>
        <v>0</v>
      </c>
      <c r="BK333" s="35">
        <f t="shared" si="196"/>
        <v>0</v>
      </c>
      <c r="BL333" s="35">
        <f t="shared" si="197"/>
        <v>0</v>
      </c>
      <c r="BM333" s="35">
        <f t="shared" si="198"/>
        <v>0</v>
      </c>
      <c r="BN333" s="35">
        <f t="shared" si="199"/>
        <v>0</v>
      </c>
      <c r="BO333" s="35">
        <f t="shared" si="200"/>
        <v>0</v>
      </c>
      <c r="BP333" s="35">
        <f t="shared" si="201"/>
        <v>0</v>
      </c>
      <c r="BQ333" s="35">
        <f t="shared" si="202"/>
        <v>0</v>
      </c>
      <c r="BR333" s="35">
        <f t="shared" si="203"/>
        <v>0</v>
      </c>
      <c r="BS333" s="35">
        <f t="shared" si="204"/>
        <v>0</v>
      </c>
      <c r="BT333" s="43">
        <f t="shared" si="205"/>
        <v>0</v>
      </c>
    </row>
    <row r="334" spans="1:72">
      <c r="A334" s="9"/>
      <c r="B334" s="34"/>
      <c r="C334" s="34"/>
      <c r="D334" s="1805"/>
      <c r="E334" s="35">
        <f t="shared" si="177"/>
        <v>0</v>
      </c>
      <c r="F334" s="36"/>
      <c r="G334" s="37">
        <f t="shared" si="181"/>
        <v>0</v>
      </c>
      <c r="H334" s="38">
        <f t="shared" si="182"/>
        <v>0</v>
      </c>
      <c r="I334" s="39"/>
      <c r="J334" s="39"/>
      <c r="K334" s="39"/>
      <c r="L334" s="39"/>
      <c r="M334" s="39"/>
      <c r="N334" s="39"/>
      <c r="O334" s="39"/>
      <c r="P334" s="39"/>
      <c r="Q334" s="39"/>
      <c r="R334" s="39"/>
      <c r="S334" s="39"/>
      <c r="T334" s="39"/>
      <c r="U334" s="39"/>
      <c r="V334" s="39"/>
      <c r="W334" s="39"/>
      <c r="X334" s="39"/>
      <c r="Y334" s="39"/>
      <c r="Z334" s="39"/>
      <c r="AA334" s="39"/>
      <c r="AB334" s="39"/>
      <c r="AC334" s="35">
        <f t="shared" si="183"/>
        <v>0</v>
      </c>
      <c r="AD334" s="40"/>
      <c r="AE334" s="40"/>
      <c r="AF334" s="40"/>
      <c r="AG334" s="40"/>
      <c r="AH334" s="40"/>
      <c r="AI334" s="40"/>
      <c r="AJ334" s="40"/>
      <c r="AK334" s="40"/>
      <c r="AL334" s="40"/>
      <c r="AM334" s="40"/>
      <c r="AN334" s="40"/>
      <c r="AO334" s="40"/>
      <c r="AP334" s="40"/>
      <c r="AQ334" s="40"/>
      <c r="AR334" s="40"/>
      <c r="AS334" s="40"/>
      <c r="AT334" s="41"/>
      <c r="AU334" s="1806"/>
      <c r="AV334" s="1517">
        <f t="shared" si="178"/>
        <v>0</v>
      </c>
      <c r="AW334" s="1517">
        <f t="shared" si="179"/>
        <v>0</v>
      </c>
      <c r="AX334" s="1517">
        <f t="shared" si="180"/>
        <v>0</v>
      </c>
      <c r="AY334" s="42">
        <f t="shared" si="184"/>
        <v>0</v>
      </c>
      <c r="AZ334" s="35">
        <f t="shared" si="185"/>
        <v>0</v>
      </c>
      <c r="BA334" s="35">
        <f t="shared" si="186"/>
        <v>0</v>
      </c>
      <c r="BB334" s="35">
        <f t="shared" si="187"/>
        <v>0</v>
      </c>
      <c r="BC334" s="35">
        <f t="shared" si="188"/>
        <v>0</v>
      </c>
      <c r="BD334" s="35">
        <f t="shared" si="189"/>
        <v>0</v>
      </c>
      <c r="BE334" s="35">
        <f t="shared" si="190"/>
        <v>0</v>
      </c>
      <c r="BF334" s="35">
        <f t="shared" si="191"/>
        <v>0</v>
      </c>
      <c r="BG334" s="35">
        <f t="shared" si="192"/>
        <v>0</v>
      </c>
      <c r="BH334" s="35">
        <f t="shared" si="193"/>
        <v>0</v>
      </c>
      <c r="BI334" s="35">
        <f t="shared" si="194"/>
        <v>0</v>
      </c>
      <c r="BJ334" s="35">
        <f t="shared" si="195"/>
        <v>0</v>
      </c>
      <c r="BK334" s="35">
        <f t="shared" si="196"/>
        <v>0</v>
      </c>
      <c r="BL334" s="35">
        <f t="shared" si="197"/>
        <v>0</v>
      </c>
      <c r="BM334" s="35">
        <f t="shared" si="198"/>
        <v>0</v>
      </c>
      <c r="BN334" s="35">
        <f t="shared" si="199"/>
        <v>0</v>
      </c>
      <c r="BO334" s="35">
        <f t="shared" si="200"/>
        <v>0</v>
      </c>
      <c r="BP334" s="35">
        <f t="shared" si="201"/>
        <v>0</v>
      </c>
      <c r="BQ334" s="35">
        <f t="shared" si="202"/>
        <v>0</v>
      </c>
      <c r="BR334" s="35">
        <f t="shared" si="203"/>
        <v>0</v>
      </c>
      <c r="BS334" s="35">
        <f t="shared" si="204"/>
        <v>0</v>
      </c>
      <c r="BT334" s="43">
        <f t="shared" si="205"/>
        <v>0</v>
      </c>
    </row>
    <row r="335" spans="1:72">
      <c r="A335" s="9"/>
      <c r="B335" s="34"/>
      <c r="C335" s="34"/>
      <c r="D335" s="1805"/>
      <c r="E335" s="35">
        <f t="shared" ref="E335:E366" si="206">IF($C$3="是",ROUND($A$3*G335/$B$3,2),ROUND($A$3*(G335-AT335)/$B$3,2))</f>
        <v>0</v>
      </c>
      <c r="F335" s="36"/>
      <c r="G335" s="37">
        <f t="shared" si="181"/>
        <v>0</v>
      </c>
      <c r="H335" s="38">
        <f t="shared" si="182"/>
        <v>0</v>
      </c>
      <c r="I335" s="39"/>
      <c r="J335" s="39"/>
      <c r="K335" s="39"/>
      <c r="L335" s="39"/>
      <c r="M335" s="39"/>
      <c r="N335" s="39"/>
      <c r="O335" s="39"/>
      <c r="P335" s="39"/>
      <c r="Q335" s="39"/>
      <c r="R335" s="39"/>
      <c r="S335" s="39"/>
      <c r="T335" s="39"/>
      <c r="U335" s="39"/>
      <c r="V335" s="39"/>
      <c r="W335" s="39"/>
      <c r="X335" s="39"/>
      <c r="Y335" s="39"/>
      <c r="Z335" s="39"/>
      <c r="AA335" s="39"/>
      <c r="AB335" s="39"/>
      <c r="AC335" s="35">
        <f t="shared" si="183"/>
        <v>0</v>
      </c>
      <c r="AD335" s="40"/>
      <c r="AE335" s="40"/>
      <c r="AF335" s="40"/>
      <c r="AG335" s="40"/>
      <c r="AH335" s="40"/>
      <c r="AI335" s="40"/>
      <c r="AJ335" s="40"/>
      <c r="AK335" s="40"/>
      <c r="AL335" s="40"/>
      <c r="AM335" s="40"/>
      <c r="AN335" s="40"/>
      <c r="AO335" s="40"/>
      <c r="AP335" s="40"/>
      <c r="AQ335" s="40"/>
      <c r="AR335" s="40"/>
      <c r="AS335" s="40"/>
      <c r="AT335" s="41"/>
      <c r="AU335" s="1806"/>
      <c r="AV335" s="1517">
        <f t="shared" ref="AV335:AV366" si="207">A335</f>
        <v>0</v>
      </c>
      <c r="AW335" s="1517">
        <f t="shared" ref="AW335:AW366" si="208">B335</f>
        <v>0</v>
      </c>
      <c r="AX335" s="1517">
        <f t="shared" ref="AX335:AX366" si="209">C335</f>
        <v>0</v>
      </c>
      <c r="AY335" s="42">
        <f t="shared" si="184"/>
        <v>0</v>
      </c>
      <c r="AZ335" s="35">
        <f t="shared" si="185"/>
        <v>0</v>
      </c>
      <c r="BA335" s="35">
        <f t="shared" si="186"/>
        <v>0</v>
      </c>
      <c r="BB335" s="35">
        <f t="shared" si="187"/>
        <v>0</v>
      </c>
      <c r="BC335" s="35">
        <f t="shared" si="188"/>
        <v>0</v>
      </c>
      <c r="BD335" s="35">
        <f t="shared" si="189"/>
        <v>0</v>
      </c>
      <c r="BE335" s="35">
        <f t="shared" si="190"/>
        <v>0</v>
      </c>
      <c r="BF335" s="35">
        <f t="shared" si="191"/>
        <v>0</v>
      </c>
      <c r="BG335" s="35">
        <f t="shared" si="192"/>
        <v>0</v>
      </c>
      <c r="BH335" s="35">
        <f t="shared" si="193"/>
        <v>0</v>
      </c>
      <c r="BI335" s="35">
        <f t="shared" si="194"/>
        <v>0</v>
      </c>
      <c r="BJ335" s="35">
        <f t="shared" si="195"/>
        <v>0</v>
      </c>
      <c r="BK335" s="35">
        <f t="shared" si="196"/>
        <v>0</v>
      </c>
      <c r="BL335" s="35">
        <f t="shared" si="197"/>
        <v>0</v>
      </c>
      <c r="BM335" s="35">
        <f t="shared" si="198"/>
        <v>0</v>
      </c>
      <c r="BN335" s="35">
        <f t="shared" si="199"/>
        <v>0</v>
      </c>
      <c r="BO335" s="35">
        <f t="shared" si="200"/>
        <v>0</v>
      </c>
      <c r="BP335" s="35">
        <f t="shared" si="201"/>
        <v>0</v>
      </c>
      <c r="BQ335" s="35">
        <f t="shared" si="202"/>
        <v>0</v>
      </c>
      <c r="BR335" s="35">
        <f t="shared" si="203"/>
        <v>0</v>
      </c>
      <c r="BS335" s="35">
        <f t="shared" si="204"/>
        <v>0</v>
      </c>
      <c r="BT335" s="43">
        <f t="shared" si="205"/>
        <v>0</v>
      </c>
    </row>
    <row r="336" spans="1:72">
      <c r="A336" s="9"/>
      <c r="B336" s="34"/>
      <c r="C336" s="34"/>
      <c r="D336" s="1805"/>
      <c r="E336" s="35">
        <f t="shared" si="206"/>
        <v>0</v>
      </c>
      <c r="F336" s="36"/>
      <c r="G336" s="37">
        <f t="shared" si="181"/>
        <v>0</v>
      </c>
      <c r="H336" s="38">
        <f t="shared" si="182"/>
        <v>0</v>
      </c>
      <c r="I336" s="39"/>
      <c r="J336" s="39"/>
      <c r="K336" s="39"/>
      <c r="L336" s="39"/>
      <c r="M336" s="39"/>
      <c r="N336" s="39"/>
      <c r="O336" s="39"/>
      <c r="P336" s="39"/>
      <c r="Q336" s="39"/>
      <c r="R336" s="39"/>
      <c r="S336" s="39"/>
      <c r="T336" s="39"/>
      <c r="U336" s="39"/>
      <c r="V336" s="39"/>
      <c r="W336" s="39"/>
      <c r="X336" s="39"/>
      <c r="Y336" s="39"/>
      <c r="Z336" s="39"/>
      <c r="AA336" s="39"/>
      <c r="AB336" s="39"/>
      <c r="AC336" s="35">
        <f t="shared" si="183"/>
        <v>0</v>
      </c>
      <c r="AD336" s="40"/>
      <c r="AE336" s="40"/>
      <c r="AF336" s="40"/>
      <c r="AG336" s="40"/>
      <c r="AH336" s="40"/>
      <c r="AI336" s="40"/>
      <c r="AJ336" s="40"/>
      <c r="AK336" s="40"/>
      <c r="AL336" s="40"/>
      <c r="AM336" s="40"/>
      <c r="AN336" s="40"/>
      <c r="AO336" s="40"/>
      <c r="AP336" s="40"/>
      <c r="AQ336" s="40"/>
      <c r="AR336" s="40"/>
      <c r="AS336" s="40"/>
      <c r="AT336" s="41"/>
      <c r="AU336" s="1806"/>
      <c r="AV336" s="1517">
        <f t="shared" si="207"/>
        <v>0</v>
      </c>
      <c r="AW336" s="1517">
        <f t="shared" si="208"/>
        <v>0</v>
      </c>
      <c r="AX336" s="1517">
        <f t="shared" si="209"/>
        <v>0</v>
      </c>
      <c r="AY336" s="42">
        <f t="shared" si="184"/>
        <v>0</v>
      </c>
      <c r="AZ336" s="35">
        <f t="shared" si="185"/>
        <v>0</v>
      </c>
      <c r="BA336" s="35">
        <f t="shared" si="186"/>
        <v>0</v>
      </c>
      <c r="BB336" s="35">
        <f t="shared" si="187"/>
        <v>0</v>
      </c>
      <c r="BC336" s="35">
        <f t="shared" si="188"/>
        <v>0</v>
      </c>
      <c r="BD336" s="35">
        <f t="shared" si="189"/>
        <v>0</v>
      </c>
      <c r="BE336" s="35">
        <f t="shared" si="190"/>
        <v>0</v>
      </c>
      <c r="BF336" s="35">
        <f t="shared" si="191"/>
        <v>0</v>
      </c>
      <c r="BG336" s="35">
        <f t="shared" si="192"/>
        <v>0</v>
      </c>
      <c r="BH336" s="35">
        <f t="shared" si="193"/>
        <v>0</v>
      </c>
      <c r="BI336" s="35">
        <f t="shared" si="194"/>
        <v>0</v>
      </c>
      <c r="BJ336" s="35">
        <f t="shared" si="195"/>
        <v>0</v>
      </c>
      <c r="BK336" s="35">
        <f t="shared" si="196"/>
        <v>0</v>
      </c>
      <c r="BL336" s="35">
        <f t="shared" si="197"/>
        <v>0</v>
      </c>
      <c r="BM336" s="35">
        <f t="shared" si="198"/>
        <v>0</v>
      </c>
      <c r="BN336" s="35">
        <f t="shared" si="199"/>
        <v>0</v>
      </c>
      <c r="BO336" s="35">
        <f t="shared" si="200"/>
        <v>0</v>
      </c>
      <c r="BP336" s="35">
        <f t="shared" si="201"/>
        <v>0</v>
      </c>
      <c r="BQ336" s="35">
        <f t="shared" si="202"/>
        <v>0</v>
      </c>
      <c r="BR336" s="35">
        <f t="shared" si="203"/>
        <v>0</v>
      </c>
      <c r="BS336" s="35">
        <f t="shared" si="204"/>
        <v>0</v>
      </c>
      <c r="BT336" s="43">
        <f t="shared" si="205"/>
        <v>0</v>
      </c>
    </row>
    <row r="337" spans="1:72">
      <c r="A337" s="9"/>
      <c r="B337" s="34"/>
      <c r="C337" s="34"/>
      <c r="D337" s="1805"/>
      <c r="E337" s="35">
        <f t="shared" si="206"/>
        <v>0</v>
      </c>
      <c r="F337" s="36"/>
      <c r="G337" s="37">
        <f t="shared" si="181"/>
        <v>0</v>
      </c>
      <c r="H337" s="38">
        <f t="shared" si="182"/>
        <v>0</v>
      </c>
      <c r="I337" s="39"/>
      <c r="J337" s="39"/>
      <c r="K337" s="39"/>
      <c r="L337" s="39"/>
      <c r="M337" s="39"/>
      <c r="N337" s="39"/>
      <c r="O337" s="39"/>
      <c r="P337" s="39"/>
      <c r="Q337" s="39"/>
      <c r="R337" s="39"/>
      <c r="S337" s="39"/>
      <c r="T337" s="39"/>
      <c r="U337" s="39"/>
      <c r="V337" s="39"/>
      <c r="W337" s="39"/>
      <c r="X337" s="39"/>
      <c r="Y337" s="39"/>
      <c r="Z337" s="39"/>
      <c r="AA337" s="39"/>
      <c r="AB337" s="39"/>
      <c r="AC337" s="35">
        <f t="shared" si="183"/>
        <v>0</v>
      </c>
      <c r="AD337" s="40"/>
      <c r="AE337" s="40"/>
      <c r="AF337" s="40"/>
      <c r="AG337" s="40"/>
      <c r="AH337" s="40"/>
      <c r="AI337" s="40"/>
      <c r="AJ337" s="40"/>
      <c r="AK337" s="40"/>
      <c r="AL337" s="40"/>
      <c r="AM337" s="40"/>
      <c r="AN337" s="40"/>
      <c r="AO337" s="40"/>
      <c r="AP337" s="40"/>
      <c r="AQ337" s="40"/>
      <c r="AR337" s="40"/>
      <c r="AS337" s="40"/>
      <c r="AT337" s="41"/>
      <c r="AU337" s="1806"/>
      <c r="AV337" s="1517">
        <f t="shared" si="207"/>
        <v>0</v>
      </c>
      <c r="AW337" s="1517">
        <f t="shared" si="208"/>
        <v>0</v>
      </c>
      <c r="AX337" s="1517">
        <f t="shared" si="209"/>
        <v>0</v>
      </c>
      <c r="AY337" s="42">
        <f t="shared" si="184"/>
        <v>0</v>
      </c>
      <c r="AZ337" s="35">
        <f t="shared" si="185"/>
        <v>0</v>
      </c>
      <c r="BA337" s="35">
        <f t="shared" si="186"/>
        <v>0</v>
      </c>
      <c r="BB337" s="35">
        <f t="shared" si="187"/>
        <v>0</v>
      </c>
      <c r="BC337" s="35">
        <f t="shared" si="188"/>
        <v>0</v>
      </c>
      <c r="BD337" s="35">
        <f t="shared" si="189"/>
        <v>0</v>
      </c>
      <c r="BE337" s="35">
        <f t="shared" si="190"/>
        <v>0</v>
      </c>
      <c r="BF337" s="35">
        <f t="shared" si="191"/>
        <v>0</v>
      </c>
      <c r="BG337" s="35">
        <f t="shared" si="192"/>
        <v>0</v>
      </c>
      <c r="BH337" s="35">
        <f t="shared" si="193"/>
        <v>0</v>
      </c>
      <c r="BI337" s="35">
        <f t="shared" si="194"/>
        <v>0</v>
      </c>
      <c r="BJ337" s="35">
        <f t="shared" si="195"/>
        <v>0</v>
      </c>
      <c r="BK337" s="35">
        <f t="shared" si="196"/>
        <v>0</v>
      </c>
      <c r="BL337" s="35">
        <f t="shared" si="197"/>
        <v>0</v>
      </c>
      <c r="BM337" s="35">
        <f t="shared" si="198"/>
        <v>0</v>
      </c>
      <c r="BN337" s="35">
        <f t="shared" si="199"/>
        <v>0</v>
      </c>
      <c r="BO337" s="35">
        <f t="shared" si="200"/>
        <v>0</v>
      </c>
      <c r="BP337" s="35">
        <f t="shared" si="201"/>
        <v>0</v>
      </c>
      <c r="BQ337" s="35">
        <f t="shared" si="202"/>
        <v>0</v>
      </c>
      <c r="BR337" s="35">
        <f t="shared" si="203"/>
        <v>0</v>
      </c>
      <c r="BS337" s="35">
        <f t="shared" si="204"/>
        <v>0</v>
      </c>
      <c r="BT337" s="43">
        <f t="shared" si="205"/>
        <v>0</v>
      </c>
    </row>
    <row r="338" spans="1:72">
      <c r="A338" s="9"/>
      <c r="B338" s="34"/>
      <c r="C338" s="34"/>
      <c r="D338" s="1805"/>
      <c r="E338" s="35">
        <f t="shared" si="206"/>
        <v>0</v>
      </c>
      <c r="F338" s="36"/>
      <c r="G338" s="37">
        <f t="shared" si="181"/>
        <v>0</v>
      </c>
      <c r="H338" s="38">
        <f t="shared" si="182"/>
        <v>0</v>
      </c>
      <c r="I338" s="39"/>
      <c r="J338" s="39"/>
      <c r="K338" s="39"/>
      <c r="L338" s="39"/>
      <c r="M338" s="39"/>
      <c r="N338" s="39"/>
      <c r="O338" s="39"/>
      <c r="P338" s="39"/>
      <c r="Q338" s="39"/>
      <c r="R338" s="39"/>
      <c r="S338" s="39"/>
      <c r="T338" s="39"/>
      <c r="U338" s="39"/>
      <c r="V338" s="39"/>
      <c r="W338" s="39"/>
      <c r="X338" s="39"/>
      <c r="Y338" s="39"/>
      <c r="Z338" s="39"/>
      <c r="AA338" s="39"/>
      <c r="AB338" s="39"/>
      <c r="AC338" s="35">
        <f t="shared" si="183"/>
        <v>0</v>
      </c>
      <c r="AD338" s="40"/>
      <c r="AE338" s="40"/>
      <c r="AF338" s="40"/>
      <c r="AG338" s="40"/>
      <c r="AH338" s="40"/>
      <c r="AI338" s="40"/>
      <c r="AJ338" s="40"/>
      <c r="AK338" s="40"/>
      <c r="AL338" s="40"/>
      <c r="AM338" s="40"/>
      <c r="AN338" s="40"/>
      <c r="AO338" s="40"/>
      <c r="AP338" s="40"/>
      <c r="AQ338" s="40"/>
      <c r="AR338" s="40"/>
      <c r="AS338" s="40"/>
      <c r="AT338" s="41"/>
      <c r="AU338" s="1806"/>
      <c r="AV338" s="1517">
        <f t="shared" si="207"/>
        <v>0</v>
      </c>
      <c r="AW338" s="1517">
        <f t="shared" si="208"/>
        <v>0</v>
      </c>
      <c r="AX338" s="1517">
        <f t="shared" si="209"/>
        <v>0</v>
      </c>
      <c r="AY338" s="42">
        <f t="shared" si="184"/>
        <v>0</v>
      </c>
      <c r="AZ338" s="35">
        <f t="shared" si="185"/>
        <v>0</v>
      </c>
      <c r="BA338" s="35">
        <f t="shared" si="186"/>
        <v>0</v>
      </c>
      <c r="BB338" s="35">
        <f t="shared" si="187"/>
        <v>0</v>
      </c>
      <c r="BC338" s="35">
        <f t="shared" si="188"/>
        <v>0</v>
      </c>
      <c r="BD338" s="35">
        <f t="shared" si="189"/>
        <v>0</v>
      </c>
      <c r="BE338" s="35">
        <f t="shared" si="190"/>
        <v>0</v>
      </c>
      <c r="BF338" s="35">
        <f t="shared" si="191"/>
        <v>0</v>
      </c>
      <c r="BG338" s="35">
        <f t="shared" si="192"/>
        <v>0</v>
      </c>
      <c r="BH338" s="35">
        <f t="shared" si="193"/>
        <v>0</v>
      </c>
      <c r="BI338" s="35">
        <f t="shared" si="194"/>
        <v>0</v>
      </c>
      <c r="BJ338" s="35">
        <f t="shared" si="195"/>
        <v>0</v>
      </c>
      <c r="BK338" s="35">
        <f t="shared" si="196"/>
        <v>0</v>
      </c>
      <c r="BL338" s="35">
        <f t="shared" si="197"/>
        <v>0</v>
      </c>
      <c r="BM338" s="35">
        <f t="shared" si="198"/>
        <v>0</v>
      </c>
      <c r="BN338" s="35">
        <f t="shared" si="199"/>
        <v>0</v>
      </c>
      <c r="BO338" s="35">
        <f t="shared" si="200"/>
        <v>0</v>
      </c>
      <c r="BP338" s="35">
        <f t="shared" si="201"/>
        <v>0</v>
      </c>
      <c r="BQ338" s="35">
        <f t="shared" si="202"/>
        <v>0</v>
      </c>
      <c r="BR338" s="35">
        <f t="shared" si="203"/>
        <v>0</v>
      </c>
      <c r="BS338" s="35">
        <f t="shared" si="204"/>
        <v>0</v>
      </c>
      <c r="BT338" s="43">
        <f t="shared" si="205"/>
        <v>0</v>
      </c>
    </row>
    <row r="339" spans="1:72">
      <c r="A339" s="9"/>
      <c r="B339" s="34"/>
      <c r="C339" s="34"/>
      <c r="D339" s="1805"/>
      <c r="E339" s="35">
        <f t="shared" si="206"/>
        <v>0</v>
      </c>
      <c r="F339" s="36"/>
      <c r="G339" s="37">
        <f t="shared" si="181"/>
        <v>0</v>
      </c>
      <c r="H339" s="38">
        <f t="shared" si="182"/>
        <v>0</v>
      </c>
      <c r="I339" s="39"/>
      <c r="J339" s="39"/>
      <c r="K339" s="39"/>
      <c r="L339" s="39"/>
      <c r="M339" s="39"/>
      <c r="N339" s="39"/>
      <c r="O339" s="39"/>
      <c r="P339" s="39"/>
      <c r="Q339" s="39"/>
      <c r="R339" s="39"/>
      <c r="S339" s="39"/>
      <c r="T339" s="39"/>
      <c r="U339" s="39"/>
      <c r="V339" s="39"/>
      <c r="W339" s="39"/>
      <c r="X339" s="39"/>
      <c r="Y339" s="39"/>
      <c r="Z339" s="39"/>
      <c r="AA339" s="39"/>
      <c r="AB339" s="39"/>
      <c r="AC339" s="35">
        <f t="shared" si="183"/>
        <v>0</v>
      </c>
      <c r="AD339" s="40"/>
      <c r="AE339" s="40"/>
      <c r="AF339" s="40"/>
      <c r="AG339" s="40"/>
      <c r="AH339" s="40"/>
      <c r="AI339" s="40"/>
      <c r="AJ339" s="40"/>
      <c r="AK339" s="40"/>
      <c r="AL339" s="40"/>
      <c r="AM339" s="40"/>
      <c r="AN339" s="40"/>
      <c r="AO339" s="40"/>
      <c r="AP339" s="40"/>
      <c r="AQ339" s="40"/>
      <c r="AR339" s="40"/>
      <c r="AS339" s="40"/>
      <c r="AT339" s="41"/>
      <c r="AU339" s="1806"/>
      <c r="AV339" s="1517">
        <f t="shared" si="207"/>
        <v>0</v>
      </c>
      <c r="AW339" s="1517">
        <f t="shared" si="208"/>
        <v>0</v>
      </c>
      <c r="AX339" s="1517">
        <f t="shared" si="209"/>
        <v>0</v>
      </c>
      <c r="AY339" s="42">
        <f t="shared" si="184"/>
        <v>0</v>
      </c>
      <c r="AZ339" s="35">
        <f t="shared" si="185"/>
        <v>0</v>
      </c>
      <c r="BA339" s="35">
        <f t="shared" si="186"/>
        <v>0</v>
      </c>
      <c r="BB339" s="35">
        <f t="shared" si="187"/>
        <v>0</v>
      </c>
      <c r="BC339" s="35">
        <f t="shared" si="188"/>
        <v>0</v>
      </c>
      <c r="BD339" s="35">
        <f t="shared" si="189"/>
        <v>0</v>
      </c>
      <c r="BE339" s="35">
        <f t="shared" si="190"/>
        <v>0</v>
      </c>
      <c r="BF339" s="35">
        <f t="shared" si="191"/>
        <v>0</v>
      </c>
      <c r="BG339" s="35">
        <f t="shared" si="192"/>
        <v>0</v>
      </c>
      <c r="BH339" s="35">
        <f t="shared" si="193"/>
        <v>0</v>
      </c>
      <c r="BI339" s="35">
        <f t="shared" si="194"/>
        <v>0</v>
      </c>
      <c r="BJ339" s="35">
        <f t="shared" si="195"/>
        <v>0</v>
      </c>
      <c r="BK339" s="35">
        <f t="shared" si="196"/>
        <v>0</v>
      </c>
      <c r="BL339" s="35">
        <f t="shared" si="197"/>
        <v>0</v>
      </c>
      <c r="BM339" s="35">
        <f t="shared" si="198"/>
        <v>0</v>
      </c>
      <c r="BN339" s="35">
        <f t="shared" si="199"/>
        <v>0</v>
      </c>
      <c r="BO339" s="35">
        <f t="shared" si="200"/>
        <v>0</v>
      </c>
      <c r="BP339" s="35">
        <f t="shared" si="201"/>
        <v>0</v>
      </c>
      <c r="BQ339" s="35">
        <f t="shared" si="202"/>
        <v>0</v>
      </c>
      <c r="BR339" s="35">
        <f t="shared" si="203"/>
        <v>0</v>
      </c>
      <c r="BS339" s="35">
        <f t="shared" si="204"/>
        <v>0</v>
      </c>
      <c r="BT339" s="43">
        <f t="shared" si="205"/>
        <v>0</v>
      </c>
    </row>
    <row r="340" spans="1:72">
      <c r="A340" s="9"/>
      <c r="B340" s="34"/>
      <c r="C340" s="34"/>
      <c r="D340" s="1805"/>
      <c r="E340" s="35">
        <f t="shared" si="206"/>
        <v>0</v>
      </c>
      <c r="F340" s="36"/>
      <c r="G340" s="37">
        <f t="shared" si="181"/>
        <v>0</v>
      </c>
      <c r="H340" s="38">
        <f t="shared" si="182"/>
        <v>0</v>
      </c>
      <c r="I340" s="39"/>
      <c r="J340" s="39"/>
      <c r="K340" s="39"/>
      <c r="L340" s="39"/>
      <c r="M340" s="39"/>
      <c r="N340" s="39"/>
      <c r="O340" s="39"/>
      <c r="P340" s="39"/>
      <c r="Q340" s="39"/>
      <c r="R340" s="39"/>
      <c r="S340" s="39"/>
      <c r="T340" s="39"/>
      <c r="U340" s="39"/>
      <c r="V340" s="39"/>
      <c r="W340" s="39"/>
      <c r="X340" s="39"/>
      <c r="Y340" s="39"/>
      <c r="Z340" s="39"/>
      <c r="AA340" s="39"/>
      <c r="AB340" s="39"/>
      <c r="AC340" s="35">
        <f t="shared" si="183"/>
        <v>0</v>
      </c>
      <c r="AD340" s="40"/>
      <c r="AE340" s="40"/>
      <c r="AF340" s="40"/>
      <c r="AG340" s="40"/>
      <c r="AH340" s="40"/>
      <c r="AI340" s="40"/>
      <c r="AJ340" s="40"/>
      <c r="AK340" s="40"/>
      <c r="AL340" s="40"/>
      <c r="AM340" s="40"/>
      <c r="AN340" s="40"/>
      <c r="AO340" s="40"/>
      <c r="AP340" s="40"/>
      <c r="AQ340" s="40"/>
      <c r="AR340" s="40"/>
      <c r="AS340" s="40"/>
      <c r="AT340" s="41"/>
      <c r="AU340" s="1806"/>
      <c r="AV340" s="1517">
        <f t="shared" si="207"/>
        <v>0</v>
      </c>
      <c r="AW340" s="1517">
        <f t="shared" si="208"/>
        <v>0</v>
      </c>
      <c r="AX340" s="1517">
        <f t="shared" si="209"/>
        <v>0</v>
      </c>
      <c r="AY340" s="42">
        <f t="shared" si="184"/>
        <v>0</v>
      </c>
      <c r="AZ340" s="35">
        <f t="shared" si="185"/>
        <v>0</v>
      </c>
      <c r="BA340" s="35">
        <f t="shared" si="186"/>
        <v>0</v>
      </c>
      <c r="BB340" s="35">
        <f t="shared" si="187"/>
        <v>0</v>
      </c>
      <c r="BC340" s="35">
        <f t="shared" si="188"/>
        <v>0</v>
      </c>
      <c r="BD340" s="35">
        <f t="shared" si="189"/>
        <v>0</v>
      </c>
      <c r="BE340" s="35">
        <f t="shared" si="190"/>
        <v>0</v>
      </c>
      <c r="BF340" s="35">
        <f t="shared" si="191"/>
        <v>0</v>
      </c>
      <c r="BG340" s="35">
        <f t="shared" si="192"/>
        <v>0</v>
      </c>
      <c r="BH340" s="35">
        <f t="shared" si="193"/>
        <v>0</v>
      </c>
      <c r="BI340" s="35">
        <f t="shared" si="194"/>
        <v>0</v>
      </c>
      <c r="BJ340" s="35">
        <f t="shared" si="195"/>
        <v>0</v>
      </c>
      <c r="BK340" s="35">
        <f t="shared" si="196"/>
        <v>0</v>
      </c>
      <c r="BL340" s="35">
        <f t="shared" si="197"/>
        <v>0</v>
      </c>
      <c r="BM340" s="35">
        <f t="shared" si="198"/>
        <v>0</v>
      </c>
      <c r="BN340" s="35">
        <f t="shared" si="199"/>
        <v>0</v>
      </c>
      <c r="BO340" s="35">
        <f t="shared" si="200"/>
        <v>0</v>
      </c>
      <c r="BP340" s="35">
        <f t="shared" si="201"/>
        <v>0</v>
      </c>
      <c r="BQ340" s="35">
        <f t="shared" si="202"/>
        <v>0</v>
      </c>
      <c r="BR340" s="35">
        <f t="shared" si="203"/>
        <v>0</v>
      </c>
      <c r="BS340" s="35">
        <f t="shared" si="204"/>
        <v>0</v>
      </c>
      <c r="BT340" s="43">
        <f t="shared" si="205"/>
        <v>0</v>
      </c>
    </row>
    <row r="341" spans="1:72">
      <c r="A341" s="9"/>
      <c r="B341" s="34"/>
      <c r="C341" s="34"/>
      <c r="D341" s="1805"/>
      <c r="E341" s="35">
        <f t="shared" si="206"/>
        <v>0</v>
      </c>
      <c r="F341" s="36"/>
      <c r="G341" s="37">
        <f t="shared" si="181"/>
        <v>0</v>
      </c>
      <c r="H341" s="38">
        <f t="shared" si="182"/>
        <v>0</v>
      </c>
      <c r="I341" s="39"/>
      <c r="J341" s="39"/>
      <c r="K341" s="39"/>
      <c r="L341" s="39"/>
      <c r="M341" s="39"/>
      <c r="N341" s="39"/>
      <c r="O341" s="39"/>
      <c r="P341" s="39"/>
      <c r="Q341" s="39"/>
      <c r="R341" s="39"/>
      <c r="S341" s="39"/>
      <c r="T341" s="39"/>
      <c r="U341" s="39"/>
      <c r="V341" s="39"/>
      <c r="W341" s="39"/>
      <c r="X341" s="39"/>
      <c r="Y341" s="39"/>
      <c r="Z341" s="39"/>
      <c r="AA341" s="39"/>
      <c r="AB341" s="39"/>
      <c r="AC341" s="35">
        <f t="shared" si="183"/>
        <v>0</v>
      </c>
      <c r="AD341" s="40"/>
      <c r="AE341" s="40"/>
      <c r="AF341" s="40"/>
      <c r="AG341" s="40"/>
      <c r="AH341" s="40"/>
      <c r="AI341" s="40"/>
      <c r="AJ341" s="40"/>
      <c r="AK341" s="40"/>
      <c r="AL341" s="40"/>
      <c r="AM341" s="40"/>
      <c r="AN341" s="40"/>
      <c r="AO341" s="40"/>
      <c r="AP341" s="40"/>
      <c r="AQ341" s="40"/>
      <c r="AR341" s="40"/>
      <c r="AS341" s="40"/>
      <c r="AT341" s="41"/>
      <c r="AU341" s="1806"/>
      <c r="AV341" s="1517">
        <f t="shared" si="207"/>
        <v>0</v>
      </c>
      <c r="AW341" s="1517">
        <f t="shared" si="208"/>
        <v>0</v>
      </c>
      <c r="AX341" s="1517">
        <f t="shared" si="209"/>
        <v>0</v>
      </c>
      <c r="AY341" s="42">
        <f t="shared" si="184"/>
        <v>0</v>
      </c>
      <c r="AZ341" s="35">
        <f t="shared" si="185"/>
        <v>0</v>
      </c>
      <c r="BA341" s="35">
        <f t="shared" si="186"/>
        <v>0</v>
      </c>
      <c r="BB341" s="35">
        <f t="shared" si="187"/>
        <v>0</v>
      </c>
      <c r="BC341" s="35">
        <f t="shared" si="188"/>
        <v>0</v>
      </c>
      <c r="BD341" s="35">
        <f t="shared" si="189"/>
        <v>0</v>
      </c>
      <c r="BE341" s="35">
        <f t="shared" si="190"/>
        <v>0</v>
      </c>
      <c r="BF341" s="35">
        <f t="shared" si="191"/>
        <v>0</v>
      </c>
      <c r="BG341" s="35">
        <f t="shared" si="192"/>
        <v>0</v>
      </c>
      <c r="BH341" s="35">
        <f t="shared" si="193"/>
        <v>0</v>
      </c>
      <c r="BI341" s="35">
        <f t="shared" si="194"/>
        <v>0</v>
      </c>
      <c r="BJ341" s="35">
        <f t="shared" si="195"/>
        <v>0</v>
      </c>
      <c r="BK341" s="35">
        <f t="shared" si="196"/>
        <v>0</v>
      </c>
      <c r="BL341" s="35">
        <f t="shared" si="197"/>
        <v>0</v>
      </c>
      <c r="BM341" s="35">
        <f t="shared" si="198"/>
        <v>0</v>
      </c>
      <c r="BN341" s="35">
        <f t="shared" si="199"/>
        <v>0</v>
      </c>
      <c r="BO341" s="35">
        <f t="shared" si="200"/>
        <v>0</v>
      </c>
      <c r="BP341" s="35">
        <f t="shared" si="201"/>
        <v>0</v>
      </c>
      <c r="BQ341" s="35">
        <f t="shared" si="202"/>
        <v>0</v>
      </c>
      <c r="BR341" s="35">
        <f t="shared" si="203"/>
        <v>0</v>
      </c>
      <c r="BS341" s="35">
        <f t="shared" si="204"/>
        <v>0</v>
      </c>
      <c r="BT341" s="43">
        <f t="shared" si="205"/>
        <v>0</v>
      </c>
    </row>
    <row r="342" spans="1:72">
      <c r="A342" s="9"/>
      <c r="B342" s="34"/>
      <c r="C342" s="34"/>
      <c r="D342" s="1805"/>
      <c r="E342" s="35">
        <f t="shared" si="206"/>
        <v>0</v>
      </c>
      <c r="F342" s="36"/>
      <c r="G342" s="37">
        <f t="shared" si="181"/>
        <v>0</v>
      </c>
      <c r="H342" s="38">
        <f t="shared" si="182"/>
        <v>0</v>
      </c>
      <c r="I342" s="39"/>
      <c r="J342" s="39"/>
      <c r="K342" s="39"/>
      <c r="L342" s="39"/>
      <c r="M342" s="39"/>
      <c r="N342" s="39"/>
      <c r="O342" s="39"/>
      <c r="P342" s="39"/>
      <c r="Q342" s="39"/>
      <c r="R342" s="39"/>
      <c r="S342" s="39"/>
      <c r="T342" s="39"/>
      <c r="U342" s="39"/>
      <c r="V342" s="39"/>
      <c r="W342" s="39"/>
      <c r="X342" s="39"/>
      <c r="Y342" s="39"/>
      <c r="Z342" s="39"/>
      <c r="AA342" s="39"/>
      <c r="AB342" s="39"/>
      <c r="AC342" s="35">
        <f t="shared" si="183"/>
        <v>0</v>
      </c>
      <c r="AD342" s="40"/>
      <c r="AE342" s="40"/>
      <c r="AF342" s="40"/>
      <c r="AG342" s="40"/>
      <c r="AH342" s="40"/>
      <c r="AI342" s="40"/>
      <c r="AJ342" s="40"/>
      <c r="AK342" s="40"/>
      <c r="AL342" s="40"/>
      <c r="AM342" s="40"/>
      <c r="AN342" s="40"/>
      <c r="AO342" s="40"/>
      <c r="AP342" s="40"/>
      <c r="AQ342" s="40"/>
      <c r="AR342" s="40"/>
      <c r="AS342" s="40"/>
      <c r="AT342" s="41"/>
      <c r="AU342" s="1806"/>
      <c r="AV342" s="1517">
        <f t="shared" si="207"/>
        <v>0</v>
      </c>
      <c r="AW342" s="1517">
        <f t="shared" si="208"/>
        <v>0</v>
      </c>
      <c r="AX342" s="1517">
        <f t="shared" si="209"/>
        <v>0</v>
      </c>
      <c r="AY342" s="42">
        <f t="shared" si="184"/>
        <v>0</v>
      </c>
      <c r="AZ342" s="35">
        <f t="shared" si="185"/>
        <v>0</v>
      </c>
      <c r="BA342" s="35">
        <f t="shared" si="186"/>
        <v>0</v>
      </c>
      <c r="BB342" s="35">
        <f t="shared" si="187"/>
        <v>0</v>
      </c>
      <c r="BC342" s="35">
        <f t="shared" si="188"/>
        <v>0</v>
      </c>
      <c r="BD342" s="35">
        <f t="shared" si="189"/>
        <v>0</v>
      </c>
      <c r="BE342" s="35">
        <f t="shared" si="190"/>
        <v>0</v>
      </c>
      <c r="BF342" s="35">
        <f t="shared" si="191"/>
        <v>0</v>
      </c>
      <c r="BG342" s="35">
        <f t="shared" si="192"/>
        <v>0</v>
      </c>
      <c r="BH342" s="35">
        <f t="shared" si="193"/>
        <v>0</v>
      </c>
      <c r="BI342" s="35">
        <f t="shared" si="194"/>
        <v>0</v>
      </c>
      <c r="BJ342" s="35">
        <f t="shared" si="195"/>
        <v>0</v>
      </c>
      <c r="BK342" s="35">
        <f t="shared" si="196"/>
        <v>0</v>
      </c>
      <c r="BL342" s="35">
        <f t="shared" si="197"/>
        <v>0</v>
      </c>
      <c r="BM342" s="35">
        <f t="shared" si="198"/>
        <v>0</v>
      </c>
      <c r="BN342" s="35">
        <f t="shared" si="199"/>
        <v>0</v>
      </c>
      <c r="BO342" s="35">
        <f t="shared" si="200"/>
        <v>0</v>
      </c>
      <c r="BP342" s="35">
        <f t="shared" si="201"/>
        <v>0</v>
      </c>
      <c r="BQ342" s="35">
        <f t="shared" si="202"/>
        <v>0</v>
      </c>
      <c r="BR342" s="35">
        <f t="shared" si="203"/>
        <v>0</v>
      </c>
      <c r="BS342" s="35">
        <f t="shared" si="204"/>
        <v>0</v>
      </c>
      <c r="BT342" s="43">
        <f t="shared" si="205"/>
        <v>0</v>
      </c>
    </row>
    <row r="343" spans="1:72">
      <c r="A343" s="9"/>
      <c r="B343" s="34"/>
      <c r="C343" s="34"/>
      <c r="D343" s="1805"/>
      <c r="E343" s="35">
        <f t="shared" si="206"/>
        <v>0</v>
      </c>
      <c r="F343" s="36"/>
      <c r="G343" s="37">
        <f t="shared" si="181"/>
        <v>0</v>
      </c>
      <c r="H343" s="38">
        <f t="shared" si="182"/>
        <v>0</v>
      </c>
      <c r="I343" s="39"/>
      <c r="J343" s="39"/>
      <c r="K343" s="39"/>
      <c r="L343" s="39"/>
      <c r="M343" s="39"/>
      <c r="N343" s="39"/>
      <c r="O343" s="39"/>
      <c r="P343" s="39"/>
      <c r="Q343" s="39"/>
      <c r="R343" s="39"/>
      <c r="S343" s="39"/>
      <c r="T343" s="39"/>
      <c r="U343" s="39"/>
      <c r="V343" s="39"/>
      <c r="W343" s="39"/>
      <c r="X343" s="39"/>
      <c r="Y343" s="39"/>
      <c r="Z343" s="39"/>
      <c r="AA343" s="39"/>
      <c r="AB343" s="39"/>
      <c r="AC343" s="35">
        <f t="shared" si="183"/>
        <v>0</v>
      </c>
      <c r="AD343" s="40"/>
      <c r="AE343" s="40"/>
      <c r="AF343" s="40"/>
      <c r="AG343" s="40"/>
      <c r="AH343" s="40"/>
      <c r="AI343" s="40"/>
      <c r="AJ343" s="40"/>
      <c r="AK343" s="40"/>
      <c r="AL343" s="40"/>
      <c r="AM343" s="40"/>
      <c r="AN343" s="40"/>
      <c r="AO343" s="40"/>
      <c r="AP343" s="40"/>
      <c r="AQ343" s="40"/>
      <c r="AR343" s="40"/>
      <c r="AS343" s="40"/>
      <c r="AT343" s="41"/>
      <c r="AU343" s="1806"/>
      <c r="AV343" s="1517">
        <f t="shared" si="207"/>
        <v>0</v>
      </c>
      <c r="AW343" s="1517">
        <f t="shared" si="208"/>
        <v>0</v>
      </c>
      <c r="AX343" s="1517">
        <f t="shared" si="209"/>
        <v>0</v>
      </c>
      <c r="AY343" s="42">
        <f t="shared" si="184"/>
        <v>0</v>
      </c>
      <c r="AZ343" s="35">
        <f t="shared" si="185"/>
        <v>0</v>
      </c>
      <c r="BA343" s="35">
        <f t="shared" si="186"/>
        <v>0</v>
      </c>
      <c r="BB343" s="35">
        <f t="shared" si="187"/>
        <v>0</v>
      </c>
      <c r="BC343" s="35">
        <f t="shared" si="188"/>
        <v>0</v>
      </c>
      <c r="BD343" s="35">
        <f t="shared" si="189"/>
        <v>0</v>
      </c>
      <c r="BE343" s="35">
        <f t="shared" si="190"/>
        <v>0</v>
      </c>
      <c r="BF343" s="35">
        <f t="shared" si="191"/>
        <v>0</v>
      </c>
      <c r="BG343" s="35">
        <f t="shared" si="192"/>
        <v>0</v>
      </c>
      <c r="BH343" s="35">
        <f t="shared" si="193"/>
        <v>0</v>
      </c>
      <c r="BI343" s="35">
        <f t="shared" si="194"/>
        <v>0</v>
      </c>
      <c r="BJ343" s="35">
        <f t="shared" si="195"/>
        <v>0</v>
      </c>
      <c r="BK343" s="35">
        <f t="shared" si="196"/>
        <v>0</v>
      </c>
      <c r="BL343" s="35">
        <f t="shared" si="197"/>
        <v>0</v>
      </c>
      <c r="BM343" s="35">
        <f t="shared" si="198"/>
        <v>0</v>
      </c>
      <c r="BN343" s="35">
        <f t="shared" si="199"/>
        <v>0</v>
      </c>
      <c r="BO343" s="35">
        <f t="shared" si="200"/>
        <v>0</v>
      </c>
      <c r="BP343" s="35">
        <f t="shared" si="201"/>
        <v>0</v>
      </c>
      <c r="BQ343" s="35">
        <f t="shared" si="202"/>
        <v>0</v>
      </c>
      <c r="BR343" s="35">
        <f t="shared" si="203"/>
        <v>0</v>
      </c>
      <c r="BS343" s="35">
        <f t="shared" si="204"/>
        <v>0</v>
      </c>
      <c r="BT343" s="43">
        <f t="shared" si="205"/>
        <v>0</v>
      </c>
    </row>
    <row r="344" spans="1:72">
      <c r="A344" s="9"/>
      <c r="B344" s="34"/>
      <c r="C344" s="34"/>
      <c r="D344" s="1805"/>
      <c r="E344" s="35">
        <f t="shared" si="206"/>
        <v>0</v>
      </c>
      <c r="F344" s="36"/>
      <c r="G344" s="37">
        <f t="shared" si="181"/>
        <v>0</v>
      </c>
      <c r="H344" s="38">
        <f t="shared" si="182"/>
        <v>0</v>
      </c>
      <c r="I344" s="39"/>
      <c r="J344" s="39"/>
      <c r="K344" s="39"/>
      <c r="L344" s="39"/>
      <c r="M344" s="39"/>
      <c r="N344" s="39"/>
      <c r="O344" s="39"/>
      <c r="P344" s="39"/>
      <c r="Q344" s="39"/>
      <c r="R344" s="39"/>
      <c r="S344" s="39"/>
      <c r="T344" s="39"/>
      <c r="U344" s="39"/>
      <c r="V344" s="39"/>
      <c r="W344" s="39"/>
      <c r="X344" s="39"/>
      <c r="Y344" s="39"/>
      <c r="Z344" s="39"/>
      <c r="AA344" s="39"/>
      <c r="AB344" s="39"/>
      <c r="AC344" s="35">
        <f t="shared" si="183"/>
        <v>0</v>
      </c>
      <c r="AD344" s="40"/>
      <c r="AE344" s="40"/>
      <c r="AF344" s="40"/>
      <c r="AG344" s="40"/>
      <c r="AH344" s="40"/>
      <c r="AI344" s="40"/>
      <c r="AJ344" s="40"/>
      <c r="AK344" s="40"/>
      <c r="AL344" s="40"/>
      <c r="AM344" s="40"/>
      <c r="AN344" s="40"/>
      <c r="AO344" s="40"/>
      <c r="AP344" s="40"/>
      <c r="AQ344" s="40"/>
      <c r="AR344" s="40"/>
      <c r="AS344" s="40"/>
      <c r="AT344" s="41"/>
      <c r="AU344" s="1806"/>
      <c r="AV344" s="1517">
        <f t="shared" si="207"/>
        <v>0</v>
      </c>
      <c r="AW344" s="1517">
        <f t="shared" si="208"/>
        <v>0</v>
      </c>
      <c r="AX344" s="1517">
        <f t="shared" si="209"/>
        <v>0</v>
      </c>
      <c r="AY344" s="42">
        <f t="shared" si="184"/>
        <v>0</v>
      </c>
      <c r="AZ344" s="35">
        <f t="shared" si="185"/>
        <v>0</v>
      </c>
      <c r="BA344" s="35">
        <f t="shared" si="186"/>
        <v>0</v>
      </c>
      <c r="BB344" s="35">
        <f t="shared" si="187"/>
        <v>0</v>
      </c>
      <c r="BC344" s="35">
        <f t="shared" si="188"/>
        <v>0</v>
      </c>
      <c r="BD344" s="35">
        <f t="shared" si="189"/>
        <v>0</v>
      </c>
      <c r="BE344" s="35">
        <f t="shared" si="190"/>
        <v>0</v>
      </c>
      <c r="BF344" s="35">
        <f t="shared" si="191"/>
        <v>0</v>
      </c>
      <c r="BG344" s="35">
        <f t="shared" si="192"/>
        <v>0</v>
      </c>
      <c r="BH344" s="35">
        <f t="shared" si="193"/>
        <v>0</v>
      </c>
      <c r="BI344" s="35">
        <f t="shared" si="194"/>
        <v>0</v>
      </c>
      <c r="BJ344" s="35">
        <f t="shared" si="195"/>
        <v>0</v>
      </c>
      <c r="BK344" s="35">
        <f t="shared" si="196"/>
        <v>0</v>
      </c>
      <c r="BL344" s="35">
        <f t="shared" si="197"/>
        <v>0</v>
      </c>
      <c r="BM344" s="35">
        <f t="shared" si="198"/>
        <v>0</v>
      </c>
      <c r="BN344" s="35">
        <f t="shared" si="199"/>
        <v>0</v>
      </c>
      <c r="BO344" s="35">
        <f t="shared" si="200"/>
        <v>0</v>
      </c>
      <c r="BP344" s="35">
        <f t="shared" si="201"/>
        <v>0</v>
      </c>
      <c r="BQ344" s="35">
        <f t="shared" si="202"/>
        <v>0</v>
      </c>
      <c r="BR344" s="35">
        <f t="shared" si="203"/>
        <v>0</v>
      </c>
      <c r="BS344" s="35">
        <f t="shared" si="204"/>
        <v>0</v>
      </c>
      <c r="BT344" s="43">
        <f t="shared" si="205"/>
        <v>0</v>
      </c>
    </row>
    <row r="345" spans="1:72">
      <c r="A345" s="9"/>
      <c r="B345" s="34"/>
      <c r="C345" s="34"/>
      <c r="D345" s="1805"/>
      <c r="E345" s="35">
        <f t="shared" si="206"/>
        <v>0</v>
      </c>
      <c r="F345" s="36"/>
      <c r="G345" s="37">
        <f t="shared" si="181"/>
        <v>0</v>
      </c>
      <c r="H345" s="38">
        <f t="shared" si="182"/>
        <v>0</v>
      </c>
      <c r="I345" s="39"/>
      <c r="J345" s="39"/>
      <c r="K345" s="39"/>
      <c r="L345" s="39"/>
      <c r="M345" s="39"/>
      <c r="N345" s="39"/>
      <c r="O345" s="39"/>
      <c r="P345" s="39"/>
      <c r="Q345" s="39"/>
      <c r="R345" s="39"/>
      <c r="S345" s="39"/>
      <c r="T345" s="39"/>
      <c r="U345" s="39"/>
      <c r="V345" s="39"/>
      <c r="W345" s="39"/>
      <c r="X345" s="39"/>
      <c r="Y345" s="39"/>
      <c r="Z345" s="39"/>
      <c r="AA345" s="39"/>
      <c r="AB345" s="39"/>
      <c r="AC345" s="35">
        <f t="shared" si="183"/>
        <v>0</v>
      </c>
      <c r="AD345" s="40"/>
      <c r="AE345" s="40"/>
      <c r="AF345" s="40"/>
      <c r="AG345" s="40"/>
      <c r="AH345" s="40"/>
      <c r="AI345" s="40"/>
      <c r="AJ345" s="40"/>
      <c r="AK345" s="40"/>
      <c r="AL345" s="40"/>
      <c r="AM345" s="40"/>
      <c r="AN345" s="40"/>
      <c r="AO345" s="40"/>
      <c r="AP345" s="40"/>
      <c r="AQ345" s="40"/>
      <c r="AR345" s="40"/>
      <c r="AS345" s="40"/>
      <c r="AT345" s="41"/>
      <c r="AU345" s="1806"/>
      <c r="AV345" s="1517">
        <f t="shared" si="207"/>
        <v>0</v>
      </c>
      <c r="AW345" s="1517">
        <f t="shared" si="208"/>
        <v>0</v>
      </c>
      <c r="AX345" s="1517">
        <f t="shared" si="209"/>
        <v>0</v>
      </c>
      <c r="AY345" s="42">
        <f t="shared" si="184"/>
        <v>0</v>
      </c>
      <c r="AZ345" s="35">
        <f t="shared" si="185"/>
        <v>0</v>
      </c>
      <c r="BA345" s="35">
        <f t="shared" si="186"/>
        <v>0</v>
      </c>
      <c r="BB345" s="35">
        <f t="shared" si="187"/>
        <v>0</v>
      </c>
      <c r="BC345" s="35">
        <f t="shared" si="188"/>
        <v>0</v>
      </c>
      <c r="BD345" s="35">
        <f t="shared" si="189"/>
        <v>0</v>
      </c>
      <c r="BE345" s="35">
        <f t="shared" si="190"/>
        <v>0</v>
      </c>
      <c r="BF345" s="35">
        <f t="shared" si="191"/>
        <v>0</v>
      </c>
      <c r="BG345" s="35">
        <f t="shared" si="192"/>
        <v>0</v>
      </c>
      <c r="BH345" s="35">
        <f t="shared" si="193"/>
        <v>0</v>
      </c>
      <c r="BI345" s="35">
        <f t="shared" si="194"/>
        <v>0</v>
      </c>
      <c r="BJ345" s="35">
        <f t="shared" si="195"/>
        <v>0</v>
      </c>
      <c r="BK345" s="35">
        <f t="shared" si="196"/>
        <v>0</v>
      </c>
      <c r="BL345" s="35">
        <f t="shared" si="197"/>
        <v>0</v>
      </c>
      <c r="BM345" s="35">
        <f t="shared" si="198"/>
        <v>0</v>
      </c>
      <c r="BN345" s="35">
        <f t="shared" si="199"/>
        <v>0</v>
      </c>
      <c r="BO345" s="35">
        <f t="shared" si="200"/>
        <v>0</v>
      </c>
      <c r="BP345" s="35">
        <f t="shared" si="201"/>
        <v>0</v>
      </c>
      <c r="BQ345" s="35">
        <f t="shared" si="202"/>
        <v>0</v>
      </c>
      <c r="BR345" s="35">
        <f t="shared" si="203"/>
        <v>0</v>
      </c>
      <c r="BS345" s="35">
        <f t="shared" si="204"/>
        <v>0</v>
      </c>
      <c r="BT345" s="43">
        <f t="shared" si="205"/>
        <v>0</v>
      </c>
    </row>
    <row r="346" spans="1:72">
      <c r="A346" s="9"/>
      <c r="B346" s="34"/>
      <c r="C346" s="34"/>
      <c r="D346" s="1805"/>
      <c r="E346" s="35">
        <f t="shared" si="206"/>
        <v>0</v>
      </c>
      <c r="F346" s="36"/>
      <c r="G346" s="37">
        <f t="shared" si="181"/>
        <v>0</v>
      </c>
      <c r="H346" s="38">
        <f t="shared" si="182"/>
        <v>0</v>
      </c>
      <c r="I346" s="39"/>
      <c r="J346" s="39"/>
      <c r="K346" s="39"/>
      <c r="L346" s="39"/>
      <c r="M346" s="39"/>
      <c r="N346" s="39"/>
      <c r="O346" s="39"/>
      <c r="P346" s="39"/>
      <c r="Q346" s="39"/>
      <c r="R346" s="39"/>
      <c r="S346" s="39"/>
      <c r="T346" s="39"/>
      <c r="U346" s="39"/>
      <c r="V346" s="39"/>
      <c r="W346" s="39"/>
      <c r="X346" s="39"/>
      <c r="Y346" s="39"/>
      <c r="Z346" s="39"/>
      <c r="AA346" s="39"/>
      <c r="AB346" s="39"/>
      <c r="AC346" s="35">
        <f t="shared" si="183"/>
        <v>0</v>
      </c>
      <c r="AD346" s="40"/>
      <c r="AE346" s="40"/>
      <c r="AF346" s="40"/>
      <c r="AG346" s="40"/>
      <c r="AH346" s="40"/>
      <c r="AI346" s="40"/>
      <c r="AJ346" s="40"/>
      <c r="AK346" s="40"/>
      <c r="AL346" s="40"/>
      <c r="AM346" s="40"/>
      <c r="AN346" s="40"/>
      <c r="AO346" s="40"/>
      <c r="AP346" s="40"/>
      <c r="AQ346" s="40"/>
      <c r="AR346" s="40"/>
      <c r="AS346" s="40"/>
      <c r="AT346" s="41"/>
      <c r="AU346" s="1806"/>
      <c r="AV346" s="1517">
        <f t="shared" si="207"/>
        <v>0</v>
      </c>
      <c r="AW346" s="1517">
        <f t="shared" si="208"/>
        <v>0</v>
      </c>
      <c r="AX346" s="1517">
        <f t="shared" si="209"/>
        <v>0</v>
      </c>
      <c r="AY346" s="42">
        <f t="shared" si="184"/>
        <v>0</v>
      </c>
      <c r="AZ346" s="35">
        <f t="shared" si="185"/>
        <v>0</v>
      </c>
      <c r="BA346" s="35">
        <f t="shared" si="186"/>
        <v>0</v>
      </c>
      <c r="BB346" s="35">
        <f t="shared" si="187"/>
        <v>0</v>
      </c>
      <c r="BC346" s="35">
        <f t="shared" si="188"/>
        <v>0</v>
      </c>
      <c r="BD346" s="35">
        <f t="shared" si="189"/>
        <v>0</v>
      </c>
      <c r="BE346" s="35">
        <f t="shared" si="190"/>
        <v>0</v>
      </c>
      <c r="BF346" s="35">
        <f t="shared" si="191"/>
        <v>0</v>
      </c>
      <c r="BG346" s="35">
        <f t="shared" si="192"/>
        <v>0</v>
      </c>
      <c r="BH346" s="35">
        <f t="shared" si="193"/>
        <v>0</v>
      </c>
      <c r="BI346" s="35">
        <f t="shared" si="194"/>
        <v>0</v>
      </c>
      <c r="BJ346" s="35">
        <f t="shared" si="195"/>
        <v>0</v>
      </c>
      <c r="BK346" s="35">
        <f t="shared" si="196"/>
        <v>0</v>
      </c>
      <c r="BL346" s="35">
        <f t="shared" si="197"/>
        <v>0</v>
      </c>
      <c r="BM346" s="35">
        <f t="shared" si="198"/>
        <v>0</v>
      </c>
      <c r="BN346" s="35">
        <f t="shared" si="199"/>
        <v>0</v>
      </c>
      <c r="BO346" s="35">
        <f t="shared" si="200"/>
        <v>0</v>
      </c>
      <c r="BP346" s="35">
        <f t="shared" si="201"/>
        <v>0</v>
      </c>
      <c r="BQ346" s="35">
        <f t="shared" si="202"/>
        <v>0</v>
      </c>
      <c r="BR346" s="35">
        <f t="shared" si="203"/>
        <v>0</v>
      </c>
      <c r="BS346" s="35">
        <f t="shared" si="204"/>
        <v>0</v>
      </c>
      <c r="BT346" s="43">
        <f t="shared" si="205"/>
        <v>0</v>
      </c>
    </row>
    <row r="347" spans="1:72">
      <c r="A347" s="9"/>
      <c r="B347" s="34"/>
      <c r="C347" s="34"/>
      <c r="D347" s="1805"/>
      <c r="E347" s="35">
        <f t="shared" si="206"/>
        <v>0</v>
      </c>
      <c r="F347" s="36"/>
      <c r="G347" s="37">
        <f t="shared" si="181"/>
        <v>0</v>
      </c>
      <c r="H347" s="38">
        <f t="shared" si="182"/>
        <v>0</v>
      </c>
      <c r="I347" s="39"/>
      <c r="J347" s="39"/>
      <c r="K347" s="39"/>
      <c r="L347" s="39"/>
      <c r="M347" s="39"/>
      <c r="N347" s="39"/>
      <c r="O347" s="39"/>
      <c r="P347" s="39"/>
      <c r="Q347" s="39"/>
      <c r="R347" s="39"/>
      <c r="S347" s="39"/>
      <c r="T347" s="39"/>
      <c r="U347" s="39"/>
      <c r="V347" s="39"/>
      <c r="W347" s="39"/>
      <c r="X347" s="39"/>
      <c r="Y347" s="39"/>
      <c r="Z347" s="39"/>
      <c r="AA347" s="39"/>
      <c r="AB347" s="39"/>
      <c r="AC347" s="35">
        <f t="shared" si="183"/>
        <v>0</v>
      </c>
      <c r="AD347" s="40"/>
      <c r="AE347" s="40"/>
      <c r="AF347" s="40"/>
      <c r="AG347" s="40"/>
      <c r="AH347" s="40"/>
      <c r="AI347" s="40"/>
      <c r="AJ347" s="40"/>
      <c r="AK347" s="40"/>
      <c r="AL347" s="40"/>
      <c r="AM347" s="40"/>
      <c r="AN347" s="40"/>
      <c r="AO347" s="40"/>
      <c r="AP347" s="40"/>
      <c r="AQ347" s="40"/>
      <c r="AR347" s="40"/>
      <c r="AS347" s="40"/>
      <c r="AT347" s="41"/>
      <c r="AU347" s="1806"/>
      <c r="AV347" s="1517">
        <f t="shared" si="207"/>
        <v>0</v>
      </c>
      <c r="AW347" s="1517">
        <f t="shared" si="208"/>
        <v>0</v>
      </c>
      <c r="AX347" s="1517">
        <f t="shared" si="209"/>
        <v>0</v>
      </c>
      <c r="AY347" s="42">
        <f t="shared" si="184"/>
        <v>0</v>
      </c>
      <c r="AZ347" s="35">
        <f t="shared" si="185"/>
        <v>0</v>
      </c>
      <c r="BA347" s="35">
        <f t="shared" si="186"/>
        <v>0</v>
      </c>
      <c r="BB347" s="35">
        <f t="shared" si="187"/>
        <v>0</v>
      </c>
      <c r="BC347" s="35">
        <f t="shared" si="188"/>
        <v>0</v>
      </c>
      <c r="BD347" s="35">
        <f t="shared" si="189"/>
        <v>0</v>
      </c>
      <c r="BE347" s="35">
        <f t="shared" si="190"/>
        <v>0</v>
      </c>
      <c r="BF347" s="35">
        <f t="shared" si="191"/>
        <v>0</v>
      </c>
      <c r="BG347" s="35">
        <f t="shared" si="192"/>
        <v>0</v>
      </c>
      <c r="BH347" s="35">
        <f t="shared" si="193"/>
        <v>0</v>
      </c>
      <c r="BI347" s="35">
        <f t="shared" si="194"/>
        <v>0</v>
      </c>
      <c r="BJ347" s="35">
        <f t="shared" si="195"/>
        <v>0</v>
      </c>
      <c r="BK347" s="35">
        <f t="shared" si="196"/>
        <v>0</v>
      </c>
      <c r="BL347" s="35">
        <f t="shared" si="197"/>
        <v>0</v>
      </c>
      <c r="BM347" s="35">
        <f t="shared" si="198"/>
        <v>0</v>
      </c>
      <c r="BN347" s="35">
        <f t="shared" si="199"/>
        <v>0</v>
      </c>
      <c r="BO347" s="35">
        <f t="shared" si="200"/>
        <v>0</v>
      </c>
      <c r="BP347" s="35">
        <f t="shared" si="201"/>
        <v>0</v>
      </c>
      <c r="BQ347" s="35">
        <f t="shared" si="202"/>
        <v>0</v>
      </c>
      <c r="BR347" s="35">
        <f t="shared" si="203"/>
        <v>0</v>
      </c>
      <c r="BS347" s="35">
        <f t="shared" si="204"/>
        <v>0</v>
      </c>
      <c r="BT347" s="43">
        <f t="shared" si="205"/>
        <v>0</v>
      </c>
    </row>
    <row r="348" spans="1:72">
      <c r="A348" s="9"/>
      <c r="B348" s="34"/>
      <c r="C348" s="34"/>
      <c r="D348" s="1805"/>
      <c r="E348" s="35">
        <f t="shared" si="206"/>
        <v>0</v>
      </c>
      <c r="F348" s="36"/>
      <c r="G348" s="37">
        <f t="shared" si="181"/>
        <v>0</v>
      </c>
      <c r="H348" s="38">
        <f t="shared" si="182"/>
        <v>0</v>
      </c>
      <c r="I348" s="39"/>
      <c r="J348" s="39"/>
      <c r="K348" s="39"/>
      <c r="L348" s="39"/>
      <c r="M348" s="39"/>
      <c r="N348" s="39"/>
      <c r="O348" s="39"/>
      <c r="P348" s="39"/>
      <c r="Q348" s="39"/>
      <c r="R348" s="39"/>
      <c r="S348" s="39"/>
      <c r="T348" s="39"/>
      <c r="U348" s="39"/>
      <c r="V348" s="39"/>
      <c r="W348" s="39"/>
      <c r="X348" s="39"/>
      <c r="Y348" s="39"/>
      <c r="Z348" s="39"/>
      <c r="AA348" s="39"/>
      <c r="AB348" s="39"/>
      <c r="AC348" s="35">
        <f t="shared" si="183"/>
        <v>0</v>
      </c>
      <c r="AD348" s="40"/>
      <c r="AE348" s="40"/>
      <c r="AF348" s="40"/>
      <c r="AG348" s="40"/>
      <c r="AH348" s="40"/>
      <c r="AI348" s="40"/>
      <c r="AJ348" s="40"/>
      <c r="AK348" s="40"/>
      <c r="AL348" s="40"/>
      <c r="AM348" s="40"/>
      <c r="AN348" s="40"/>
      <c r="AO348" s="40"/>
      <c r="AP348" s="40"/>
      <c r="AQ348" s="40"/>
      <c r="AR348" s="40"/>
      <c r="AS348" s="40"/>
      <c r="AT348" s="41"/>
      <c r="AU348" s="1806"/>
      <c r="AV348" s="1517">
        <f t="shared" si="207"/>
        <v>0</v>
      </c>
      <c r="AW348" s="1517">
        <f t="shared" si="208"/>
        <v>0</v>
      </c>
      <c r="AX348" s="1517">
        <f t="shared" si="209"/>
        <v>0</v>
      </c>
      <c r="AY348" s="42">
        <f t="shared" si="184"/>
        <v>0</v>
      </c>
      <c r="AZ348" s="35">
        <f t="shared" si="185"/>
        <v>0</v>
      </c>
      <c r="BA348" s="35">
        <f t="shared" si="186"/>
        <v>0</v>
      </c>
      <c r="BB348" s="35">
        <f t="shared" si="187"/>
        <v>0</v>
      </c>
      <c r="BC348" s="35">
        <f t="shared" si="188"/>
        <v>0</v>
      </c>
      <c r="BD348" s="35">
        <f t="shared" si="189"/>
        <v>0</v>
      </c>
      <c r="BE348" s="35">
        <f t="shared" si="190"/>
        <v>0</v>
      </c>
      <c r="BF348" s="35">
        <f t="shared" si="191"/>
        <v>0</v>
      </c>
      <c r="BG348" s="35">
        <f t="shared" si="192"/>
        <v>0</v>
      </c>
      <c r="BH348" s="35">
        <f t="shared" si="193"/>
        <v>0</v>
      </c>
      <c r="BI348" s="35">
        <f t="shared" si="194"/>
        <v>0</v>
      </c>
      <c r="BJ348" s="35">
        <f t="shared" si="195"/>
        <v>0</v>
      </c>
      <c r="BK348" s="35">
        <f t="shared" si="196"/>
        <v>0</v>
      </c>
      <c r="BL348" s="35">
        <f t="shared" si="197"/>
        <v>0</v>
      </c>
      <c r="BM348" s="35">
        <f t="shared" si="198"/>
        <v>0</v>
      </c>
      <c r="BN348" s="35">
        <f t="shared" si="199"/>
        <v>0</v>
      </c>
      <c r="BO348" s="35">
        <f t="shared" si="200"/>
        <v>0</v>
      </c>
      <c r="BP348" s="35">
        <f t="shared" si="201"/>
        <v>0</v>
      </c>
      <c r="BQ348" s="35">
        <f t="shared" si="202"/>
        <v>0</v>
      </c>
      <c r="BR348" s="35">
        <f t="shared" si="203"/>
        <v>0</v>
      </c>
      <c r="BS348" s="35">
        <f t="shared" si="204"/>
        <v>0</v>
      </c>
      <c r="BT348" s="43">
        <f t="shared" si="205"/>
        <v>0</v>
      </c>
    </row>
    <row r="349" spans="1:72">
      <c r="A349" s="9"/>
      <c r="B349" s="34"/>
      <c r="C349" s="34"/>
      <c r="D349" s="1805"/>
      <c r="E349" s="35">
        <f t="shared" si="206"/>
        <v>0</v>
      </c>
      <c r="F349" s="36"/>
      <c r="G349" s="37">
        <f t="shared" si="181"/>
        <v>0</v>
      </c>
      <c r="H349" s="38">
        <f t="shared" si="182"/>
        <v>0</v>
      </c>
      <c r="I349" s="39"/>
      <c r="J349" s="39"/>
      <c r="K349" s="39"/>
      <c r="L349" s="39"/>
      <c r="M349" s="39"/>
      <c r="N349" s="39"/>
      <c r="O349" s="39"/>
      <c r="P349" s="39"/>
      <c r="Q349" s="39"/>
      <c r="R349" s="39"/>
      <c r="S349" s="39"/>
      <c r="T349" s="39"/>
      <c r="U349" s="39"/>
      <c r="V349" s="39"/>
      <c r="W349" s="39"/>
      <c r="X349" s="39"/>
      <c r="Y349" s="39"/>
      <c r="Z349" s="39"/>
      <c r="AA349" s="39"/>
      <c r="AB349" s="39"/>
      <c r="AC349" s="35">
        <f t="shared" si="183"/>
        <v>0</v>
      </c>
      <c r="AD349" s="40"/>
      <c r="AE349" s="40"/>
      <c r="AF349" s="40"/>
      <c r="AG349" s="40"/>
      <c r="AH349" s="40"/>
      <c r="AI349" s="40"/>
      <c r="AJ349" s="40"/>
      <c r="AK349" s="40"/>
      <c r="AL349" s="40"/>
      <c r="AM349" s="40"/>
      <c r="AN349" s="40"/>
      <c r="AO349" s="40"/>
      <c r="AP349" s="40"/>
      <c r="AQ349" s="40"/>
      <c r="AR349" s="40"/>
      <c r="AS349" s="40"/>
      <c r="AT349" s="41"/>
      <c r="AU349" s="1806"/>
      <c r="AV349" s="1517">
        <f t="shared" si="207"/>
        <v>0</v>
      </c>
      <c r="AW349" s="1517">
        <f t="shared" si="208"/>
        <v>0</v>
      </c>
      <c r="AX349" s="1517">
        <f t="shared" si="209"/>
        <v>0</v>
      </c>
      <c r="AY349" s="42">
        <f t="shared" si="184"/>
        <v>0</v>
      </c>
      <c r="AZ349" s="35">
        <f t="shared" si="185"/>
        <v>0</v>
      </c>
      <c r="BA349" s="35">
        <f t="shared" si="186"/>
        <v>0</v>
      </c>
      <c r="BB349" s="35">
        <f t="shared" si="187"/>
        <v>0</v>
      </c>
      <c r="BC349" s="35">
        <f t="shared" si="188"/>
        <v>0</v>
      </c>
      <c r="BD349" s="35">
        <f t="shared" si="189"/>
        <v>0</v>
      </c>
      <c r="BE349" s="35">
        <f t="shared" si="190"/>
        <v>0</v>
      </c>
      <c r="BF349" s="35">
        <f t="shared" si="191"/>
        <v>0</v>
      </c>
      <c r="BG349" s="35">
        <f t="shared" si="192"/>
        <v>0</v>
      </c>
      <c r="BH349" s="35">
        <f t="shared" si="193"/>
        <v>0</v>
      </c>
      <c r="BI349" s="35">
        <f t="shared" si="194"/>
        <v>0</v>
      </c>
      <c r="BJ349" s="35">
        <f t="shared" si="195"/>
        <v>0</v>
      </c>
      <c r="BK349" s="35">
        <f t="shared" si="196"/>
        <v>0</v>
      </c>
      <c r="BL349" s="35">
        <f t="shared" si="197"/>
        <v>0</v>
      </c>
      <c r="BM349" s="35">
        <f t="shared" si="198"/>
        <v>0</v>
      </c>
      <c r="BN349" s="35">
        <f t="shared" si="199"/>
        <v>0</v>
      </c>
      <c r="BO349" s="35">
        <f t="shared" si="200"/>
        <v>0</v>
      </c>
      <c r="BP349" s="35">
        <f t="shared" si="201"/>
        <v>0</v>
      </c>
      <c r="BQ349" s="35">
        <f t="shared" si="202"/>
        <v>0</v>
      </c>
      <c r="BR349" s="35">
        <f t="shared" si="203"/>
        <v>0</v>
      </c>
      <c r="BS349" s="35">
        <f t="shared" si="204"/>
        <v>0</v>
      </c>
      <c r="BT349" s="43">
        <f t="shared" si="205"/>
        <v>0</v>
      </c>
    </row>
    <row r="350" spans="1:72">
      <c r="A350" s="9"/>
      <c r="B350" s="34"/>
      <c r="C350" s="34"/>
      <c r="D350" s="1805"/>
      <c r="E350" s="35">
        <f t="shared" si="206"/>
        <v>0</v>
      </c>
      <c r="F350" s="36"/>
      <c r="G350" s="37">
        <f t="shared" si="181"/>
        <v>0</v>
      </c>
      <c r="H350" s="38">
        <f t="shared" si="182"/>
        <v>0</v>
      </c>
      <c r="I350" s="39"/>
      <c r="J350" s="39"/>
      <c r="K350" s="39"/>
      <c r="L350" s="39"/>
      <c r="M350" s="39"/>
      <c r="N350" s="39"/>
      <c r="O350" s="39"/>
      <c r="P350" s="39"/>
      <c r="Q350" s="39"/>
      <c r="R350" s="39"/>
      <c r="S350" s="39"/>
      <c r="T350" s="39"/>
      <c r="U350" s="39"/>
      <c r="V350" s="39"/>
      <c r="W350" s="39"/>
      <c r="X350" s="39"/>
      <c r="Y350" s="39"/>
      <c r="Z350" s="39"/>
      <c r="AA350" s="39"/>
      <c r="AB350" s="39"/>
      <c r="AC350" s="35">
        <f t="shared" si="183"/>
        <v>0</v>
      </c>
      <c r="AD350" s="40"/>
      <c r="AE350" s="40"/>
      <c r="AF350" s="40"/>
      <c r="AG350" s="40"/>
      <c r="AH350" s="40"/>
      <c r="AI350" s="40"/>
      <c r="AJ350" s="40"/>
      <c r="AK350" s="40"/>
      <c r="AL350" s="40"/>
      <c r="AM350" s="40"/>
      <c r="AN350" s="40"/>
      <c r="AO350" s="40"/>
      <c r="AP350" s="40"/>
      <c r="AQ350" s="40"/>
      <c r="AR350" s="40"/>
      <c r="AS350" s="40"/>
      <c r="AT350" s="41"/>
      <c r="AU350" s="1806"/>
      <c r="AV350" s="1517">
        <f t="shared" si="207"/>
        <v>0</v>
      </c>
      <c r="AW350" s="1517">
        <f t="shared" si="208"/>
        <v>0</v>
      </c>
      <c r="AX350" s="1517">
        <f t="shared" si="209"/>
        <v>0</v>
      </c>
      <c r="AY350" s="42">
        <f t="shared" si="184"/>
        <v>0</v>
      </c>
      <c r="AZ350" s="35">
        <f t="shared" si="185"/>
        <v>0</v>
      </c>
      <c r="BA350" s="35">
        <f t="shared" si="186"/>
        <v>0</v>
      </c>
      <c r="BB350" s="35">
        <f t="shared" si="187"/>
        <v>0</v>
      </c>
      <c r="BC350" s="35">
        <f t="shared" si="188"/>
        <v>0</v>
      </c>
      <c r="BD350" s="35">
        <f t="shared" si="189"/>
        <v>0</v>
      </c>
      <c r="BE350" s="35">
        <f t="shared" si="190"/>
        <v>0</v>
      </c>
      <c r="BF350" s="35">
        <f t="shared" si="191"/>
        <v>0</v>
      </c>
      <c r="BG350" s="35">
        <f t="shared" si="192"/>
        <v>0</v>
      </c>
      <c r="BH350" s="35">
        <f t="shared" si="193"/>
        <v>0</v>
      </c>
      <c r="BI350" s="35">
        <f t="shared" si="194"/>
        <v>0</v>
      </c>
      <c r="BJ350" s="35">
        <f t="shared" si="195"/>
        <v>0</v>
      </c>
      <c r="BK350" s="35">
        <f t="shared" si="196"/>
        <v>0</v>
      </c>
      <c r="BL350" s="35">
        <f t="shared" si="197"/>
        <v>0</v>
      </c>
      <c r="BM350" s="35">
        <f t="shared" si="198"/>
        <v>0</v>
      </c>
      <c r="BN350" s="35">
        <f t="shared" si="199"/>
        <v>0</v>
      </c>
      <c r="BO350" s="35">
        <f t="shared" si="200"/>
        <v>0</v>
      </c>
      <c r="BP350" s="35">
        <f t="shared" si="201"/>
        <v>0</v>
      </c>
      <c r="BQ350" s="35">
        <f t="shared" si="202"/>
        <v>0</v>
      </c>
      <c r="BR350" s="35">
        <f t="shared" si="203"/>
        <v>0</v>
      </c>
      <c r="BS350" s="35">
        <f t="shared" si="204"/>
        <v>0</v>
      </c>
      <c r="BT350" s="43">
        <f t="shared" si="205"/>
        <v>0</v>
      </c>
    </row>
    <row r="351" spans="1:72">
      <c r="A351" s="9"/>
      <c r="B351" s="34"/>
      <c r="C351" s="34"/>
      <c r="D351" s="1805"/>
      <c r="E351" s="35">
        <f t="shared" si="206"/>
        <v>0</v>
      </c>
      <c r="F351" s="36"/>
      <c r="G351" s="37">
        <f t="shared" si="181"/>
        <v>0</v>
      </c>
      <c r="H351" s="38">
        <f t="shared" si="182"/>
        <v>0</v>
      </c>
      <c r="I351" s="39"/>
      <c r="J351" s="39"/>
      <c r="K351" s="39"/>
      <c r="L351" s="39"/>
      <c r="M351" s="39"/>
      <c r="N351" s="39"/>
      <c r="O351" s="39"/>
      <c r="P351" s="39"/>
      <c r="Q351" s="39"/>
      <c r="R351" s="39"/>
      <c r="S351" s="39"/>
      <c r="T351" s="39"/>
      <c r="U351" s="39"/>
      <c r="V351" s="39"/>
      <c r="W351" s="39"/>
      <c r="X351" s="39"/>
      <c r="Y351" s="39"/>
      <c r="Z351" s="39"/>
      <c r="AA351" s="39"/>
      <c r="AB351" s="39"/>
      <c r="AC351" s="35">
        <f t="shared" si="183"/>
        <v>0</v>
      </c>
      <c r="AD351" s="40"/>
      <c r="AE351" s="40"/>
      <c r="AF351" s="40"/>
      <c r="AG351" s="40"/>
      <c r="AH351" s="40"/>
      <c r="AI351" s="40"/>
      <c r="AJ351" s="40"/>
      <c r="AK351" s="40"/>
      <c r="AL351" s="40"/>
      <c r="AM351" s="40"/>
      <c r="AN351" s="40"/>
      <c r="AO351" s="40"/>
      <c r="AP351" s="40"/>
      <c r="AQ351" s="40"/>
      <c r="AR351" s="40"/>
      <c r="AS351" s="40"/>
      <c r="AT351" s="41"/>
      <c r="AU351" s="1806"/>
      <c r="AV351" s="1517">
        <f t="shared" si="207"/>
        <v>0</v>
      </c>
      <c r="AW351" s="1517">
        <f t="shared" si="208"/>
        <v>0</v>
      </c>
      <c r="AX351" s="1517">
        <f t="shared" si="209"/>
        <v>0</v>
      </c>
      <c r="AY351" s="42">
        <f t="shared" si="184"/>
        <v>0</v>
      </c>
      <c r="AZ351" s="35">
        <f t="shared" si="185"/>
        <v>0</v>
      </c>
      <c r="BA351" s="35">
        <f t="shared" si="186"/>
        <v>0</v>
      </c>
      <c r="BB351" s="35">
        <f t="shared" si="187"/>
        <v>0</v>
      </c>
      <c r="BC351" s="35">
        <f t="shared" si="188"/>
        <v>0</v>
      </c>
      <c r="BD351" s="35">
        <f t="shared" si="189"/>
        <v>0</v>
      </c>
      <c r="BE351" s="35">
        <f t="shared" si="190"/>
        <v>0</v>
      </c>
      <c r="BF351" s="35">
        <f t="shared" si="191"/>
        <v>0</v>
      </c>
      <c r="BG351" s="35">
        <f t="shared" si="192"/>
        <v>0</v>
      </c>
      <c r="BH351" s="35">
        <f t="shared" si="193"/>
        <v>0</v>
      </c>
      <c r="BI351" s="35">
        <f t="shared" si="194"/>
        <v>0</v>
      </c>
      <c r="BJ351" s="35">
        <f t="shared" si="195"/>
        <v>0</v>
      </c>
      <c r="BK351" s="35">
        <f t="shared" si="196"/>
        <v>0</v>
      </c>
      <c r="BL351" s="35">
        <f t="shared" si="197"/>
        <v>0</v>
      </c>
      <c r="BM351" s="35">
        <f t="shared" si="198"/>
        <v>0</v>
      </c>
      <c r="BN351" s="35">
        <f t="shared" si="199"/>
        <v>0</v>
      </c>
      <c r="BO351" s="35">
        <f t="shared" si="200"/>
        <v>0</v>
      </c>
      <c r="BP351" s="35">
        <f t="shared" si="201"/>
        <v>0</v>
      </c>
      <c r="BQ351" s="35">
        <f t="shared" si="202"/>
        <v>0</v>
      </c>
      <c r="BR351" s="35">
        <f t="shared" si="203"/>
        <v>0</v>
      </c>
      <c r="BS351" s="35">
        <f t="shared" si="204"/>
        <v>0</v>
      </c>
      <c r="BT351" s="43">
        <f t="shared" si="205"/>
        <v>0</v>
      </c>
    </row>
    <row r="352" spans="1:72">
      <c r="A352" s="9"/>
      <c r="B352" s="34"/>
      <c r="C352" s="34"/>
      <c r="D352" s="1805"/>
      <c r="E352" s="35">
        <f t="shared" si="206"/>
        <v>0</v>
      </c>
      <c r="F352" s="36"/>
      <c r="G352" s="37">
        <f t="shared" si="181"/>
        <v>0</v>
      </c>
      <c r="H352" s="38">
        <f t="shared" si="182"/>
        <v>0</v>
      </c>
      <c r="I352" s="39"/>
      <c r="J352" s="39"/>
      <c r="K352" s="39"/>
      <c r="L352" s="39"/>
      <c r="M352" s="39"/>
      <c r="N352" s="39"/>
      <c r="O352" s="39"/>
      <c r="P352" s="39"/>
      <c r="Q352" s="39"/>
      <c r="R352" s="39"/>
      <c r="S352" s="39"/>
      <c r="T352" s="39"/>
      <c r="U352" s="39"/>
      <c r="V352" s="39"/>
      <c r="W352" s="39"/>
      <c r="X352" s="39"/>
      <c r="Y352" s="39"/>
      <c r="Z352" s="39"/>
      <c r="AA352" s="39"/>
      <c r="AB352" s="39"/>
      <c r="AC352" s="35">
        <f t="shared" si="183"/>
        <v>0</v>
      </c>
      <c r="AD352" s="40"/>
      <c r="AE352" s="40"/>
      <c r="AF352" s="40"/>
      <c r="AG352" s="40"/>
      <c r="AH352" s="40"/>
      <c r="AI352" s="40"/>
      <c r="AJ352" s="40"/>
      <c r="AK352" s="40"/>
      <c r="AL352" s="40"/>
      <c r="AM352" s="40"/>
      <c r="AN352" s="40"/>
      <c r="AO352" s="40"/>
      <c r="AP352" s="40"/>
      <c r="AQ352" s="40"/>
      <c r="AR352" s="40"/>
      <c r="AS352" s="40"/>
      <c r="AT352" s="41"/>
      <c r="AU352" s="1806"/>
      <c r="AV352" s="1517">
        <f t="shared" si="207"/>
        <v>0</v>
      </c>
      <c r="AW352" s="1517">
        <f t="shared" si="208"/>
        <v>0</v>
      </c>
      <c r="AX352" s="1517">
        <f t="shared" si="209"/>
        <v>0</v>
      </c>
      <c r="AY352" s="42">
        <f t="shared" si="184"/>
        <v>0</v>
      </c>
      <c r="AZ352" s="35">
        <f t="shared" si="185"/>
        <v>0</v>
      </c>
      <c r="BA352" s="35">
        <f t="shared" si="186"/>
        <v>0</v>
      </c>
      <c r="BB352" s="35">
        <f t="shared" si="187"/>
        <v>0</v>
      </c>
      <c r="BC352" s="35">
        <f t="shared" si="188"/>
        <v>0</v>
      </c>
      <c r="BD352" s="35">
        <f t="shared" si="189"/>
        <v>0</v>
      </c>
      <c r="BE352" s="35">
        <f t="shared" si="190"/>
        <v>0</v>
      </c>
      <c r="BF352" s="35">
        <f t="shared" si="191"/>
        <v>0</v>
      </c>
      <c r="BG352" s="35">
        <f t="shared" si="192"/>
        <v>0</v>
      </c>
      <c r="BH352" s="35">
        <f t="shared" si="193"/>
        <v>0</v>
      </c>
      <c r="BI352" s="35">
        <f t="shared" si="194"/>
        <v>0</v>
      </c>
      <c r="BJ352" s="35">
        <f t="shared" si="195"/>
        <v>0</v>
      </c>
      <c r="BK352" s="35">
        <f t="shared" si="196"/>
        <v>0</v>
      </c>
      <c r="BL352" s="35">
        <f t="shared" si="197"/>
        <v>0</v>
      </c>
      <c r="BM352" s="35">
        <f t="shared" si="198"/>
        <v>0</v>
      </c>
      <c r="BN352" s="35">
        <f t="shared" si="199"/>
        <v>0</v>
      </c>
      <c r="BO352" s="35">
        <f t="shared" si="200"/>
        <v>0</v>
      </c>
      <c r="BP352" s="35">
        <f t="shared" si="201"/>
        <v>0</v>
      </c>
      <c r="BQ352" s="35">
        <f t="shared" si="202"/>
        <v>0</v>
      </c>
      <c r="BR352" s="35">
        <f t="shared" si="203"/>
        <v>0</v>
      </c>
      <c r="BS352" s="35">
        <f t="shared" si="204"/>
        <v>0</v>
      </c>
      <c r="BT352" s="43">
        <f t="shared" si="205"/>
        <v>0</v>
      </c>
    </row>
    <row r="353" spans="1:72">
      <c r="A353" s="9"/>
      <c r="B353" s="34"/>
      <c r="C353" s="34"/>
      <c r="D353" s="1805"/>
      <c r="E353" s="35">
        <f t="shared" si="206"/>
        <v>0</v>
      </c>
      <c r="F353" s="36"/>
      <c r="G353" s="37">
        <f t="shared" si="181"/>
        <v>0</v>
      </c>
      <c r="H353" s="38">
        <f t="shared" si="182"/>
        <v>0</v>
      </c>
      <c r="I353" s="39"/>
      <c r="J353" s="39"/>
      <c r="K353" s="39"/>
      <c r="L353" s="39"/>
      <c r="M353" s="39"/>
      <c r="N353" s="39"/>
      <c r="O353" s="39"/>
      <c r="P353" s="39"/>
      <c r="Q353" s="39"/>
      <c r="R353" s="39"/>
      <c r="S353" s="39"/>
      <c r="T353" s="39"/>
      <c r="U353" s="39"/>
      <c r="V353" s="39"/>
      <c r="W353" s="39"/>
      <c r="X353" s="39"/>
      <c r="Y353" s="39"/>
      <c r="Z353" s="39"/>
      <c r="AA353" s="39"/>
      <c r="AB353" s="39"/>
      <c r="AC353" s="35">
        <f t="shared" si="183"/>
        <v>0</v>
      </c>
      <c r="AD353" s="40"/>
      <c r="AE353" s="40"/>
      <c r="AF353" s="40"/>
      <c r="AG353" s="40"/>
      <c r="AH353" s="40"/>
      <c r="AI353" s="40"/>
      <c r="AJ353" s="40"/>
      <c r="AK353" s="40"/>
      <c r="AL353" s="40"/>
      <c r="AM353" s="40"/>
      <c r="AN353" s="40"/>
      <c r="AO353" s="40"/>
      <c r="AP353" s="40"/>
      <c r="AQ353" s="40"/>
      <c r="AR353" s="40"/>
      <c r="AS353" s="40"/>
      <c r="AT353" s="41"/>
      <c r="AU353" s="1806"/>
      <c r="AV353" s="1517">
        <f t="shared" si="207"/>
        <v>0</v>
      </c>
      <c r="AW353" s="1517">
        <f t="shared" si="208"/>
        <v>0</v>
      </c>
      <c r="AX353" s="1517">
        <f t="shared" si="209"/>
        <v>0</v>
      </c>
      <c r="AY353" s="42">
        <f t="shared" si="184"/>
        <v>0</v>
      </c>
      <c r="AZ353" s="35">
        <f t="shared" si="185"/>
        <v>0</v>
      </c>
      <c r="BA353" s="35">
        <f t="shared" si="186"/>
        <v>0</v>
      </c>
      <c r="BB353" s="35">
        <f t="shared" si="187"/>
        <v>0</v>
      </c>
      <c r="BC353" s="35">
        <f t="shared" si="188"/>
        <v>0</v>
      </c>
      <c r="BD353" s="35">
        <f t="shared" si="189"/>
        <v>0</v>
      </c>
      <c r="BE353" s="35">
        <f t="shared" si="190"/>
        <v>0</v>
      </c>
      <c r="BF353" s="35">
        <f t="shared" si="191"/>
        <v>0</v>
      </c>
      <c r="BG353" s="35">
        <f t="shared" si="192"/>
        <v>0</v>
      </c>
      <c r="BH353" s="35">
        <f t="shared" si="193"/>
        <v>0</v>
      </c>
      <c r="BI353" s="35">
        <f t="shared" si="194"/>
        <v>0</v>
      </c>
      <c r="BJ353" s="35">
        <f t="shared" si="195"/>
        <v>0</v>
      </c>
      <c r="BK353" s="35">
        <f t="shared" si="196"/>
        <v>0</v>
      </c>
      <c r="BL353" s="35">
        <f t="shared" si="197"/>
        <v>0</v>
      </c>
      <c r="BM353" s="35">
        <f t="shared" si="198"/>
        <v>0</v>
      </c>
      <c r="BN353" s="35">
        <f t="shared" si="199"/>
        <v>0</v>
      </c>
      <c r="BO353" s="35">
        <f t="shared" si="200"/>
        <v>0</v>
      </c>
      <c r="BP353" s="35">
        <f t="shared" si="201"/>
        <v>0</v>
      </c>
      <c r="BQ353" s="35">
        <f t="shared" si="202"/>
        <v>0</v>
      </c>
      <c r="BR353" s="35">
        <f t="shared" si="203"/>
        <v>0</v>
      </c>
      <c r="BS353" s="35">
        <f t="shared" si="204"/>
        <v>0</v>
      </c>
      <c r="BT353" s="43">
        <f t="shared" si="205"/>
        <v>0</v>
      </c>
    </row>
    <row r="354" spans="1:72">
      <c r="A354" s="9"/>
      <c r="B354" s="34"/>
      <c r="C354" s="34"/>
      <c r="D354" s="1805"/>
      <c r="E354" s="35">
        <f t="shared" si="206"/>
        <v>0</v>
      </c>
      <c r="F354" s="36"/>
      <c r="G354" s="37">
        <f t="shared" si="181"/>
        <v>0</v>
      </c>
      <c r="H354" s="38">
        <f t="shared" si="182"/>
        <v>0</v>
      </c>
      <c r="I354" s="39"/>
      <c r="J354" s="39"/>
      <c r="K354" s="39"/>
      <c r="L354" s="39"/>
      <c r="M354" s="39"/>
      <c r="N354" s="39"/>
      <c r="O354" s="39"/>
      <c r="P354" s="39"/>
      <c r="Q354" s="39"/>
      <c r="R354" s="39"/>
      <c r="S354" s="39"/>
      <c r="T354" s="39"/>
      <c r="U354" s="39"/>
      <c r="V354" s="39"/>
      <c r="W354" s="39"/>
      <c r="X354" s="39"/>
      <c r="Y354" s="39"/>
      <c r="Z354" s="39"/>
      <c r="AA354" s="39"/>
      <c r="AB354" s="39"/>
      <c r="AC354" s="35">
        <f t="shared" si="183"/>
        <v>0</v>
      </c>
      <c r="AD354" s="40"/>
      <c r="AE354" s="40"/>
      <c r="AF354" s="40"/>
      <c r="AG354" s="40"/>
      <c r="AH354" s="40"/>
      <c r="AI354" s="40"/>
      <c r="AJ354" s="40"/>
      <c r="AK354" s="40"/>
      <c r="AL354" s="40"/>
      <c r="AM354" s="40"/>
      <c r="AN354" s="40"/>
      <c r="AO354" s="40"/>
      <c r="AP354" s="40"/>
      <c r="AQ354" s="40"/>
      <c r="AR354" s="40"/>
      <c r="AS354" s="40"/>
      <c r="AT354" s="41"/>
      <c r="AU354" s="1806"/>
      <c r="AV354" s="1517">
        <f t="shared" si="207"/>
        <v>0</v>
      </c>
      <c r="AW354" s="1517">
        <f t="shared" si="208"/>
        <v>0</v>
      </c>
      <c r="AX354" s="1517">
        <f t="shared" si="209"/>
        <v>0</v>
      </c>
      <c r="AY354" s="42">
        <f t="shared" si="184"/>
        <v>0</v>
      </c>
      <c r="AZ354" s="35">
        <f t="shared" si="185"/>
        <v>0</v>
      </c>
      <c r="BA354" s="35">
        <f t="shared" si="186"/>
        <v>0</v>
      </c>
      <c r="BB354" s="35">
        <f t="shared" si="187"/>
        <v>0</v>
      </c>
      <c r="BC354" s="35">
        <f t="shared" si="188"/>
        <v>0</v>
      </c>
      <c r="BD354" s="35">
        <f t="shared" si="189"/>
        <v>0</v>
      </c>
      <c r="BE354" s="35">
        <f t="shared" si="190"/>
        <v>0</v>
      </c>
      <c r="BF354" s="35">
        <f t="shared" si="191"/>
        <v>0</v>
      </c>
      <c r="BG354" s="35">
        <f t="shared" si="192"/>
        <v>0</v>
      </c>
      <c r="BH354" s="35">
        <f t="shared" si="193"/>
        <v>0</v>
      </c>
      <c r="BI354" s="35">
        <f t="shared" si="194"/>
        <v>0</v>
      </c>
      <c r="BJ354" s="35">
        <f t="shared" si="195"/>
        <v>0</v>
      </c>
      <c r="BK354" s="35">
        <f t="shared" si="196"/>
        <v>0</v>
      </c>
      <c r="BL354" s="35">
        <f t="shared" si="197"/>
        <v>0</v>
      </c>
      <c r="BM354" s="35">
        <f t="shared" si="198"/>
        <v>0</v>
      </c>
      <c r="BN354" s="35">
        <f t="shared" si="199"/>
        <v>0</v>
      </c>
      <c r="BO354" s="35">
        <f t="shared" si="200"/>
        <v>0</v>
      </c>
      <c r="BP354" s="35">
        <f t="shared" si="201"/>
        <v>0</v>
      </c>
      <c r="BQ354" s="35">
        <f t="shared" si="202"/>
        <v>0</v>
      </c>
      <c r="BR354" s="35">
        <f t="shared" si="203"/>
        <v>0</v>
      </c>
      <c r="BS354" s="35">
        <f t="shared" si="204"/>
        <v>0</v>
      </c>
      <c r="BT354" s="43">
        <f t="shared" si="205"/>
        <v>0</v>
      </c>
    </row>
    <row r="355" spans="1:72">
      <c r="A355" s="9"/>
      <c r="B355" s="34"/>
      <c r="C355" s="34"/>
      <c r="D355" s="1805"/>
      <c r="E355" s="35">
        <f t="shared" si="206"/>
        <v>0</v>
      </c>
      <c r="F355" s="36"/>
      <c r="G355" s="37">
        <f t="shared" si="181"/>
        <v>0</v>
      </c>
      <c r="H355" s="38">
        <f t="shared" si="182"/>
        <v>0</v>
      </c>
      <c r="I355" s="39"/>
      <c r="J355" s="39"/>
      <c r="K355" s="39"/>
      <c r="L355" s="39"/>
      <c r="M355" s="39"/>
      <c r="N355" s="39"/>
      <c r="O355" s="39"/>
      <c r="P355" s="39"/>
      <c r="Q355" s="39"/>
      <c r="R355" s="39"/>
      <c r="S355" s="39"/>
      <c r="T355" s="39"/>
      <c r="U355" s="39"/>
      <c r="V355" s="39"/>
      <c r="W355" s="39"/>
      <c r="X355" s="39"/>
      <c r="Y355" s="39"/>
      <c r="Z355" s="39"/>
      <c r="AA355" s="39"/>
      <c r="AB355" s="39"/>
      <c r="AC355" s="35">
        <f t="shared" si="183"/>
        <v>0</v>
      </c>
      <c r="AD355" s="40"/>
      <c r="AE355" s="40"/>
      <c r="AF355" s="40"/>
      <c r="AG355" s="40"/>
      <c r="AH355" s="40"/>
      <c r="AI355" s="40"/>
      <c r="AJ355" s="40"/>
      <c r="AK355" s="40"/>
      <c r="AL355" s="40"/>
      <c r="AM355" s="40"/>
      <c r="AN355" s="40"/>
      <c r="AO355" s="40"/>
      <c r="AP355" s="40"/>
      <c r="AQ355" s="40"/>
      <c r="AR355" s="40"/>
      <c r="AS355" s="40"/>
      <c r="AT355" s="41"/>
      <c r="AU355" s="1806"/>
      <c r="AV355" s="1517">
        <f t="shared" si="207"/>
        <v>0</v>
      </c>
      <c r="AW355" s="1517">
        <f t="shared" si="208"/>
        <v>0</v>
      </c>
      <c r="AX355" s="1517">
        <f t="shared" si="209"/>
        <v>0</v>
      </c>
      <c r="AY355" s="42">
        <f t="shared" si="184"/>
        <v>0</v>
      </c>
      <c r="AZ355" s="35">
        <f t="shared" si="185"/>
        <v>0</v>
      </c>
      <c r="BA355" s="35">
        <f t="shared" si="186"/>
        <v>0</v>
      </c>
      <c r="BB355" s="35">
        <f t="shared" si="187"/>
        <v>0</v>
      </c>
      <c r="BC355" s="35">
        <f t="shared" si="188"/>
        <v>0</v>
      </c>
      <c r="BD355" s="35">
        <f t="shared" si="189"/>
        <v>0</v>
      </c>
      <c r="BE355" s="35">
        <f t="shared" si="190"/>
        <v>0</v>
      </c>
      <c r="BF355" s="35">
        <f t="shared" si="191"/>
        <v>0</v>
      </c>
      <c r="BG355" s="35">
        <f t="shared" si="192"/>
        <v>0</v>
      </c>
      <c r="BH355" s="35">
        <f t="shared" si="193"/>
        <v>0</v>
      </c>
      <c r="BI355" s="35">
        <f t="shared" si="194"/>
        <v>0</v>
      </c>
      <c r="BJ355" s="35">
        <f t="shared" si="195"/>
        <v>0</v>
      </c>
      <c r="BK355" s="35">
        <f t="shared" si="196"/>
        <v>0</v>
      </c>
      <c r="BL355" s="35">
        <f t="shared" si="197"/>
        <v>0</v>
      </c>
      <c r="BM355" s="35">
        <f t="shared" si="198"/>
        <v>0</v>
      </c>
      <c r="BN355" s="35">
        <f t="shared" si="199"/>
        <v>0</v>
      </c>
      <c r="BO355" s="35">
        <f t="shared" si="200"/>
        <v>0</v>
      </c>
      <c r="BP355" s="35">
        <f t="shared" si="201"/>
        <v>0</v>
      </c>
      <c r="BQ355" s="35">
        <f t="shared" si="202"/>
        <v>0</v>
      </c>
      <c r="BR355" s="35">
        <f t="shared" si="203"/>
        <v>0</v>
      </c>
      <c r="BS355" s="35">
        <f t="shared" si="204"/>
        <v>0</v>
      </c>
      <c r="BT355" s="43">
        <f t="shared" si="205"/>
        <v>0</v>
      </c>
    </row>
    <row r="356" spans="1:72">
      <c r="A356" s="9"/>
      <c r="B356" s="34"/>
      <c r="C356" s="34"/>
      <c r="D356" s="1805"/>
      <c r="E356" s="35">
        <f t="shared" si="206"/>
        <v>0</v>
      </c>
      <c r="F356" s="36"/>
      <c r="G356" s="37">
        <f t="shared" si="181"/>
        <v>0</v>
      </c>
      <c r="H356" s="38">
        <f t="shared" si="182"/>
        <v>0</v>
      </c>
      <c r="I356" s="39"/>
      <c r="J356" s="39"/>
      <c r="K356" s="39"/>
      <c r="L356" s="39"/>
      <c r="M356" s="39"/>
      <c r="N356" s="39"/>
      <c r="O356" s="39"/>
      <c r="P356" s="39"/>
      <c r="Q356" s="39"/>
      <c r="R356" s="39"/>
      <c r="S356" s="39"/>
      <c r="T356" s="39"/>
      <c r="U356" s="39"/>
      <c r="V356" s="39"/>
      <c r="W356" s="39"/>
      <c r="X356" s="39"/>
      <c r="Y356" s="39"/>
      <c r="Z356" s="39"/>
      <c r="AA356" s="39"/>
      <c r="AB356" s="39"/>
      <c r="AC356" s="35">
        <f t="shared" si="183"/>
        <v>0</v>
      </c>
      <c r="AD356" s="40"/>
      <c r="AE356" s="40"/>
      <c r="AF356" s="40"/>
      <c r="AG356" s="40"/>
      <c r="AH356" s="40"/>
      <c r="AI356" s="40"/>
      <c r="AJ356" s="40"/>
      <c r="AK356" s="40"/>
      <c r="AL356" s="40"/>
      <c r="AM356" s="40"/>
      <c r="AN356" s="40"/>
      <c r="AO356" s="40"/>
      <c r="AP356" s="40"/>
      <c r="AQ356" s="40"/>
      <c r="AR356" s="40"/>
      <c r="AS356" s="40"/>
      <c r="AT356" s="41"/>
      <c r="AU356" s="1806"/>
      <c r="AV356" s="1517">
        <f t="shared" si="207"/>
        <v>0</v>
      </c>
      <c r="AW356" s="1517">
        <f t="shared" si="208"/>
        <v>0</v>
      </c>
      <c r="AX356" s="1517">
        <f t="shared" si="209"/>
        <v>0</v>
      </c>
      <c r="AY356" s="42">
        <f t="shared" si="184"/>
        <v>0</v>
      </c>
      <c r="AZ356" s="35">
        <f t="shared" si="185"/>
        <v>0</v>
      </c>
      <c r="BA356" s="35">
        <f t="shared" si="186"/>
        <v>0</v>
      </c>
      <c r="BB356" s="35">
        <f t="shared" si="187"/>
        <v>0</v>
      </c>
      <c r="BC356" s="35">
        <f t="shared" si="188"/>
        <v>0</v>
      </c>
      <c r="BD356" s="35">
        <f t="shared" si="189"/>
        <v>0</v>
      </c>
      <c r="BE356" s="35">
        <f t="shared" si="190"/>
        <v>0</v>
      </c>
      <c r="BF356" s="35">
        <f t="shared" si="191"/>
        <v>0</v>
      </c>
      <c r="BG356" s="35">
        <f t="shared" si="192"/>
        <v>0</v>
      </c>
      <c r="BH356" s="35">
        <f t="shared" si="193"/>
        <v>0</v>
      </c>
      <c r="BI356" s="35">
        <f t="shared" si="194"/>
        <v>0</v>
      </c>
      <c r="BJ356" s="35">
        <f t="shared" si="195"/>
        <v>0</v>
      </c>
      <c r="BK356" s="35">
        <f t="shared" si="196"/>
        <v>0</v>
      </c>
      <c r="BL356" s="35">
        <f t="shared" si="197"/>
        <v>0</v>
      </c>
      <c r="BM356" s="35">
        <f t="shared" si="198"/>
        <v>0</v>
      </c>
      <c r="BN356" s="35">
        <f t="shared" si="199"/>
        <v>0</v>
      </c>
      <c r="BO356" s="35">
        <f t="shared" si="200"/>
        <v>0</v>
      </c>
      <c r="BP356" s="35">
        <f t="shared" si="201"/>
        <v>0</v>
      </c>
      <c r="BQ356" s="35">
        <f t="shared" si="202"/>
        <v>0</v>
      </c>
      <c r="BR356" s="35">
        <f t="shared" si="203"/>
        <v>0</v>
      </c>
      <c r="BS356" s="35">
        <f t="shared" si="204"/>
        <v>0</v>
      </c>
      <c r="BT356" s="43">
        <f t="shared" si="205"/>
        <v>0</v>
      </c>
    </row>
    <row r="357" spans="1:72">
      <c r="A357" s="9"/>
      <c r="B357" s="34"/>
      <c r="C357" s="34"/>
      <c r="D357" s="1805"/>
      <c r="E357" s="35">
        <f t="shared" si="206"/>
        <v>0</v>
      </c>
      <c r="F357" s="36"/>
      <c r="G357" s="37">
        <f t="shared" si="181"/>
        <v>0</v>
      </c>
      <c r="H357" s="38">
        <f t="shared" si="182"/>
        <v>0</v>
      </c>
      <c r="I357" s="39"/>
      <c r="J357" s="39"/>
      <c r="K357" s="39"/>
      <c r="L357" s="39"/>
      <c r="M357" s="39"/>
      <c r="N357" s="39"/>
      <c r="O357" s="39"/>
      <c r="P357" s="39"/>
      <c r="Q357" s="39"/>
      <c r="R357" s="39"/>
      <c r="S357" s="39"/>
      <c r="T357" s="39"/>
      <c r="U357" s="39"/>
      <c r="V357" s="39"/>
      <c r="W357" s="39"/>
      <c r="X357" s="39"/>
      <c r="Y357" s="39"/>
      <c r="Z357" s="39"/>
      <c r="AA357" s="39"/>
      <c r="AB357" s="39"/>
      <c r="AC357" s="35">
        <f t="shared" si="183"/>
        <v>0</v>
      </c>
      <c r="AD357" s="40"/>
      <c r="AE357" s="40"/>
      <c r="AF357" s="40"/>
      <c r="AG357" s="40"/>
      <c r="AH357" s="40"/>
      <c r="AI357" s="40"/>
      <c r="AJ357" s="40"/>
      <c r="AK357" s="40"/>
      <c r="AL357" s="40"/>
      <c r="AM357" s="40"/>
      <c r="AN357" s="40"/>
      <c r="AO357" s="40"/>
      <c r="AP357" s="40"/>
      <c r="AQ357" s="40"/>
      <c r="AR357" s="40"/>
      <c r="AS357" s="40"/>
      <c r="AT357" s="41"/>
      <c r="AU357" s="1806"/>
      <c r="AV357" s="1517">
        <f t="shared" si="207"/>
        <v>0</v>
      </c>
      <c r="AW357" s="1517">
        <f t="shared" si="208"/>
        <v>0</v>
      </c>
      <c r="AX357" s="1517">
        <f t="shared" si="209"/>
        <v>0</v>
      </c>
      <c r="AY357" s="42">
        <f t="shared" si="184"/>
        <v>0</v>
      </c>
      <c r="AZ357" s="35">
        <f t="shared" si="185"/>
        <v>0</v>
      </c>
      <c r="BA357" s="35">
        <f t="shared" si="186"/>
        <v>0</v>
      </c>
      <c r="BB357" s="35">
        <f t="shared" si="187"/>
        <v>0</v>
      </c>
      <c r="BC357" s="35">
        <f t="shared" si="188"/>
        <v>0</v>
      </c>
      <c r="BD357" s="35">
        <f t="shared" si="189"/>
        <v>0</v>
      </c>
      <c r="BE357" s="35">
        <f t="shared" si="190"/>
        <v>0</v>
      </c>
      <c r="BF357" s="35">
        <f t="shared" si="191"/>
        <v>0</v>
      </c>
      <c r="BG357" s="35">
        <f t="shared" si="192"/>
        <v>0</v>
      </c>
      <c r="BH357" s="35">
        <f t="shared" si="193"/>
        <v>0</v>
      </c>
      <c r="BI357" s="35">
        <f t="shared" si="194"/>
        <v>0</v>
      </c>
      <c r="BJ357" s="35">
        <f t="shared" si="195"/>
        <v>0</v>
      </c>
      <c r="BK357" s="35">
        <f t="shared" si="196"/>
        <v>0</v>
      </c>
      <c r="BL357" s="35">
        <f t="shared" si="197"/>
        <v>0</v>
      </c>
      <c r="BM357" s="35">
        <f t="shared" si="198"/>
        <v>0</v>
      </c>
      <c r="BN357" s="35">
        <f t="shared" si="199"/>
        <v>0</v>
      </c>
      <c r="BO357" s="35">
        <f t="shared" si="200"/>
        <v>0</v>
      </c>
      <c r="BP357" s="35">
        <f t="shared" si="201"/>
        <v>0</v>
      </c>
      <c r="BQ357" s="35">
        <f t="shared" si="202"/>
        <v>0</v>
      </c>
      <c r="BR357" s="35">
        <f t="shared" si="203"/>
        <v>0</v>
      </c>
      <c r="BS357" s="35">
        <f t="shared" si="204"/>
        <v>0</v>
      </c>
      <c r="BT357" s="43">
        <f t="shared" si="205"/>
        <v>0</v>
      </c>
    </row>
    <row r="358" spans="1:72">
      <c r="A358" s="9"/>
      <c r="B358" s="34"/>
      <c r="C358" s="34"/>
      <c r="D358" s="1805"/>
      <c r="E358" s="35">
        <f t="shared" si="206"/>
        <v>0</v>
      </c>
      <c r="F358" s="36"/>
      <c r="G358" s="37">
        <f t="shared" si="181"/>
        <v>0</v>
      </c>
      <c r="H358" s="38">
        <f t="shared" si="182"/>
        <v>0</v>
      </c>
      <c r="I358" s="39"/>
      <c r="J358" s="39"/>
      <c r="K358" s="39"/>
      <c r="L358" s="39"/>
      <c r="M358" s="39"/>
      <c r="N358" s="39"/>
      <c r="O358" s="39"/>
      <c r="P358" s="39"/>
      <c r="Q358" s="39"/>
      <c r="R358" s="39"/>
      <c r="S358" s="39"/>
      <c r="T358" s="39"/>
      <c r="U358" s="39"/>
      <c r="V358" s="39"/>
      <c r="W358" s="39"/>
      <c r="X358" s="39"/>
      <c r="Y358" s="39"/>
      <c r="Z358" s="39"/>
      <c r="AA358" s="39"/>
      <c r="AB358" s="39"/>
      <c r="AC358" s="35">
        <f t="shared" si="183"/>
        <v>0</v>
      </c>
      <c r="AD358" s="40"/>
      <c r="AE358" s="40"/>
      <c r="AF358" s="40"/>
      <c r="AG358" s="40"/>
      <c r="AH358" s="40"/>
      <c r="AI358" s="40"/>
      <c r="AJ358" s="40"/>
      <c r="AK358" s="40"/>
      <c r="AL358" s="40"/>
      <c r="AM358" s="40"/>
      <c r="AN358" s="40"/>
      <c r="AO358" s="40"/>
      <c r="AP358" s="40"/>
      <c r="AQ358" s="40"/>
      <c r="AR358" s="40"/>
      <c r="AS358" s="40"/>
      <c r="AT358" s="41"/>
      <c r="AU358" s="1806"/>
      <c r="AV358" s="1517">
        <f t="shared" si="207"/>
        <v>0</v>
      </c>
      <c r="AW358" s="1517">
        <f t="shared" si="208"/>
        <v>0</v>
      </c>
      <c r="AX358" s="1517">
        <f t="shared" si="209"/>
        <v>0</v>
      </c>
      <c r="AY358" s="42">
        <f t="shared" si="184"/>
        <v>0</v>
      </c>
      <c r="AZ358" s="35">
        <f t="shared" si="185"/>
        <v>0</v>
      </c>
      <c r="BA358" s="35">
        <f t="shared" si="186"/>
        <v>0</v>
      </c>
      <c r="BB358" s="35">
        <f t="shared" si="187"/>
        <v>0</v>
      </c>
      <c r="BC358" s="35">
        <f t="shared" si="188"/>
        <v>0</v>
      </c>
      <c r="BD358" s="35">
        <f t="shared" si="189"/>
        <v>0</v>
      </c>
      <c r="BE358" s="35">
        <f t="shared" si="190"/>
        <v>0</v>
      </c>
      <c r="BF358" s="35">
        <f t="shared" si="191"/>
        <v>0</v>
      </c>
      <c r="BG358" s="35">
        <f t="shared" si="192"/>
        <v>0</v>
      </c>
      <c r="BH358" s="35">
        <f t="shared" si="193"/>
        <v>0</v>
      </c>
      <c r="BI358" s="35">
        <f t="shared" si="194"/>
        <v>0</v>
      </c>
      <c r="BJ358" s="35">
        <f t="shared" si="195"/>
        <v>0</v>
      </c>
      <c r="BK358" s="35">
        <f t="shared" si="196"/>
        <v>0</v>
      </c>
      <c r="BL358" s="35">
        <f t="shared" si="197"/>
        <v>0</v>
      </c>
      <c r="BM358" s="35">
        <f t="shared" si="198"/>
        <v>0</v>
      </c>
      <c r="BN358" s="35">
        <f t="shared" si="199"/>
        <v>0</v>
      </c>
      <c r="BO358" s="35">
        <f t="shared" si="200"/>
        <v>0</v>
      </c>
      <c r="BP358" s="35">
        <f t="shared" si="201"/>
        <v>0</v>
      </c>
      <c r="BQ358" s="35">
        <f t="shared" si="202"/>
        <v>0</v>
      </c>
      <c r="BR358" s="35">
        <f t="shared" si="203"/>
        <v>0</v>
      </c>
      <c r="BS358" s="35">
        <f t="shared" si="204"/>
        <v>0</v>
      </c>
      <c r="BT358" s="43">
        <f t="shared" si="205"/>
        <v>0</v>
      </c>
    </row>
    <row r="359" spans="1:72">
      <c r="A359" s="9"/>
      <c r="B359" s="34"/>
      <c r="C359" s="34"/>
      <c r="D359" s="1805"/>
      <c r="E359" s="35">
        <f t="shared" si="206"/>
        <v>0</v>
      </c>
      <c r="F359" s="36"/>
      <c r="G359" s="37">
        <f t="shared" si="181"/>
        <v>0</v>
      </c>
      <c r="H359" s="38">
        <f t="shared" si="182"/>
        <v>0</v>
      </c>
      <c r="I359" s="39"/>
      <c r="J359" s="39"/>
      <c r="K359" s="39"/>
      <c r="L359" s="39"/>
      <c r="M359" s="39"/>
      <c r="N359" s="39"/>
      <c r="O359" s="39"/>
      <c r="P359" s="39"/>
      <c r="Q359" s="39"/>
      <c r="R359" s="39"/>
      <c r="S359" s="39"/>
      <c r="T359" s="39"/>
      <c r="U359" s="39"/>
      <c r="V359" s="39"/>
      <c r="W359" s="39"/>
      <c r="X359" s="39"/>
      <c r="Y359" s="39"/>
      <c r="Z359" s="39"/>
      <c r="AA359" s="39"/>
      <c r="AB359" s="39"/>
      <c r="AC359" s="35">
        <f t="shared" si="183"/>
        <v>0</v>
      </c>
      <c r="AD359" s="40"/>
      <c r="AE359" s="40"/>
      <c r="AF359" s="40"/>
      <c r="AG359" s="40"/>
      <c r="AH359" s="40"/>
      <c r="AI359" s="40"/>
      <c r="AJ359" s="40"/>
      <c r="AK359" s="40"/>
      <c r="AL359" s="40"/>
      <c r="AM359" s="40"/>
      <c r="AN359" s="40"/>
      <c r="AO359" s="40"/>
      <c r="AP359" s="40"/>
      <c r="AQ359" s="40"/>
      <c r="AR359" s="40"/>
      <c r="AS359" s="40"/>
      <c r="AT359" s="41"/>
      <c r="AU359" s="1806"/>
      <c r="AV359" s="1517">
        <f t="shared" si="207"/>
        <v>0</v>
      </c>
      <c r="AW359" s="1517">
        <f t="shared" si="208"/>
        <v>0</v>
      </c>
      <c r="AX359" s="1517">
        <f t="shared" si="209"/>
        <v>0</v>
      </c>
      <c r="AY359" s="42">
        <f t="shared" si="184"/>
        <v>0</v>
      </c>
      <c r="AZ359" s="35">
        <f t="shared" si="185"/>
        <v>0</v>
      </c>
      <c r="BA359" s="35">
        <f t="shared" si="186"/>
        <v>0</v>
      </c>
      <c r="BB359" s="35">
        <f t="shared" si="187"/>
        <v>0</v>
      </c>
      <c r="BC359" s="35">
        <f t="shared" si="188"/>
        <v>0</v>
      </c>
      <c r="BD359" s="35">
        <f t="shared" si="189"/>
        <v>0</v>
      </c>
      <c r="BE359" s="35">
        <f t="shared" si="190"/>
        <v>0</v>
      </c>
      <c r="BF359" s="35">
        <f t="shared" si="191"/>
        <v>0</v>
      </c>
      <c r="BG359" s="35">
        <f t="shared" si="192"/>
        <v>0</v>
      </c>
      <c r="BH359" s="35">
        <f t="shared" si="193"/>
        <v>0</v>
      </c>
      <c r="BI359" s="35">
        <f t="shared" si="194"/>
        <v>0</v>
      </c>
      <c r="BJ359" s="35">
        <f t="shared" si="195"/>
        <v>0</v>
      </c>
      <c r="BK359" s="35">
        <f t="shared" si="196"/>
        <v>0</v>
      </c>
      <c r="BL359" s="35">
        <f t="shared" si="197"/>
        <v>0</v>
      </c>
      <c r="BM359" s="35">
        <f t="shared" si="198"/>
        <v>0</v>
      </c>
      <c r="BN359" s="35">
        <f t="shared" si="199"/>
        <v>0</v>
      </c>
      <c r="BO359" s="35">
        <f t="shared" si="200"/>
        <v>0</v>
      </c>
      <c r="BP359" s="35">
        <f t="shared" si="201"/>
        <v>0</v>
      </c>
      <c r="BQ359" s="35">
        <f t="shared" si="202"/>
        <v>0</v>
      </c>
      <c r="BR359" s="35">
        <f t="shared" si="203"/>
        <v>0</v>
      </c>
      <c r="BS359" s="35">
        <f t="shared" si="204"/>
        <v>0</v>
      </c>
      <c r="BT359" s="43">
        <f t="shared" si="205"/>
        <v>0</v>
      </c>
    </row>
    <row r="360" spans="1:72">
      <c r="A360" s="9"/>
      <c r="B360" s="34"/>
      <c r="C360" s="34"/>
      <c r="D360" s="1805"/>
      <c r="E360" s="35">
        <f t="shared" si="206"/>
        <v>0</v>
      </c>
      <c r="F360" s="36"/>
      <c r="G360" s="37">
        <f t="shared" si="181"/>
        <v>0</v>
      </c>
      <c r="H360" s="38">
        <f t="shared" si="182"/>
        <v>0</v>
      </c>
      <c r="I360" s="39"/>
      <c r="J360" s="39"/>
      <c r="K360" s="39"/>
      <c r="L360" s="39"/>
      <c r="M360" s="39"/>
      <c r="N360" s="39"/>
      <c r="O360" s="39"/>
      <c r="P360" s="39"/>
      <c r="Q360" s="39"/>
      <c r="R360" s="39"/>
      <c r="S360" s="39"/>
      <c r="T360" s="39"/>
      <c r="U360" s="39"/>
      <c r="V360" s="39"/>
      <c r="W360" s="39"/>
      <c r="X360" s="39"/>
      <c r="Y360" s="39"/>
      <c r="Z360" s="39"/>
      <c r="AA360" s="39"/>
      <c r="AB360" s="39"/>
      <c r="AC360" s="35">
        <f t="shared" si="183"/>
        <v>0</v>
      </c>
      <c r="AD360" s="40"/>
      <c r="AE360" s="40"/>
      <c r="AF360" s="40"/>
      <c r="AG360" s="40"/>
      <c r="AH360" s="40"/>
      <c r="AI360" s="40"/>
      <c r="AJ360" s="40"/>
      <c r="AK360" s="40"/>
      <c r="AL360" s="40"/>
      <c r="AM360" s="40"/>
      <c r="AN360" s="40"/>
      <c r="AO360" s="40"/>
      <c r="AP360" s="40"/>
      <c r="AQ360" s="40"/>
      <c r="AR360" s="40"/>
      <c r="AS360" s="40"/>
      <c r="AT360" s="41"/>
      <c r="AU360" s="1806"/>
      <c r="AV360" s="1517">
        <f t="shared" si="207"/>
        <v>0</v>
      </c>
      <c r="AW360" s="1517">
        <f t="shared" si="208"/>
        <v>0</v>
      </c>
      <c r="AX360" s="1517">
        <f t="shared" si="209"/>
        <v>0</v>
      </c>
      <c r="AY360" s="42">
        <f t="shared" si="184"/>
        <v>0</v>
      </c>
      <c r="AZ360" s="35">
        <f t="shared" si="185"/>
        <v>0</v>
      </c>
      <c r="BA360" s="35">
        <f t="shared" si="186"/>
        <v>0</v>
      </c>
      <c r="BB360" s="35">
        <f t="shared" si="187"/>
        <v>0</v>
      </c>
      <c r="BC360" s="35">
        <f t="shared" si="188"/>
        <v>0</v>
      </c>
      <c r="BD360" s="35">
        <f t="shared" si="189"/>
        <v>0</v>
      </c>
      <c r="BE360" s="35">
        <f t="shared" si="190"/>
        <v>0</v>
      </c>
      <c r="BF360" s="35">
        <f t="shared" si="191"/>
        <v>0</v>
      </c>
      <c r="BG360" s="35">
        <f t="shared" si="192"/>
        <v>0</v>
      </c>
      <c r="BH360" s="35">
        <f t="shared" si="193"/>
        <v>0</v>
      </c>
      <c r="BI360" s="35">
        <f t="shared" si="194"/>
        <v>0</v>
      </c>
      <c r="BJ360" s="35">
        <f t="shared" si="195"/>
        <v>0</v>
      </c>
      <c r="BK360" s="35">
        <f t="shared" si="196"/>
        <v>0</v>
      </c>
      <c r="BL360" s="35">
        <f t="shared" si="197"/>
        <v>0</v>
      </c>
      <c r="BM360" s="35">
        <f t="shared" si="198"/>
        <v>0</v>
      </c>
      <c r="BN360" s="35">
        <f t="shared" si="199"/>
        <v>0</v>
      </c>
      <c r="BO360" s="35">
        <f t="shared" si="200"/>
        <v>0</v>
      </c>
      <c r="BP360" s="35">
        <f t="shared" si="201"/>
        <v>0</v>
      </c>
      <c r="BQ360" s="35">
        <f t="shared" si="202"/>
        <v>0</v>
      </c>
      <c r="BR360" s="35">
        <f t="shared" si="203"/>
        <v>0</v>
      </c>
      <c r="BS360" s="35">
        <f t="shared" si="204"/>
        <v>0</v>
      </c>
      <c r="BT360" s="43">
        <f t="shared" si="205"/>
        <v>0</v>
      </c>
    </row>
    <row r="361" spans="1:72">
      <c r="A361" s="9"/>
      <c r="B361" s="34"/>
      <c r="C361" s="34"/>
      <c r="D361" s="1805"/>
      <c r="E361" s="35">
        <f t="shared" si="206"/>
        <v>0</v>
      </c>
      <c r="F361" s="36"/>
      <c r="G361" s="37">
        <f t="shared" si="181"/>
        <v>0</v>
      </c>
      <c r="H361" s="38">
        <f t="shared" si="182"/>
        <v>0</v>
      </c>
      <c r="I361" s="39"/>
      <c r="J361" s="39"/>
      <c r="K361" s="39"/>
      <c r="L361" s="39"/>
      <c r="M361" s="39"/>
      <c r="N361" s="39"/>
      <c r="O361" s="39"/>
      <c r="P361" s="39"/>
      <c r="Q361" s="39"/>
      <c r="R361" s="39"/>
      <c r="S361" s="39"/>
      <c r="T361" s="39"/>
      <c r="U361" s="39"/>
      <c r="V361" s="39"/>
      <c r="W361" s="39"/>
      <c r="X361" s="39"/>
      <c r="Y361" s="39"/>
      <c r="Z361" s="39"/>
      <c r="AA361" s="39"/>
      <c r="AB361" s="39"/>
      <c r="AC361" s="35">
        <f t="shared" si="183"/>
        <v>0</v>
      </c>
      <c r="AD361" s="40"/>
      <c r="AE361" s="40"/>
      <c r="AF361" s="40"/>
      <c r="AG361" s="40"/>
      <c r="AH361" s="40"/>
      <c r="AI361" s="40"/>
      <c r="AJ361" s="40"/>
      <c r="AK361" s="40"/>
      <c r="AL361" s="40"/>
      <c r="AM361" s="40"/>
      <c r="AN361" s="40"/>
      <c r="AO361" s="40"/>
      <c r="AP361" s="40"/>
      <c r="AQ361" s="40"/>
      <c r="AR361" s="40"/>
      <c r="AS361" s="40"/>
      <c r="AT361" s="41"/>
      <c r="AU361" s="1806"/>
      <c r="AV361" s="1517">
        <f t="shared" si="207"/>
        <v>0</v>
      </c>
      <c r="AW361" s="1517">
        <f t="shared" si="208"/>
        <v>0</v>
      </c>
      <c r="AX361" s="1517">
        <f t="shared" si="209"/>
        <v>0</v>
      </c>
      <c r="AY361" s="42">
        <f t="shared" si="184"/>
        <v>0</v>
      </c>
      <c r="AZ361" s="35">
        <f t="shared" si="185"/>
        <v>0</v>
      </c>
      <c r="BA361" s="35">
        <f t="shared" si="186"/>
        <v>0</v>
      </c>
      <c r="BB361" s="35">
        <f t="shared" si="187"/>
        <v>0</v>
      </c>
      <c r="BC361" s="35">
        <f t="shared" si="188"/>
        <v>0</v>
      </c>
      <c r="BD361" s="35">
        <f t="shared" si="189"/>
        <v>0</v>
      </c>
      <c r="BE361" s="35">
        <f t="shared" si="190"/>
        <v>0</v>
      </c>
      <c r="BF361" s="35">
        <f t="shared" si="191"/>
        <v>0</v>
      </c>
      <c r="BG361" s="35">
        <f t="shared" si="192"/>
        <v>0</v>
      </c>
      <c r="BH361" s="35">
        <f t="shared" si="193"/>
        <v>0</v>
      </c>
      <c r="BI361" s="35">
        <f t="shared" si="194"/>
        <v>0</v>
      </c>
      <c r="BJ361" s="35">
        <f t="shared" si="195"/>
        <v>0</v>
      </c>
      <c r="BK361" s="35">
        <f t="shared" si="196"/>
        <v>0</v>
      </c>
      <c r="BL361" s="35">
        <f t="shared" si="197"/>
        <v>0</v>
      </c>
      <c r="BM361" s="35">
        <f t="shared" si="198"/>
        <v>0</v>
      </c>
      <c r="BN361" s="35">
        <f t="shared" si="199"/>
        <v>0</v>
      </c>
      <c r="BO361" s="35">
        <f t="shared" si="200"/>
        <v>0</v>
      </c>
      <c r="BP361" s="35">
        <f t="shared" si="201"/>
        <v>0</v>
      </c>
      <c r="BQ361" s="35">
        <f t="shared" si="202"/>
        <v>0</v>
      </c>
      <c r="BR361" s="35">
        <f t="shared" si="203"/>
        <v>0</v>
      </c>
      <c r="BS361" s="35">
        <f t="shared" si="204"/>
        <v>0</v>
      </c>
      <c r="BT361" s="43">
        <f t="shared" si="205"/>
        <v>0</v>
      </c>
    </row>
    <row r="362" spans="1:72">
      <c r="A362" s="9"/>
      <c r="B362" s="34"/>
      <c r="C362" s="34"/>
      <c r="D362" s="1805"/>
      <c r="E362" s="35">
        <f t="shared" si="206"/>
        <v>0</v>
      </c>
      <c r="F362" s="36"/>
      <c r="G362" s="37">
        <f t="shared" si="181"/>
        <v>0</v>
      </c>
      <c r="H362" s="38">
        <f t="shared" si="182"/>
        <v>0</v>
      </c>
      <c r="I362" s="39"/>
      <c r="J362" s="39"/>
      <c r="K362" s="39"/>
      <c r="L362" s="39"/>
      <c r="M362" s="39"/>
      <c r="N362" s="39"/>
      <c r="O362" s="39"/>
      <c r="P362" s="39"/>
      <c r="Q362" s="39"/>
      <c r="R362" s="39"/>
      <c r="S362" s="39"/>
      <c r="T362" s="39"/>
      <c r="U362" s="39"/>
      <c r="V362" s="39"/>
      <c r="W362" s="39"/>
      <c r="X362" s="39"/>
      <c r="Y362" s="39"/>
      <c r="Z362" s="39"/>
      <c r="AA362" s="39"/>
      <c r="AB362" s="39"/>
      <c r="AC362" s="35">
        <f t="shared" si="183"/>
        <v>0</v>
      </c>
      <c r="AD362" s="40"/>
      <c r="AE362" s="40"/>
      <c r="AF362" s="40"/>
      <c r="AG362" s="40"/>
      <c r="AH362" s="40"/>
      <c r="AI362" s="40"/>
      <c r="AJ362" s="40"/>
      <c r="AK362" s="40"/>
      <c r="AL362" s="40"/>
      <c r="AM362" s="40"/>
      <c r="AN362" s="40"/>
      <c r="AO362" s="40"/>
      <c r="AP362" s="40"/>
      <c r="AQ362" s="40"/>
      <c r="AR362" s="40"/>
      <c r="AS362" s="40"/>
      <c r="AT362" s="41"/>
      <c r="AU362" s="1806"/>
      <c r="AV362" s="1517">
        <f t="shared" si="207"/>
        <v>0</v>
      </c>
      <c r="AW362" s="1517">
        <f t="shared" si="208"/>
        <v>0</v>
      </c>
      <c r="AX362" s="1517">
        <f t="shared" si="209"/>
        <v>0</v>
      </c>
      <c r="AY362" s="42">
        <f t="shared" si="184"/>
        <v>0</v>
      </c>
      <c r="AZ362" s="35">
        <f t="shared" si="185"/>
        <v>0</v>
      </c>
      <c r="BA362" s="35">
        <f t="shared" si="186"/>
        <v>0</v>
      </c>
      <c r="BB362" s="35">
        <f t="shared" si="187"/>
        <v>0</v>
      </c>
      <c r="BC362" s="35">
        <f t="shared" si="188"/>
        <v>0</v>
      </c>
      <c r="BD362" s="35">
        <f t="shared" si="189"/>
        <v>0</v>
      </c>
      <c r="BE362" s="35">
        <f t="shared" si="190"/>
        <v>0</v>
      </c>
      <c r="BF362" s="35">
        <f t="shared" si="191"/>
        <v>0</v>
      </c>
      <c r="BG362" s="35">
        <f t="shared" si="192"/>
        <v>0</v>
      </c>
      <c r="BH362" s="35">
        <f t="shared" si="193"/>
        <v>0</v>
      </c>
      <c r="BI362" s="35">
        <f t="shared" si="194"/>
        <v>0</v>
      </c>
      <c r="BJ362" s="35">
        <f t="shared" si="195"/>
        <v>0</v>
      </c>
      <c r="BK362" s="35">
        <f t="shared" si="196"/>
        <v>0</v>
      </c>
      <c r="BL362" s="35">
        <f t="shared" si="197"/>
        <v>0</v>
      </c>
      <c r="BM362" s="35">
        <f t="shared" si="198"/>
        <v>0</v>
      </c>
      <c r="BN362" s="35">
        <f t="shared" si="199"/>
        <v>0</v>
      </c>
      <c r="BO362" s="35">
        <f t="shared" si="200"/>
        <v>0</v>
      </c>
      <c r="BP362" s="35">
        <f t="shared" si="201"/>
        <v>0</v>
      </c>
      <c r="BQ362" s="35">
        <f t="shared" si="202"/>
        <v>0</v>
      </c>
      <c r="BR362" s="35">
        <f t="shared" si="203"/>
        <v>0</v>
      </c>
      <c r="BS362" s="35">
        <f t="shared" si="204"/>
        <v>0</v>
      </c>
      <c r="BT362" s="43">
        <f t="shared" si="205"/>
        <v>0</v>
      </c>
    </row>
    <row r="363" spans="1:72">
      <c r="A363" s="9"/>
      <c r="B363" s="34"/>
      <c r="C363" s="34"/>
      <c r="D363" s="1805"/>
      <c r="E363" s="35">
        <f t="shared" si="206"/>
        <v>0</v>
      </c>
      <c r="F363" s="36"/>
      <c r="G363" s="37">
        <f t="shared" si="181"/>
        <v>0</v>
      </c>
      <c r="H363" s="38">
        <f t="shared" si="182"/>
        <v>0</v>
      </c>
      <c r="I363" s="39"/>
      <c r="J363" s="39"/>
      <c r="K363" s="39"/>
      <c r="L363" s="39"/>
      <c r="M363" s="39"/>
      <c r="N363" s="39"/>
      <c r="O363" s="39"/>
      <c r="P363" s="39"/>
      <c r="Q363" s="39"/>
      <c r="R363" s="39"/>
      <c r="S363" s="39"/>
      <c r="T363" s="39"/>
      <c r="U363" s="39"/>
      <c r="V363" s="39"/>
      <c r="W363" s="39"/>
      <c r="X363" s="39"/>
      <c r="Y363" s="39"/>
      <c r="Z363" s="39"/>
      <c r="AA363" s="39"/>
      <c r="AB363" s="39"/>
      <c r="AC363" s="35">
        <f t="shared" si="183"/>
        <v>0</v>
      </c>
      <c r="AD363" s="40"/>
      <c r="AE363" s="40"/>
      <c r="AF363" s="40"/>
      <c r="AG363" s="40"/>
      <c r="AH363" s="40"/>
      <c r="AI363" s="40"/>
      <c r="AJ363" s="40"/>
      <c r="AK363" s="40"/>
      <c r="AL363" s="40"/>
      <c r="AM363" s="40"/>
      <c r="AN363" s="40"/>
      <c r="AO363" s="40"/>
      <c r="AP363" s="40"/>
      <c r="AQ363" s="40"/>
      <c r="AR363" s="40"/>
      <c r="AS363" s="40"/>
      <c r="AT363" s="41"/>
      <c r="AU363" s="1806"/>
      <c r="AV363" s="1517">
        <f t="shared" si="207"/>
        <v>0</v>
      </c>
      <c r="AW363" s="1517">
        <f t="shared" si="208"/>
        <v>0</v>
      </c>
      <c r="AX363" s="1517">
        <f t="shared" si="209"/>
        <v>0</v>
      </c>
      <c r="AY363" s="42">
        <f t="shared" si="184"/>
        <v>0</v>
      </c>
      <c r="AZ363" s="35">
        <f t="shared" si="185"/>
        <v>0</v>
      </c>
      <c r="BA363" s="35">
        <f t="shared" si="186"/>
        <v>0</v>
      </c>
      <c r="BB363" s="35">
        <f t="shared" si="187"/>
        <v>0</v>
      </c>
      <c r="BC363" s="35">
        <f t="shared" si="188"/>
        <v>0</v>
      </c>
      <c r="BD363" s="35">
        <f t="shared" si="189"/>
        <v>0</v>
      </c>
      <c r="BE363" s="35">
        <f t="shared" si="190"/>
        <v>0</v>
      </c>
      <c r="BF363" s="35">
        <f t="shared" si="191"/>
        <v>0</v>
      </c>
      <c r="BG363" s="35">
        <f t="shared" si="192"/>
        <v>0</v>
      </c>
      <c r="BH363" s="35">
        <f t="shared" si="193"/>
        <v>0</v>
      </c>
      <c r="BI363" s="35">
        <f t="shared" si="194"/>
        <v>0</v>
      </c>
      <c r="BJ363" s="35">
        <f t="shared" si="195"/>
        <v>0</v>
      </c>
      <c r="BK363" s="35">
        <f t="shared" si="196"/>
        <v>0</v>
      </c>
      <c r="BL363" s="35">
        <f t="shared" si="197"/>
        <v>0</v>
      </c>
      <c r="BM363" s="35">
        <f t="shared" si="198"/>
        <v>0</v>
      </c>
      <c r="BN363" s="35">
        <f t="shared" si="199"/>
        <v>0</v>
      </c>
      <c r="BO363" s="35">
        <f t="shared" si="200"/>
        <v>0</v>
      </c>
      <c r="BP363" s="35">
        <f t="shared" si="201"/>
        <v>0</v>
      </c>
      <c r="BQ363" s="35">
        <f t="shared" si="202"/>
        <v>0</v>
      </c>
      <c r="BR363" s="35">
        <f t="shared" si="203"/>
        <v>0</v>
      </c>
      <c r="BS363" s="35">
        <f t="shared" si="204"/>
        <v>0</v>
      </c>
      <c r="BT363" s="43">
        <f t="shared" si="205"/>
        <v>0</v>
      </c>
    </row>
    <row r="364" spans="1:72">
      <c r="A364" s="9"/>
      <c r="B364" s="34"/>
      <c r="C364" s="34"/>
      <c r="D364" s="1805"/>
      <c r="E364" s="35">
        <f t="shared" si="206"/>
        <v>0</v>
      </c>
      <c r="F364" s="36"/>
      <c r="G364" s="37">
        <f t="shared" ref="G364:G395" si="210">H364+AC364+AT364</f>
        <v>0</v>
      </c>
      <c r="H364" s="38">
        <f t="shared" ref="H364:H395" si="211">SUMIF(I$12:AB$12,"总值",I364:AB364)</f>
        <v>0</v>
      </c>
      <c r="I364" s="39"/>
      <c r="J364" s="39"/>
      <c r="K364" s="39"/>
      <c r="L364" s="39"/>
      <c r="M364" s="39"/>
      <c r="N364" s="39"/>
      <c r="O364" s="39"/>
      <c r="P364" s="39"/>
      <c r="Q364" s="39"/>
      <c r="R364" s="39"/>
      <c r="S364" s="39"/>
      <c r="T364" s="39"/>
      <c r="U364" s="39"/>
      <c r="V364" s="39"/>
      <c r="W364" s="39"/>
      <c r="X364" s="39"/>
      <c r="Y364" s="39"/>
      <c r="Z364" s="39"/>
      <c r="AA364" s="39"/>
      <c r="AB364" s="39"/>
      <c r="AC364" s="35">
        <f t="shared" ref="AC364:AC395" si="212">SUMIF(AD$12:AS$12,"总值",AD364:AS364)</f>
        <v>0</v>
      </c>
      <c r="AD364" s="40"/>
      <c r="AE364" s="40"/>
      <c r="AF364" s="40"/>
      <c r="AG364" s="40"/>
      <c r="AH364" s="40"/>
      <c r="AI364" s="40"/>
      <c r="AJ364" s="40"/>
      <c r="AK364" s="40"/>
      <c r="AL364" s="40"/>
      <c r="AM364" s="40"/>
      <c r="AN364" s="40"/>
      <c r="AO364" s="40"/>
      <c r="AP364" s="40"/>
      <c r="AQ364" s="40"/>
      <c r="AR364" s="40"/>
      <c r="AS364" s="40"/>
      <c r="AT364" s="41"/>
      <c r="AU364" s="1806"/>
      <c r="AV364" s="1517">
        <f t="shared" si="207"/>
        <v>0</v>
      </c>
      <c r="AW364" s="1517">
        <f t="shared" si="208"/>
        <v>0</v>
      </c>
      <c r="AX364" s="1517">
        <f t="shared" si="209"/>
        <v>0</v>
      </c>
      <c r="AY364" s="42">
        <f t="shared" ref="AY364:AY395" si="213">ROUND($AY$6*AZ364/$AZ$5,2)</f>
        <v>0</v>
      </c>
      <c r="AZ364" s="35">
        <f t="shared" ref="AZ364:AZ395" si="214">BA364+BL364</f>
        <v>0</v>
      </c>
      <c r="BA364" s="35">
        <f t="shared" ref="BA364:BA395" si="215">SUM(BB364:BK364)</f>
        <v>0</v>
      </c>
      <c r="BB364" s="35">
        <f t="shared" ref="BB364:BB397" si="216">IF($D364="是",I364-J364,0)</f>
        <v>0</v>
      </c>
      <c r="BC364" s="35">
        <f t="shared" ref="BC364:BC397" si="217">IF($D364="是",K364-L364,0)</f>
        <v>0</v>
      </c>
      <c r="BD364" s="35">
        <f t="shared" ref="BD364:BD397" si="218">IF($D364="是",M364-N364,0)</f>
        <v>0</v>
      </c>
      <c r="BE364" s="35">
        <f t="shared" ref="BE364:BE397" si="219">IF($D364="是",O364-P364,0)</f>
        <v>0</v>
      </c>
      <c r="BF364" s="35">
        <f t="shared" ref="BF364:BF397" si="220">IF($D364="是",Q364-R364,0)</f>
        <v>0</v>
      </c>
      <c r="BG364" s="35">
        <f t="shared" ref="BG364:BG397" si="221">IF($D364="是",S364-T364,0)</f>
        <v>0</v>
      </c>
      <c r="BH364" s="35">
        <f t="shared" ref="BH364:BH397" si="222">IF($D364="是",U364-V364,0)</f>
        <v>0</v>
      </c>
      <c r="BI364" s="35">
        <f t="shared" ref="BI364:BI397" si="223">IF($D364="是",W364-X364,0)</f>
        <v>0</v>
      </c>
      <c r="BJ364" s="35">
        <f t="shared" ref="BJ364:BJ397" si="224">IF($D364="是",Y364-Z364,0)</f>
        <v>0</v>
      </c>
      <c r="BK364" s="35">
        <f t="shared" ref="BK364:BK397" si="225">IF($D364="是",AA364-AB364,0)</f>
        <v>0</v>
      </c>
      <c r="BL364" s="35">
        <f t="shared" ref="BL364:BL395" si="226">SUM(BM364:BT364)</f>
        <v>0</v>
      </c>
      <c r="BM364" s="35">
        <f t="shared" ref="BM364:BM397" si="227">IF($D364="是",AD364-AE364,0)</f>
        <v>0</v>
      </c>
      <c r="BN364" s="35">
        <f t="shared" ref="BN364:BN397" si="228">IF($D364="是",AF364-AG364,0)</f>
        <v>0</v>
      </c>
      <c r="BO364" s="35">
        <f t="shared" ref="BO364:BO397" si="229">IF($D364="是",AH364-AI364,0)</f>
        <v>0</v>
      </c>
      <c r="BP364" s="35">
        <f t="shared" ref="BP364:BP397" si="230">IF($D364="是",AJ364-AK364,0)</f>
        <v>0</v>
      </c>
      <c r="BQ364" s="35">
        <f t="shared" ref="BQ364:BQ397" si="231">IF($D364="是",AL364-AM364,0)</f>
        <v>0</v>
      </c>
      <c r="BR364" s="35">
        <f t="shared" ref="BR364:BR397" si="232">IF($D364="是",AN364-AO364,0)</f>
        <v>0</v>
      </c>
      <c r="BS364" s="35">
        <f t="shared" ref="BS364:BS397" si="233">IF($D364="是",AP364-AQ364,0)</f>
        <v>0</v>
      </c>
      <c r="BT364" s="43">
        <f t="shared" ref="BT364:BT397" si="234">IF($D364="是",AR364-AS364,0)</f>
        <v>0</v>
      </c>
    </row>
    <row r="365" spans="1:72">
      <c r="A365" s="9"/>
      <c r="B365" s="34"/>
      <c r="C365" s="34"/>
      <c r="D365" s="1805"/>
      <c r="E365" s="35">
        <f t="shared" si="206"/>
        <v>0</v>
      </c>
      <c r="F365" s="36"/>
      <c r="G365" s="37">
        <f t="shared" si="210"/>
        <v>0</v>
      </c>
      <c r="H365" s="38">
        <f t="shared" si="211"/>
        <v>0</v>
      </c>
      <c r="I365" s="39"/>
      <c r="J365" s="39"/>
      <c r="K365" s="39"/>
      <c r="L365" s="39"/>
      <c r="M365" s="39"/>
      <c r="N365" s="39"/>
      <c r="O365" s="39"/>
      <c r="P365" s="39"/>
      <c r="Q365" s="39"/>
      <c r="R365" s="39"/>
      <c r="S365" s="39"/>
      <c r="T365" s="39"/>
      <c r="U365" s="39"/>
      <c r="V365" s="39"/>
      <c r="W365" s="39"/>
      <c r="X365" s="39"/>
      <c r="Y365" s="39"/>
      <c r="Z365" s="39"/>
      <c r="AA365" s="39"/>
      <c r="AB365" s="39"/>
      <c r="AC365" s="35">
        <f t="shared" si="212"/>
        <v>0</v>
      </c>
      <c r="AD365" s="40"/>
      <c r="AE365" s="40"/>
      <c r="AF365" s="40"/>
      <c r="AG365" s="40"/>
      <c r="AH365" s="40"/>
      <c r="AI365" s="40"/>
      <c r="AJ365" s="40"/>
      <c r="AK365" s="40"/>
      <c r="AL365" s="40"/>
      <c r="AM365" s="40"/>
      <c r="AN365" s="40"/>
      <c r="AO365" s="40"/>
      <c r="AP365" s="40"/>
      <c r="AQ365" s="40"/>
      <c r="AR365" s="40"/>
      <c r="AS365" s="40"/>
      <c r="AT365" s="41"/>
      <c r="AU365" s="1806"/>
      <c r="AV365" s="1517">
        <f t="shared" si="207"/>
        <v>0</v>
      </c>
      <c r="AW365" s="1517">
        <f t="shared" si="208"/>
        <v>0</v>
      </c>
      <c r="AX365" s="1517">
        <f t="shared" si="209"/>
        <v>0</v>
      </c>
      <c r="AY365" s="42">
        <f t="shared" si="213"/>
        <v>0</v>
      </c>
      <c r="AZ365" s="35">
        <f t="shared" si="214"/>
        <v>0</v>
      </c>
      <c r="BA365" s="35">
        <f t="shared" si="215"/>
        <v>0</v>
      </c>
      <c r="BB365" s="35">
        <f t="shared" si="216"/>
        <v>0</v>
      </c>
      <c r="BC365" s="35">
        <f t="shared" si="217"/>
        <v>0</v>
      </c>
      <c r="BD365" s="35">
        <f t="shared" si="218"/>
        <v>0</v>
      </c>
      <c r="BE365" s="35">
        <f t="shared" si="219"/>
        <v>0</v>
      </c>
      <c r="BF365" s="35">
        <f t="shared" si="220"/>
        <v>0</v>
      </c>
      <c r="BG365" s="35">
        <f t="shared" si="221"/>
        <v>0</v>
      </c>
      <c r="BH365" s="35">
        <f t="shared" si="222"/>
        <v>0</v>
      </c>
      <c r="BI365" s="35">
        <f t="shared" si="223"/>
        <v>0</v>
      </c>
      <c r="BJ365" s="35">
        <f t="shared" si="224"/>
        <v>0</v>
      </c>
      <c r="BK365" s="35">
        <f t="shared" si="225"/>
        <v>0</v>
      </c>
      <c r="BL365" s="35">
        <f t="shared" si="226"/>
        <v>0</v>
      </c>
      <c r="BM365" s="35">
        <f t="shared" si="227"/>
        <v>0</v>
      </c>
      <c r="BN365" s="35">
        <f t="shared" si="228"/>
        <v>0</v>
      </c>
      <c r="BO365" s="35">
        <f t="shared" si="229"/>
        <v>0</v>
      </c>
      <c r="BP365" s="35">
        <f t="shared" si="230"/>
        <v>0</v>
      </c>
      <c r="BQ365" s="35">
        <f t="shared" si="231"/>
        <v>0</v>
      </c>
      <c r="BR365" s="35">
        <f t="shared" si="232"/>
        <v>0</v>
      </c>
      <c r="BS365" s="35">
        <f t="shared" si="233"/>
        <v>0</v>
      </c>
      <c r="BT365" s="43">
        <f t="shared" si="234"/>
        <v>0</v>
      </c>
    </row>
    <row r="366" spans="1:72">
      <c r="A366" s="9"/>
      <c r="B366" s="34"/>
      <c r="C366" s="34"/>
      <c r="D366" s="1805"/>
      <c r="E366" s="35">
        <f t="shared" si="206"/>
        <v>0</v>
      </c>
      <c r="F366" s="36"/>
      <c r="G366" s="37">
        <f t="shared" si="210"/>
        <v>0</v>
      </c>
      <c r="H366" s="38">
        <f t="shared" si="211"/>
        <v>0</v>
      </c>
      <c r="I366" s="39"/>
      <c r="J366" s="39"/>
      <c r="K366" s="39"/>
      <c r="L366" s="39"/>
      <c r="M366" s="39"/>
      <c r="N366" s="39"/>
      <c r="O366" s="39"/>
      <c r="P366" s="39"/>
      <c r="Q366" s="39"/>
      <c r="R366" s="39"/>
      <c r="S366" s="39"/>
      <c r="T366" s="39"/>
      <c r="U366" s="39"/>
      <c r="V366" s="39"/>
      <c r="W366" s="39"/>
      <c r="X366" s="39"/>
      <c r="Y366" s="39"/>
      <c r="Z366" s="39"/>
      <c r="AA366" s="39"/>
      <c r="AB366" s="39"/>
      <c r="AC366" s="35">
        <f t="shared" si="212"/>
        <v>0</v>
      </c>
      <c r="AD366" s="40"/>
      <c r="AE366" s="40"/>
      <c r="AF366" s="40"/>
      <c r="AG366" s="40"/>
      <c r="AH366" s="40"/>
      <c r="AI366" s="40"/>
      <c r="AJ366" s="40"/>
      <c r="AK366" s="40"/>
      <c r="AL366" s="40"/>
      <c r="AM366" s="40"/>
      <c r="AN366" s="40"/>
      <c r="AO366" s="40"/>
      <c r="AP366" s="40"/>
      <c r="AQ366" s="40"/>
      <c r="AR366" s="40"/>
      <c r="AS366" s="40"/>
      <c r="AT366" s="41"/>
      <c r="AU366" s="1806"/>
      <c r="AV366" s="1517">
        <f t="shared" si="207"/>
        <v>0</v>
      </c>
      <c r="AW366" s="1517">
        <f t="shared" si="208"/>
        <v>0</v>
      </c>
      <c r="AX366" s="1517">
        <f t="shared" si="209"/>
        <v>0</v>
      </c>
      <c r="AY366" s="42">
        <f t="shared" si="213"/>
        <v>0</v>
      </c>
      <c r="AZ366" s="35">
        <f t="shared" si="214"/>
        <v>0</v>
      </c>
      <c r="BA366" s="35">
        <f t="shared" si="215"/>
        <v>0</v>
      </c>
      <c r="BB366" s="35">
        <f t="shared" si="216"/>
        <v>0</v>
      </c>
      <c r="BC366" s="35">
        <f t="shared" si="217"/>
        <v>0</v>
      </c>
      <c r="BD366" s="35">
        <f t="shared" si="218"/>
        <v>0</v>
      </c>
      <c r="BE366" s="35">
        <f t="shared" si="219"/>
        <v>0</v>
      </c>
      <c r="BF366" s="35">
        <f t="shared" si="220"/>
        <v>0</v>
      </c>
      <c r="BG366" s="35">
        <f t="shared" si="221"/>
        <v>0</v>
      </c>
      <c r="BH366" s="35">
        <f t="shared" si="222"/>
        <v>0</v>
      </c>
      <c r="BI366" s="35">
        <f t="shared" si="223"/>
        <v>0</v>
      </c>
      <c r="BJ366" s="35">
        <f t="shared" si="224"/>
        <v>0</v>
      </c>
      <c r="BK366" s="35">
        <f t="shared" si="225"/>
        <v>0</v>
      </c>
      <c r="BL366" s="35">
        <f t="shared" si="226"/>
        <v>0</v>
      </c>
      <c r="BM366" s="35">
        <f t="shared" si="227"/>
        <v>0</v>
      </c>
      <c r="BN366" s="35">
        <f t="shared" si="228"/>
        <v>0</v>
      </c>
      <c r="BO366" s="35">
        <f t="shared" si="229"/>
        <v>0</v>
      </c>
      <c r="BP366" s="35">
        <f t="shared" si="230"/>
        <v>0</v>
      </c>
      <c r="BQ366" s="35">
        <f t="shared" si="231"/>
        <v>0</v>
      </c>
      <c r="BR366" s="35">
        <f t="shared" si="232"/>
        <v>0</v>
      </c>
      <c r="BS366" s="35">
        <f t="shared" si="233"/>
        <v>0</v>
      </c>
      <c r="BT366" s="43">
        <f t="shared" si="234"/>
        <v>0</v>
      </c>
    </row>
    <row r="367" spans="1:72">
      <c r="A367" s="9"/>
      <c r="B367" s="34"/>
      <c r="C367" s="34"/>
      <c r="D367" s="1805"/>
      <c r="E367" s="35">
        <f t="shared" ref="E367:E397" si="235">IF($C$3="是",ROUND($A$3*G367/$B$3,2),ROUND($A$3*(G367-AT367)/$B$3,2))</f>
        <v>0</v>
      </c>
      <c r="F367" s="36"/>
      <c r="G367" s="37">
        <f t="shared" si="210"/>
        <v>0</v>
      </c>
      <c r="H367" s="38">
        <f t="shared" si="211"/>
        <v>0</v>
      </c>
      <c r="I367" s="39"/>
      <c r="J367" s="39"/>
      <c r="K367" s="39"/>
      <c r="L367" s="39"/>
      <c r="M367" s="39"/>
      <c r="N367" s="39"/>
      <c r="O367" s="39"/>
      <c r="P367" s="39"/>
      <c r="Q367" s="39"/>
      <c r="R367" s="39"/>
      <c r="S367" s="39"/>
      <c r="T367" s="39"/>
      <c r="U367" s="39"/>
      <c r="V367" s="39"/>
      <c r="W367" s="39"/>
      <c r="X367" s="39"/>
      <c r="Y367" s="39"/>
      <c r="Z367" s="39"/>
      <c r="AA367" s="39"/>
      <c r="AB367" s="39"/>
      <c r="AC367" s="35">
        <f t="shared" si="212"/>
        <v>0</v>
      </c>
      <c r="AD367" s="40"/>
      <c r="AE367" s="40"/>
      <c r="AF367" s="40"/>
      <c r="AG367" s="40"/>
      <c r="AH367" s="40"/>
      <c r="AI367" s="40"/>
      <c r="AJ367" s="40"/>
      <c r="AK367" s="40"/>
      <c r="AL367" s="40"/>
      <c r="AM367" s="40"/>
      <c r="AN367" s="40"/>
      <c r="AO367" s="40"/>
      <c r="AP367" s="40"/>
      <c r="AQ367" s="40"/>
      <c r="AR367" s="40"/>
      <c r="AS367" s="40"/>
      <c r="AT367" s="41"/>
      <c r="AU367" s="1806"/>
      <c r="AV367" s="1517">
        <f t="shared" ref="AV367:AV397" si="236">A367</f>
        <v>0</v>
      </c>
      <c r="AW367" s="1517">
        <f t="shared" ref="AW367:AW397" si="237">B367</f>
        <v>0</v>
      </c>
      <c r="AX367" s="1517">
        <f t="shared" ref="AX367:AX397" si="238">C367</f>
        <v>0</v>
      </c>
      <c r="AY367" s="42">
        <f t="shared" si="213"/>
        <v>0</v>
      </c>
      <c r="AZ367" s="35">
        <f t="shared" si="214"/>
        <v>0</v>
      </c>
      <c r="BA367" s="35">
        <f t="shared" si="215"/>
        <v>0</v>
      </c>
      <c r="BB367" s="35">
        <f t="shared" si="216"/>
        <v>0</v>
      </c>
      <c r="BC367" s="35">
        <f t="shared" si="217"/>
        <v>0</v>
      </c>
      <c r="BD367" s="35">
        <f t="shared" si="218"/>
        <v>0</v>
      </c>
      <c r="BE367" s="35">
        <f t="shared" si="219"/>
        <v>0</v>
      </c>
      <c r="BF367" s="35">
        <f t="shared" si="220"/>
        <v>0</v>
      </c>
      <c r="BG367" s="35">
        <f t="shared" si="221"/>
        <v>0</v>
      </c>
      <c r="BH367" s="35">
        <f t="shared" si="222"/>
        <v>0</v>
      </c>
      <c r="BI367" s="35">
        <f t="shared" si="223"/>
        <v>0</v>
      </c>
      <c r="BJ367" s="35">
        <f t="shared" si="224"/>
        <v>0</v>
      </c>
      <c r="BK367" s="35">
        <f t="shared" si="225"/>
        <v>0</v>
      </c>
      <c r="BL367" s="35">
        <f t="shared" si="226"/>
        <v>0</v>
      </c>
      <c r="BM367" s="35">
        <f t="shared" si="227"/>
        <v>0</v>
      </c>
      <c r="BN367" s="35">
        <f t="shared" si="228"/>
        <v>0</v>
      </c>
      <c r="BO367" s="35">
        <f t="shared" si="229"/>
        <v>0</v>
      </c>
      <c r="BP367" s="35">
        <f t="shared" si="230"/>
        <v>0</v>
      </c>
      <c r="BQ367" s="35">
        <f t="shared" si="231"/>
        <v>0</v>
      </c>
      <c r="BR367" s="35">
        <f t="shared" si="232"/>
        <v>0</v>
      </c>
      <c r="BS367" s="35">
        <f t="shared" si="233"/>
        <v>0</v>
      </c>
      <c r="BT367" s="43">
        <f t="shared" si="234"/>
        <v>0</v>
      </c>
    </row>
    <row r="368" spans="1:72">
      <c r="A368" s="9"/>
      <c r="B368" s="34"/>
      <c r="C368" s="34"/>
      <c r="D368" s="1805"/>
      <c r="E368" s="35">
        <f t="shared" si="235"/>
        <v>0</v>
      </c>
      <c r="F368" s="36"/>
      <c r="G368" s="37">
        <f t="shared" si="210"/>
        <v>0</v>
      </c>
      <c r="H368" s="38">
        <f t="shared" si="211"/>
        <v>0</v>
      </c>
      <c r="I368" s="39"/>
      <c r="J368" s="39"/>
      <c r="K368" s="39"/>
      <c r="L368" s="39"/>
      <c r="M368" s="39"/>
      <c r="N368" s="39"/>
      <c r="O368" s="39"/>
      <c r="P368" s="39"/>
      <c r="Q368" s="39"/>
      <c r="R368" s="39"/>
      <c r="S368" s="39"/>
      <c r="T368" s="39"/>
      <c r="U368" s="39"/>
      <c r="V368" s="39"/>
      <c r="W368" s="39"/>
      <c r="X368" s="39"/>
      <c r="Y368" s="39"/>
      <c r="Z368" s="39"/>
      <c r="AA368" s="39"/>
      <c r="AB368" s="39"/>
      <c r="AC368" s="35">
        <f t="shared" si="212"/>
        <v>0</v>
      </c>
      <c r="AD368" s="40"/>
      <c r="AE368" s="40"/>
      <c r="AF368" s="40"/>
      <c r="AG368" s="40"/>
      <c r="AH368" s="40"/>
      <c r="AI368" s="40"/>
      <c r="AJ368" s="40"/>
      <c r="AK368" s="40"/>
      <c r="AL368" s="40"/>
      <c r="AM368" s="40"/>
      <c r="AN368" s="40"/>
      <c r="AO368" s="40"/>
      <c r="AP368" s="40"/>
      <c r="AQ368" s="40"/>
      <c r="AR368" s="40"/>
      <c r="AS368" s="40"/>
      <c r="AT368" s="41"/>
      <c r="AU368" s="1806"/>
      <c r="AV368" s="1517">
        <f t="shared" si="236"/>
        <v>0</v>
      </c>
      <c r="AW368" s="1517">
        <f t="shared" si="237"/>
        <v>0</v>
      </c>
      <c r="AX368" s="1517">
        <f t="shared" si="238"/>
        <v>0</v>
      </c>
      <c r="AY368" s="42">
        <f t="shared" si="213"/>
        <v>0</v>
      </c>
      <c r="AZ368" s="35">
        <f t="shared" si="214"/>
        <v>0</v>
      </c>
      <c r="BA368" s="35">
        <f t="shared" si="215"/>
        <v>0</v>
      </c>
      <c r="BB368" s="35">
        <f t="shared" si="216"/>
        <v>0</v>
      </c>
      <c r="BC368" s="35">
        <f t="shared" si="217"/>
        <v>0</v>
      </c>
      <c r="BD368" s="35">
        <f t="shared" si="218"/>
        <v>0</v>
      </c>
      <c r="BE368" s="35">
        <f t="shared" si="219"/>
        <v>0</v>
      </c>
      <c r="BF368" s="35">
        <f t="shared" si="220"/>
        <v>0</v>
      </c>
      <c r="BG368" s="35">
        <f t="shared" si="221"/>
        <v>0</v>
      </c>
      <c r="BH368" s="35">
        <f t="shared" si="222"/>
        <v>0</v>
      </c>
      <c r="BI368" s="35">
        <f t="shared" si="223"/>
        <v>0</v>
      </c>
      <c r="BJ368" s="35">
        <f t="shared" si="224"/>
        <v>0</v>
      </c>
      <c r="BK368" s="35">
        <f t="shared" si="225"/>
        <v>0</v>
      </c>
      <c r="BL368" s="35">
        <f t="shared" si="226"/>
        <v>0</v>
      </c>
      <c r="BM368" s="35">
        <f t="shared" si="227"/>
        <v>0</v>
      </c>
      <c r="BN368" s="35">
        <f t="shared" si="228"/>
        <v>0</v>
      </c>
      <c r="BO368" s="35">
        <f t="shared" si="229"/>
        <v>0</v>
      </c>
      <c r="BP368" s="35">
        <f t="shared" si="230"/>
        <v>0</v>
      </c>
      <c r="BQ368" s="35">
        <f t="shared" si="231"/>
        <v>0</v>
      </c>
      <c r="BR368" s="35">
        <f t="shared" si="232"/>
        <v>0</v>
      </c>
      <c r="BS368" s="35">
        <f t="shared" si="233"/>
        <v>0</v>
      </c>
      <c r="BT368" s="43">
        <f t="shared" si="234"/>
        <v>0</v>
      </c>
    </row>
    <row r="369" spans="1:72">
      <c r="A369" s="9"/>
      <c r="B369" s="34"/>
      <c r="C369" s="34"/>
      <c r="D369" s="1805"/>
      <c r="E369" s="35">
        <f t="shared" si="235"/>
        <v>0</v>
      </c>
      <c r="F369" s="36"/>
      <c r="G369" s="37">
        <f t="shared" si="210"/>
        <v>0</v>
      </c>
      <c r="H369" s="38">
        <f t="shared" si="211"/>
        <v>0</v>
      </c>
      <c r="I369" s="39"/>
      <c r="J369" s="39"/>
      <c r="K369" s="39"/>
      <c r="L369" s="39"/>
      <c r="M369" s="39"/>
      <c r="N369" s="39"/>
      <c r="O369" s="39"/>
      <c r="P369" s="39"/>
      <c r="Q369" s="39"/>
      <c r="R369" s="39"/>
      <c r="S369" s="39"/>
      <c r="T369" s="39"/>
      <c r="U369" s="39"/>
      <c r="V369" s="39"/>
      <c r="W369" s="39"/>
      <c r="X369" s="39"/>
      <c r="Y369" s="39"/>
      <c r="Z369" s="39"/>
      <c r="AA369" s="39"/>
      <c r="AB369" s="39"/>
      <c r="AC369" s="35">
        <f t="shared" si="212"/>
        <v>0</v>
      </c>
      <c r="AD369" s="40"/>
      <c r="AE369" s="40"/>
      <c r="AF369" s="40"/>
      <c r="AG369" s="40"/>
      <c r="AH369" s="40"/>
      <c r="AI369" s="40"/>
      <c r="AJ369" s="40"/>
      <c r="AK369" s="40"/>
      <c r="AL369" s="40"/>
      <c r="AM369" s="40"/>
      <c r="AN369" s="40"/>
      <c r="AO369" s="40"/>
      <c r="AP369" s="40"/>
      <c r="AQ369" s="40"/>
      <c r="AR369" s="40"/>
      <c r="AS369" s="40"/>
      <c r="AT369" s="41"/>
      <c r="AU369" s="1806"/>
      <c r="AV369" s="1517">
        <f t="shared" si="236"/>
        <v>0</v>
      </c>
      <c r="AW369" s="1517">
        <f t="shared" si="237"/>
        <v>0</v>
      </c>
      <c r="AX369" s="1517">
        <f t="shared" si="238"/>
        <v>0</v>
      </c>
      <c r="AY369" s="42">
        <f t="shared" si="213"/>
        <v>0</v>
      </c>
      <c r="AZ369" s="35">
        <f t="shared" si="214"/>
        <v>0</v>
      </c>
      <c r="BA369" s="35">
        <f t="shared" si="215"/>
        <v>0</v>
      </c>
      <c r="BB369" s="35">
        <f t="shared" si="216"/>
        <v>0</v>
      </c>
      <c r="BC369" s="35">
        <f t="shared" si="217"/>
        <v>0</v>
      </c>
      <c r="BD369" s="35">
        <f t="shared" si="218"/>
        <v>0</v>
      </c>
      <c r="BE369" s="35">
        <f t="shared" si="219"/>
        <v>0</v>
      </c>
      <c r="BF369" s="35">
        <f t="shared" si="220"/>
        <v>0</v>
      </c>
      <c r="BG369" s="35">
        <f t="shared" si="221"/>
        <v>0</v>
      </c>
      <c r="BH369" s="35">
        <f t="shared" si="222"/>
        <v>0</v>
      </c>
      <c r="BI369" s="35">
        <f t="shared" si="223"/>
        <v>0</v>
      </c>
      <c r="BJ369" s="35">
        <f t="shared" si="224"/>
        <v>0</v>
      </c>
      <c r="BK369" s="35">
        <f t="shared" si="225"/>
        <v>0</v>
      </c>
      <c r="BL369" s="35">
        <f t="shared" si="226"/>
        <v>0</v>
      </c>
      <c r="BM369" s="35">
        <f t="shared" si="227"/>
        <v>0</v>
      </c>
      <c r="BN369" s="35">
        <f t="shared" si="228"/>
        <v>0</v>
      </c>
      <c r="BO369" s="35">
        <f t="shared" si="229"/>
        <v>0</v>
      </c>
      <c r="BP369" s="35">
        <f t="shared" si="230"/>
        <v>0</v>
      </c>
      <c r="BQ369" s="35">
        <f t="shared" si="231"/>
        <v>0</v>
      </c>
      <c r="BR369" s="35">
        <f t="shared" si="232"/>
        <v>0</v>
      </c>
      <c r="BS369" s="35">
        <f t="shared" si="233"/>
        <v>0</v>
      </c>
      <c r="BT369" s="43">
        <f t="shared" si="234"/>
        <v>0</v>
      </c>
    </row>
    <row r="370" spans="1:72">
      <c r="A370" s="9"/>
      <c r="B370" s="34"/>
      <c r="C370" s="34"/>
      <c r="D370" s="1805"/>
      <c r="E370" s="35">
        <f t="shared" si="235"/>
        <v>0</v>
      </c>
      <c r="F370" s="36"/>
      <c r="G370" s="37">
        <f t="shared" si="210"/>
        <v>0</v>
      </c>
      <c r="H370" s="38">
        <f t="shared" si="211"/>
        <v>0</v>
      </c>
      <c r="I370" s="39"/>
      <c r="J370" s="39"/>
      <c r="K370" s="39"/>
      <c r="L370" s="39"/>
      <c r="M370" s="39"/>
      <c r="N370" s="39"/>
      <c r="O370" s="39"/>
      <c r="P370" s="39"/>
      <c r="Q370" s="39"/>
      <c r="R370" s="39"/>
      <c r="S370" s="39"/>
      <c r="T370" s="39"/>
      <c r="U370" s="39"/>
      <c r="V370" s="39"/>
      <c r="W370" s="39"/>
      <c r="X370" s="39"/>
      <c r="Y370" s="39"/>
      <c r="Z370" s="39"/>
      <c r="AA370" s="39"/>
      <c r="AB370" s="39"/>
      <c r="AC370" s="35">
        <f t="shared" si="212"/>
        <v>0</v>
      </c>
      <c r="AD370" s="40"/>
      <c r="AE370" s="40"/>
      <c r="AF370" s="40"/>
      <c r="AG370" s="40"/>
      <c r="AH370" s="40"/>
      <c r="AI370" s="40"/>
      <c r="AJ370" s="40"/>
      <c r="AK370" s="40"/>
      <c r="AL370" s="40"/>
      <c r="AM370" s="40"/>
      <c r="AN370" s="40"/>
      <c r="AO370" s="40"/>
      <c r="AP370" s="40"/>
      <c r="AQ370" s="40"/>
      <c r="AR370" s="40"/>
      <c r="AS370" s="40"/>
      <c r="AT370" s="41"/>
      <c r="AU370" s="1806"/>
      <c r="AV370" s="1517">
        <f t="shared" si="236"/>
        <v>0</v>
      </c>
      <c r="AW370" s="1517">
        <f t="shared" si="237"/>
        <v>0</v>
      </c>
      <c r="AX370" s="1517">
        <f t="shared" si="238"/>
        <v>0</v>
      </c>
      <c r="AY370" s="42">
        <f t="shared" si="213"/>
        <v>0</v>
      </c>
      <c r="AZ370" s="35">
        <f t="shared" si="214"/>
        <v>0</v>
      </c>
      <c r="BA370" s="35">
        <f t="shared" si="215"/>
        <v>0</v>
      </c>
      <c r="BB370" s="35">
        <f t="shared" si="216"/>
        <v>0</v>
      </c>
      <c r="BC370" s="35">
        <f t="shared" si="217"/>
        <v>0</v>
      </c>
      <c r="BD370" s="35">
        <f t="shared" si="218"/>
        <v>0</v>
      </c>
      <c r="BE370" s="35">
        <f t="shared" si="219"/>
        <v>0</v>
      </c>
      <c r="BF370" s="35">
        <f t="shared" si="220"/>
        <v>0</v>
      </c>
      <c r="BG370" s="35">
        <f t="shared" si="221"/>
        <v>0</v>
      </c>
      <c r="BH370" s="35">
        <f t="shared" si="222"/>
        <v>0</v>
      </c>
      <c r="BI370" s="35">
        <f t="shared" si="223"/>
        <v>0</v>
      </c>
      <c r="BJ370" s="35">
        <f t="shared" si="224"/>
        <v>0</v>
      </c>
      <c r="BK370" s="35">
        <f t="shared" si="225"/>
        <v>0</v>
      </c>
      <c r="BL370" s="35">
        <f t="shared" si="226"/>
        <v>0</v>
      </c>
      <c r="BM370" s="35">
        <f t="shared" si="227"/>
        <v>0</v>
      </c>
      <c r="BN370" s="35">
        <f t="shared" si="228"/>
        <v>0</v>
      </c>
      <c r="BO370" s="35">
        <f t="shared" si="229"/>
        <v>0</v>
      </c>
      <c r="BP370" s="35">
        <f t="shared" si="230"/>
        <v>0</v>
      </c>
      <c r="BQ370" s="35">
        <f t="shared" si="231"/>
        <v>0</v>
      </c>
      <c r="BR370" s="35">
        <f t="shared" si="232"/>
        <v>0</v>
      </c>
      <c r="BS370" s="35">
        <f t="shared" si="233"/>
        <v>0</v>
      </c>
      <c r="BT370" s="43">
        <f t="shared" si="234"/>
        <v>0</v>
      </c>
    </row>
    <row r="371" spans="1:72">
      <c r="A371" s="9"/>
      <c r="B371" s="34"/>
      <c r="C371" s="34"/>
      <c r="D371" s="1805"/>
      <c r="E371" s="35">
        <f t="shared" si="235"/>
        <v>0</v>
      </c>
      <c r="F371" s="36"/>
      <c r="G371" s="37">
        <f t="shared" si="210"/>
        <v>0</v>
      </c>
      <c r="H371" s="38">
        <f t="shared" si="211"/>
        <v>0</v>
      </c>
      <c r="I371" s="39"/>
      <c r="J371" s="39"/>
      <c r="K371" s="39"/>
      <c r="L371" s="39"/>
      <c r="M371" s="39"/>
      <c r="N371" s="39"/>
      <c r="O371" s="39"/>
      <c r="P371" s="39"/>
      <c r="Q371" s="39"/>
      <c r="R371" s="39"/>
      <c r="S371" s="39"/>
      <c r="T371" s="39"/>
      <c r="U371" s="39"/>
      <c r="V371" s="39"/>
      <c r="W371" s="39"/>
      <c r="X371" s="39"/>
      <c r="Y371" s="39"/>
      <c r="Z371" s="39"/>
      <c r="AA371" s="39"/>
      <c r="AB371" s="39"/>
      <c r="AC371" s="35">
        <f t="shared" si="212"/>
        <v>0</v>
      </c>
      <c r="AD371" s="40"/>
      <c r="AE371" s="40"/>
      <c r="AF371" s="40"/>
      <c r="AG371" s="40"/>
      <c r="AH371" s="40"/>
      <c r="AI371" s="40"/>
      <c r="AJ371" s="40"/>
      <c r="AK371" s="40"/>
      <c r="AL371" s="40"/>
      <c r="AM371" s="40"/>
      <c r="AN371" s="40"/>
      <c r="AO371" s="40"/>
      <c r="AP371" s="40"/>
      <c r="AQ371" s="40"/>
      <c r="AR371" s="40"/>
      <c r="AS371" s="40"/>
      <c r="AT371" s="41"/>
      <c r="AU371" s="1806"/>
      <c r="AV371" s="1517">
        <f t="shared" si="236"/>
        <v>0</v>
      </c>
      <c r="AW371" s="1517">
        <f t="shared" si="237"/>
        <v>0</v>
      </c>
      <c r="AX371" s="1517">
        <f t="shared" si="238"/>
        <v>0</v>
      </c>
      <c r="AY371" s="42">
        <f t="shared" si="213"/>
        <v>0</v>
      </c>
      <c r="AZ371" s="35">
        <f t="shared" si="214"/>
        <v>0</v>
      </c>
      <c r="BA371" s="35">
        <f t="shared" si="215"/>
        <v>0</v>
      </c>
      <c r="BB371" s="35">
        <f t="shared" si="216"/>
        <v>0</v>
      </c>
      <c r="BC371" s="35">
        <f t="shared" si="217"/>
        <v>0</v>
      </c>
      <c r="BD371" s="35">
        <f t="shared" si="218"/>
        <v>0</v>
      </c>
      <c r="BE371" s="35">
        <f t="shared" si="219"/>
        <v>0</v>
      </c>
      <c r="BF371" s="35">
        <f t="shared" si="220"/>
        <v>0</v>
      </c>
      <c r="BG371" s="35">
        <f t="shared" si="221"/>
        <v>0</v>
      </c>
      <c r="BH371" s="35">
        <f t="shared" si="222"/>
        <v>0</v>
      </c>
      <c r="BI371" s="35">
        <f t="shared" si="223"/>
        <v>0</v>
      </c>
      <c r="BJ371" s="35">
        <f t="shared" si="224"/>
        <v>0</v>
      </c>
      <c r="BK371" s="35">
        <f t="shared" si="225"/>
        <v>0</v>
      </c>
      <c r="BL371" s="35">
        <f t="shared" si="226"/>
        <v>0</v>
      </c>
      <c r="BM371" s="35">
        <f t="shared" si="227"/>
        <v>0</v>
      </c>
      <c r="BN371" s="35">
        <f t="shared" si="228"/>
        <v>0</v>
      </c>
      <c r="BO371" s="35">
        <f t="shared" si="229"/>
        <v>0</v>
      </c>
      <c r="BP371" s="35">
        <f t="shared" si="230"/>
        <v>0</v>
      </c>
      <c r="BQ371" s="35">
        <f t="shared" si="231"/>
        <v>0</v>
      </c>
      <c r="BR371" s="35">
        <f t="shared" si="232"/>
        <v>0</v>
      </c>
      <c r="BS371" s="35">
        <f t="shared" si="233"/>
        <v>0</v>
      </c>
      <c r="BT371" s="43">
        <f t="shared" si="234"/>
        <v>0</v>
      </c>
    </row>
    <row r="372" spans="1:72">
      <c r="A372" s="9"/>
      <c r="B372" s="34"/>
      <c r="C372" s="34"/>
      <c r="D372" s="1805"/>
      <c r="E372" s="35">
        <f t="shared" si="235"/>
        <v>0</v>
      </c>
      <c r="F372" s="36"/>
      <c r="G372" s="37">
        <f t="shared" si="210"/>
        <v>0</v>
      </c>
      <c r="H372" s="38">
        <f t="shared" si="211"/>
        <v>0</v>
      </c>
      <c r="I372" s="39"/>
      <c r="J372" s="39"/>
      <c r="K372" s="39"/>
      <c r="L372" s="39"/>
      <c r="M372" s="39"/>
      <c r="N372" s="39"/>
      <c r="O372" s="39"/>
      <c r="P372" s="39"/>
      <c r="Q372" s="39"/>
      <c r="R372" s="39"/>
      <c r="S372" s="39"/>
      <c r="T372" s="39"/>
      <c r="U372" s="39"/>
      <c r="V372" s="39"/>
      <c r="W372" s="39"/>
      <c r="X372" s="39"/>
      <c r="Y372" s="39"/>
      <c r="Z372" s="39"/>
      <c r="AA372" s="39"/>
      <c r="AB372" s="39"/>
      <c r="AC372" s="35">
        <f t="shared" si="212"/>
        <v>0</v>
      </c>
      <c r="AD372" s="40"/>
      <c r="AE372" s="40"/>
      <c r="AF372" s="40"/>
      <c r="AG372" s="40"/>
      <c r="AH372" s="40"/>
      <c r="AI372" s="40"/>
      <c r="AJ372" s="40"/>
      <c r="AK372" s="40"/>
      <c r="AL372" s="40"/>
      <c r="AM372" s="40"/>
      <c r="AN372" s="40"/>
      <c r="AO372" s="40"/>
      <c r="AP372" s="40"/>
      <c r="AQ372" s="40"/>
      <c r="AR372" s="40"/>
      <c r="AS372" s="40"/>
      <c r="AT372" s="41"/>
      <c r="AU372" s="1806"/>
      <c r="AV372" s="1517">
        <f t="shared" si="236"/>
        <v>0</v>
      </c>
      <c r="AW372" s="1517">
        <f t="shared" si="237"/>
        <v>0</v>
      </c>
      <c r="AX372" s="1517">
        <f t="shared" si="238"/>
        <v>0</v>
      </c>
      <c r="AY372" s="42">
        <f t="shared" si="213"/>
        <v>0</v>
      </c>
      <c r="AZ372" s="35">
        <f t="shared" si="214"/>
        <v>0</v>
      </c>
      <c r="BA372" s="35">
        <f t="shared" si="215"/>
        <v>0</v>
      </c>
      <c r="BB372" s="35">
        <f t="shared" si="216"/>
        <v>0</v>
      </c>
      <c r="BC372" s="35">
        <f t="shared" si="217"/>
        <v>0</v>
      </c>
      <c r="BD372" s="35">
        <f t="shared" si="218"/>
        <v>0</v>
      </c>
      <c r="BE372" s="35">
        <f t="shared" si="219"/>
        <v>0</v>
      </c>
      <c r="BF372" s="35">
        <f t="shared" si="220"/>
        <v>0</v>
      </c>
      <c r="BG372" s="35">
        <f t="shared" si="221"/>
        <v>0</v>
      </c>
      <c r="BH372" s="35">
        <f t="shared" si="222"/>
        <v>0</v>
      </c>
      <c r="BI372" s="35">
        <f t="shared" si="223"/>
        <v>0</v>
      </c>
      <c r="BJ372" s="35">
        <f t="shared" si="224"/>
        <v>0</v>
      </c>
      <c r="BK372" s="35">
        <f t="shared" si="225"/>
        <v>0</v>
      </c>
      <c r="BL372" s="35">
        <f t="shared" si="226"/>
        <v>0</v>
      </c>
      <c r="BM372" s="35">
        <f t="shared" si="227"/>
        <v>0</v>
      </c>
      <c r="BN372" s="35">
        <f t="shared" si="228"/>
        <v>0</v>
      </c>
      <c r="BO372" s="35">
        <f t="shared" si="229"/>
        <v>0</v>
      </c>
      <c r="BP372" s="35">
        <f t="shared" si="230"/>
        <v>0</v>
      </c>
      <c r="BQ372" s="35">
        <f t="shared" si="231"/>
        <v>0</v>
      </c>
      <c r="BR372" s="35">
        <f t="shared" si="232"/>
        <v>0</v>
      </c>
      <c r="BS372" s="35">
        <f t="shared" si="233"/>
        <v>0</v>
      </c>
      <c r="BT372" s="43">
        <f t="shared" si="234"/>
        <v>0</v>
      </c>
    </row>
    <row r="373" spans="1:72">
      <c r="A373" s="9"/>
      <c r="B373" s="34"/>
      <c r="C373" s="34"/>
      <c r="D373" s="1805"/>
      <c r="E373" s="35">
        <f t="shared" si="235"/>
        <v>0</v>
      </c>
      <c r="F373" s="36"/>
      <c r="G373" s="37">
        <f t="shared" si="210"/>
        <v>0</v>
      </c>
      <c r="H373" s="38">
        <f t="shared" si="211"/>
        <v>0</v>
      </c>
      <c r="I373" s="39"/>
      <c r="J373" s="39"/>
      <c r="K373" s="39"/>
      <c r="L373" s="39"/>
      <c r="M373" s="39"/>
      <c r="N373" s="39"/>
      <c r="O373" s="39"/>
      <c r="P373" s="39"/>
      <c r="Q373" s="39"/>
      <c r="R373" s="39"/>
      <c r="S373" s="39"/>
      <c r="T373" s="39"/>
      <c r="U373" s="39"/>
      <c r="V373" s="39"/>
      <c r="W373" s="39"/>
      <c r="X373" s="39"/>
      <c r="Y373" s="39"/>
      <c r="Z373" s="39"/>
      <c r="AA373" s="39"/>
      <c r="AB373" s="39"/>
      <c r="AC373" s="35">
        <f t="shared" si="212"/>
        <v>0</v>
      </c>
      <c r="AD373" s="40"/>
      <c r="AE373" s="40"/>
      <c r="AF373" s="40"/>
      <c r="AG373" s="40"/>
      <c r="AH373" s="40"/>
      <c r="AI373" s="40"/>
      <c r="AJ373" s="40"/>
      <c r="AK373" s="40"/>
      <c r="AL373" s="40"/>
      <c r="AM373" s="40"/>
      <c r="AN373" s="40"/>
      <c r="AO373" s="40"/>
      <c r="AP373" s="40"/>
      <c r="AQ373" s="40"/>
      <c r="AR373" s="40"/>
      <c r="AS373" s="40"/>
      <c r="AT373" s="41"/>
      <c r="AU373" s="1806"/>
      <c r="AV373" s="1517">
        <f t="shared" si="236"/>
        <v>0</v>
      </c>
      <c r="AW373" s="1517">
        <f t="shared" si="237"/>
        <v>0</v>
      </c>
      <c r="AX373" s="1517">
        <f t="shared" si="238"/>
        <v>0</v>
      </c>
      <c r="AY373" s="42">
        <f t="shared" si="213"/>
        <v>0</v>
      </c>
      <c r="AZ373" s="35">
        <f t="shared" si="214"/>
        <v>0</v>
      </c>
      <c r="BA373" s="35">
        <f t="shared" si="215"/>
        <v>0</v>
      </c>
      <c r="BB373" s="35">
        <f t="shared" si="216"/>
        <v>0</v>
      </c>
      <c r="BC373" s="35">
        <f t="shared" si="217"/>
        <v>0</v>
      </c>
      <c r="BD373" s="35">
        <f t="shared" si="218"/>
        <v>0</v>
      </c>
      <c r="BE373" s="35">
        <f t="shared" si="219"/>
        <v>0</v>
      </c>
      <c r="BF373" s="35">
        <f t="shared" si="220"/>
        <v>0</v>
      </c>
      <c r="BG373" s="35">
        <f t="shared" si="221"/>
        <v>0</v>
      </c>
      <c r="BH373" s="35">
        <f t="shared" si="222"/>
        <v>0</v>
      </c>
      <c r="BI373" s="35">
        <f t="shared" si="223"/>
        <v>0</v>
      </c>
      <c r="BJ373" s="35">
        <f t="shared" si="224"/>
        <v>0</v>
      </c>
      <c r="BK373" s="35">
        <f t="shared" si="225"/>
        <v>0</v>
      </c>
      <c r="BL373" s="35">
        <f t="shared" si="226"/>
        <v>0</v>
      </c>
      <c r="BM373" s="35">
        <f t="shared" si="227"/>
        <v>0</v>
      </c>
      <c r="BN373" s="35">
        <f t="shared" si="228"/>
        <v>0</v>
      </c>
      <c r="BO373" s="35">
        <f t="shared" si="229"/>
        <v>0</v>
      </c>
      <c r="BP373" s="35">
        <f t="shared" si="230"/>
        <v>0</v>
      </c>
      <c r="BQ373" s="35">
        <f t="shared" si="231"/>
        <v>0</v>
      </c>
      <c r="BR373" s="35">
        <f t="shared" si="232"/>
        <v>0</v>
      </c>
      <c r="BS373" s="35">
        <f t="shared" si="233"/>
        <v>0</v>
      </c>
      <c r="BT373" s="43">
        <f t="shared" si="234"/>
        <v>0</v>
      </c>
    </row>
    <row r="374" spans="1:72">
      <c r="A374" s="9"/>
      <c r="B374" s="34"/>
      <c r="C374" s="34"/>
      <c r="D374" s="1805"/>
      <c r="E374" s="35">
        <f t="shared" si="235"/>
        <v>0</v>
      </c>
      <c r="F374" s="36"/>
      <c r="G374" s="37">
        <f t="shared" si="210"/>
        <v>0</v>
      </c>
      <c r="H374" s="38">
        <f t="shared" si="211"/>
        <v>0</v>
      </c>
      <c r="I374" s="39"/>
      <c r="J374" s="39"/>
      <c r="K374" s="39"/>
      <c r="L374" s="39"/>
      <c r="M374" s="39"/>
      <c r="N374" s="39"/>
      <c r="O374" s="39"/>
      <c r="P374" s="39"/>
      <c r="Q374" s="39"/>
      <c r="R374" s="39"/>
      <c r="S374" s="39"/>
      <c r="T374" s="39"/>
      <c r="U374" s="39"/>
      <c r="V374" s="39"/>
      <c r="W374" s="39"/>
      <c r="X374" s="39"/>
      <c r="Y374" s="39"/>
      <c r="Z374" s="39"/>
      <c r="AA374" s="39"/>
      <c r="AB374" s="39"/>
      <c r="AC374" s="35">
        <f t="shared" si="212"/>
        <v>0</v>
      </c>
      <c r="AD374" s="40"/>
      <c r="AE374" s="40"/>
      <c r="AF374" s="40"/>
      <c r="AG374" s="40"/>
      <c r="AH374" s="40"/>
      <c r="AI374" s="40"/>
      <c r="AJ374" s="40"/>
      <c r="AK374" s="40"/>
      <c r="AL374" s="40"/>
      <c r="AM374" s="40"/>
      <c r="AN374" s="40"/>
      <c r="AO374" s="40"/>
      <c r="AP374" s="40"/>
      <c r="AQ374" s="40"/>
      <c r="AR374" s="40"/>
      <c r="AS374" s="40"/>
      <c r="AT374" s="41"/>
      <c r="AU374" s="1806"/>
      <c r="AV374" s="1517">
        <f t="shared" si="236"/>
        <v>0</v>
      </c>
      <c r="AW374" s="1517">
        <f t="shared" si="237"/>
        <v>0</v>
      </c>
      <c r="AX374" s="1517">
        <f t="shared" si="238"/>
        <v>0</v>
      </c>
      <c r="AY374" s="42">
        <f t="shared" si="213"/>
        <v>0</v>
      </c>
      <c r="AZ374" s="35">
        <f t="shared" si="214"/>
        <v>0</v>
      </c>
      <c r="BA374" s="35">
        <f t="shared" si="215"/>
        <v>0</v>
      </c>
      <c r="BB374" s="35">
        <f t="shared" si="216"/>
        <v>0</v>
      </c>
      <c r="BC374" s="35">
        <f t="shared" si="217"/>
        <v>0</v>
      </c>
      <c r="BD374" s="35">
        <f t="shared" si="218"/>
        <v>0</v>
      </c>
      <c r="BE374" s="35">
        <f t="shared" si="219"/>
        <v>0</v>
      </c>
      <c r="BF374" s="35">
        <f t="shared" si="220"/>
        <v>0</v>
      </c>
      <c r="BG374" s="35">
        <f t="shared" si="221"/>
        <v>0</v>
      </c>
      <c r="BH374" s="35">
        <f t="shared" si="222"/>
        <v>0</v>
      </c>
      <c r="BI374" s="35">
        <f t="shared" si="223"/>
        <v>0</v>
      </c>
      <c r="BJ374" s="35">
        <f t="shared" si="224"/>
        <v>0</v>
      </c>
      <c r="BK374" s="35">
        <f t="shared" si="225"/>
        <v>0</v>
      </c>
      <c r="BL374" s="35">
        <f t="shared" si="226"/>
        <v>0</v>
      </c>
      <c r="BM374" s="35">
        <f t="shared" si="227"/>
        <v>0</v>
      </c>
      <c r="BN374" s="35">
        <f t="shared" si="228"/>
        <v>0</v>
      </c>
      <c r="BO374" s="35">
        <f t="shared" si="229"/>
        <v>0</v>
      </c>
      <c r="BP374" s="35">
        <f t="shared" si="230"/>
        <v>0</v>
      </c>
      <c r="BQ374" s="35">
        <f t="shared" si="231"/>
        <v>0</v>
      </c>
      <c r="BR374" s="35">
        <f t="shared" si="232"/>
        <v>0</v>
      </c>
      <c r="BS374" s="35">
        <f t="shared" si="233"/>
        <v>0</v>
      </c>
      <c r="BT374" s="43">
        <f t="shared" si="234"/>
        <v>0</v>
      </c>
    </row>
    <row r="375" spans="1:72">
      <c r="A375" s="9"/>
      <c r="B375" s="34"/>
      <c r="C375" s="34"/>
      <c r="D375" s="1805"/>
      <c r="E375" s="35">
        <f t="shared" si="235"/>
        <v>0</v>
      </c>
      <c r="F375" s="36"/>
      <c r="G375" s="37">
        <f t="shared" si="210"/>
        <v>0</v>
      </c>
      <c r="H375" s="38">
        <f t="shared" si="211"/>
        <v>0</v>
      </c>
      <c r="I375" s="39"/>
      <c r="J375" s="39"/>
      <c r="K375" s="39"/>
      <c r="L375" s="39"/>
      <c r="M375" s="39"/>
      <c r="N375" s="39"/>
      <c r="O375" s="39"/>
      <c r="P375" s="39"/>
      <c r="Q375" s="39"/>
      <c r="R375" s="39"/>
      <c r="S375" s="39"/>
      <c r="T375" s="39"/>
      <c r="U375" s="39"/>
      <c r="V375" s="39"/>
      <c r="W375" s="39"/>
      <c r="X375" s="39"/>
      <c r="Y375" s="39"/>
      <c r="Z375" s="39"/>
      <c r="AA375" s="39"/>
      <c r="AB375" s="39"/>
      <c r="AC375" s="35">
        <f t="shared" si="212"/>
        <v>0</v>
      </c>
      <c r="AD375" s="40"/>
      <c r="AE375" s="40"/>
      <c r="AF375" s="40"/>
      <c r="AG375" s="40"/>
      <c r="AH375" s="40"/>
      <c r="AI375" s="40"/>
      <c r="AJ375" s="40"/>
      <c r="AK375" s="40"/>
      <c r="AL375" s="40"/>
      <c r="AM375" s="40"/>
      <c r="AN375" s="40"/>
      <c r="AO375" s="40"/>
      <c r="AP375" s="40"/>
      <c r="AQ375" s="40"/>
      <c r="AR375" s="40"/>
      <c r="AS375" s="40"/>
      <c r="AT375" s="41"/>
      <c r="AU375" s="1806"/>
      <c r="AV375" s="1517">
        <f t="shared" si="236"/>
        <v>0</v>
      </c>
      <c r="AW375" s="1517">
        <f t="shared" si="237"/>
        <v>0</v>
      </c>
      <c r="AX375" s="1517">
        <f t="shared" si="238"/>
        <v>0</v>
      </c>
      <c r="AY375" s="42">
        <f t="shared" si="213"/>
        <v>0</v>
      </c>
      <c r="AZ375" s="35">
        <f t="shared" si="214"/>
        <v>0</v>
      </c>
      <c r="BA375" s="35">
        <f t="shared" si="215"/>
        <v>0</v>
      </c>
      <c r="BB375" s="35">
        <f t="shared" si="216"/>
        <v>0</v>
      </c>
      <c r="BC375" s="35">
        <f t="shared" si="217"/>
        <v>0</v>
      </c>
      <c r="BD375" s="35">
        <f t="shared" si="218"/>
        <v>0</v>
      </c>
      <c r="BE375" s="35">
        <f t="shared" si="219"/>
        <v>0</v>
      </c>
      <c r="BF375" s="35">
        <f t="shared" si="220"/>
        <v>0</v>
      </c>
      <c r="BG375" s="35">
        <f t="shared" si="221"/>
        <v>0</v>
      </c>
      <c r="BH375" s="35">
        <f t="shared" si="222"/>
        <v>0</v>
      </c>
      <c r="BI375" s="35">
        <f t="shared" si="223"/>
        <v>0</v>
      </c>
      <c r="BJ375" s="35">
        <f t="shared" si="224"/>
        <v>0</v>
      </c>
      <c r="BK375" s="35">
        <f t="shared" si="225"/>
        <v>0</v>
      </c>
      <c r="BL375" s="35">
        <f t="shared" si="226"/>
        <v>0</v>
      </c>
      <c r="BM375" s="35">
        <f t="shared" si="227"/>
        <v>0</v>
      </c>
      <c r="BN375" s="35">
        <f t="shared" si="228"/>
        <v>0</v>
      </c>
      <c r="BO375" s="35">
        <f t="shared" si="229"/>
        <v>0</v>
      </c>
      <c r="BP375" s="35">
        <f t="shared" si="230"/>
        <v>0</v>
      </c>
      <c r="BQ375" s="35">
        <f t="shared" si="231"/>
        <v>0</v>
      </c>
      <c r="BR375" s="35">
        <f t="shared" si="232"/>
        <v>0</v>
      </c>
      <c r="BS375" s="35">
        <f t="shared" si="233"/>
        <v>0</v>
      </c>
      <c r="BT375" s="43">
        <f t="shared" si="234"/>
        <v>0</v>
      </c>
    </row>
    <row r="376" spans="1:72">
      <c r="A376" s="9"/>
      <c r="B376" s="34"/>
      <c r="C376" s="34"/>
      <c r="D376" s="1805"/>
      <c r="E376" s="35">
        <f t="shared" si="235"/>
        <v>0</v>
      </c>
      <c r="F376" s="36"/>
      <c r="G376" s="37">
        <f t="shared" si="210"/>
        <v>0</v>
      </c>
      <c r="H376" s="38">
        <f t="shared" si="211"/>
        <v>0</v>
      </c>
      <c r="I376" s="39"/>
      <c r="J376" s="39"/>
      <c r="K376" s="39"/>
      <c r="L376" s="39"/>
      <c r="M376" s="39"/>
      <c r="N376" s="39"/>
      <c r="O376" s="39"/>
      <c r="P376" s="39"/>
      <c r="Q376" s="39"/>
      <c r="R376" s="39"/>
      <c r="S376" s="39"/>
      <c r="T376" s="39"/>
      <c r="U376" s="39"/>
      <c r="V376" s="39"/>
      <c r="W376" s="39"/>
      <c r="X376" s="39"/>
      <c r="Y376" s="39"/>
      <c r="Z376" s="39"/>
      <c r="AA376" s="39"/>
      <c r="AB376" s="39"/>
      <c r="AC376" s="35">
        <f t="shared" si="212"/>
        <v>0</v>
      </c>
      <c r="AD376" s="40"/>
      <c r="AE376" s="40"/>
      <c r="AF376" s="40"/>
      <c r="AG376" s="40"/>
      <c r="AH376" s="40"/>
      <c r="AI376" s="40"/>
      <c r="AJ376" s="40"/>
      <c r="AK376" s="40"/>
      <c r="AL376" s="40"/>
      <c r="AM376" s="40"/>
      <c r="AN376" s="40"/>
      <c r="AO376" s="40"/>
      <c r="AP376" s="40"/>
      <c r="AQ376" s="40"/>
      <c r="AR376" s="40"/>
      <c r="AS376" s="40"/>
      <c r="AT376" s="41"/>
      <c r="AU376" s="1806"/>
      <c r="AV376" s="1517">
        <f t="shared" si="236"/>
        <v>0</v>
      </c>
      <c r="AW376" s="1517">
        <f t="shared" si="237"/>
        <v>0</v>
      </c>
      <c r="AX376" s="1517">
        <f t="shared" si="238"/>
        <v>0</v>
      </c>
      <c r="AY376" s="42">
        <f t="shared" si="213"/>
        <v>0</v>
      </c>
      <c r="AZ376" s="35">
        <f t="shared" si="214"/>
        <v>0</v>
      </c>
      <c r="BA376" s="35">
        <f t="shared" si="215"/>
        <v>0</v>
      </c>
      <c r="BB376" s="35">
        <f t="shared" si="216"/>
        <v>0</v>
      </c>
      <c r="BC376" s="35">
        <f t="shared" si="217"/>
        <v>0</v>
      </c>
      <c r="BD376" s="35">
        <f t="shared" si="218"/>
        <v>0</v>
      </c>
      <c r="BE376" s="35">
        <f t="shared" si="219"/>
        <v>0</v>
      </c>
      <c r="BF376" s="35">
        <f t="shared" si="220"/>
        <v>0</v>
      </c>
      <c r="BG376" s="35">
        <f t="shared" si="221"/>
        <v>0</v>
      </c>
      <c r="BH376" s="35">
        <f t="shared" si="222"/>
        <v>0</v>
      </c>
      <c r="BI376" s="35">
        <f t="shared" si="223"/>
        <v>0</v>
      </c>
      <c r="BJ376" s="35">
        <f t="shared" si="224"/>
        <v>0</v>
      </c>
      <c r="BK376" s="35">
        <f t="shared" si="225"/>
        <v>0</v>
      </c>
      <c r="BL376" s="35">
        <f t="shared" si="226"/>
        <v>0</v>
      </c>
      <c r="BM376" s="35">
        <f t="shared" si="227"/>
        <v>0</v>
      </c>
      <c r="BN376" s="35">
        <f t="shared" si="228"/>
        <v>0</v>
      </c>
      <c r="BO376" s="35">
        <f t="shared" si="229"/>
        <v>0</v>
      </c>
      <c r="BP376" s="35">
        <f t="shared" si="230"/>
        <v>0</v>
      </c>
      <c r="BQ376" s="35">
        <f t="shared" si="231"/>
        <v>0</v>
      </c>
      <c r="BR376" s="35">
        <f t="shared" si="232"/>
        <v>0</v>
      </c>
      <c r="BS376" s="35">
        <f t="shared" si="233"/>
        <v>0</v>
      </c>
      <c r="BT376" s="43">
        <f t="shared" si="234"/>
        <v>0</v>
      </c>
    </row>
    <row r="377" spans="1:72">
      <c r="A377" s="9"/>
      <c r="B377" s="34"/>
      <c r="C377" s="34"/>
      <c r="D377" s="1805"/>
      <c r="E377" s="35">
        <f t="shared" si="235"/>
        <v>0</v>
      </c>
      <c r="F377" s="36"/>
      <c r="G377" s="37">
        <f t="shared" si="210"/>
        <v>0</v>
      </c>
      <c r="H377" s="38">
        <f t="shared" si="211"/>
        <v>0</v>
      </c>
      <c r="I377" s="39"/>
      <c r="J377" s="39"/>
      <c r="K377" s="39"/>
      <c r="L377" s="39"/>
      <c r="M377" s="39"/>
      <c r="N377" s="39"/>
      <c r="O377" s="39"/>
      <c r="P377" s="39"/>
      <c r="Q377" s="39"/>
      <c r="R377" s="39"/>
      <c r="S377" s="39"/>
      <c r="T377" s="39"/>
      <c r="U377" s="39"/>
      <c r="V377" s="39"/>
      <c r="W377" s="39"/>
      <c r="X377" s="39"/>
      <c r="Y377" s="39"/>
      <c r="Z377" s="39"/>
      <c r="AA377" s="39"/>
      <c r="AB377" s="39"/>
      <c r="AC377" s="35">
        <f t="shared" si="212"/>
        <v>0</v>
      </c>
      <c r="AD377" s="40"/>
      <c r="AE377" s="40"/>
      <c r="AF377" s="40"/>
      <c r="AG377" s="40"/>
      <c r="AH377" s="40"/>
      <c r="AI377" s="40"/>
      <c r="AJ377" s="40"/>
      <c r="AK377" s="40"/>
      <c r="AL377" s="40"/>
      <c r="AM377" s="40"/>
      <c r="AN377" s="40"/>
      <c r="AO377" s="40"/>
      <c r="AP377" s="40"/>
      <c r="AQ377" s="40"/>
      <c r="AR377" s="40"/>
      <c r="AS377" s="40"/>
      <c r="AT377" s="41"/>
      <c r="AU377" s="1806"/>
      <c r="AV377" s="1517">
        <f t="shared" si="236"/>
        <v>0</v>
      </c>
      <c r="AW377" s="1517">
        <f t="shared" si="237"/>
        <v>0</v>
      </c>
      <c r="AX377" s="1517">
        <f t="shared" si="238"/>
        <v>0</v>
      </c>
      <c r="AY377" s="42">
        <f t="shared" si="213"/>
        <v>0</v>
      </c>
      <c r="AZ377" s="35">
        <f t="shared" si="214"/>
        <v>0</v>
      </c>
      <c r="BA377" s="35">
        <f t="shared" si="215"/>
        <v>0</v>
      </c>
      <c r="BB377" s="35">
        <f t="shared" si="216"/>
        <v>0</v>
      </c>
      <c r="BC377" s="35">
        <f t="shared" si="217"/>
        <v>0</v>
      </c>
      <c r="BD377" s="35">
        <f t="shared" si="218"/>
        <v>0</v>
      </c>
      <c r="BE377" s="35">
        <f t="shared" si="219"/>
        <v>0</v>
      </c>
      <c r="BF377" s="35">
        <f t="shared" si="220"/>
        <v>0</v>
      </c>
      <c r="BG377" s="35">
        <f t="shared" si="221"/>
        <v>0</v>
      </c>
      <c r="BH377" s="35">
        <f t="shared" si="222"/>
        <v>0</v>
      </c>
      <c r="BI377" s="35">
        <f t="shared" si="223"/>
        <v>0</v>
      </c>
      <c r="BJ377" s="35">
        <f t="shared" si="224"/>
        <v>0</v>
      </c>
      <c r="BK377" s="35">
        <f t="shared" si="225"/>
        <v>0</v>
      </c>
      <c r="BL377" s="35">
        <f t="shared" si="226"/>
        <v>0</v>
      </c>
      <c r="BM377" s="35">
        <f t="shared" si="227"/>
        <v>0</v>
      </c>
      <c r="BN377" s="35">
        <f t="shared" si="228"/>
        <v>0</v>
      </c>
      <c r="BO377" s="35">
        <f t="shared" si="229"/>
        <v>0</v>
      </c>
      <c r="BP377" s="35">
        <f t="shared" si="230"/>
        <v>0</v>
      </c>
      <c r="BQ377" s="35">
        <f t="shared" si="231"/>
        <v>0</v>
      </c>
      <c r="BR377" s="35">
        <f t="shared" si="232"/>
        <v>0</v>
      </c>
      <c r="BS377" s="35">
        <f t="shared" si="233"/>
        <v>0</v>
      </c>
      <c r="BT377" s="43">
        <f t="shared" si="234"/>
        <v>0</v>
      </c>
    </row>
    <row r="378" spans="1:72">
      <c r="A378" s="9"/>
      <c r="B378" s="34"/>
      <c r="C378" s="34"/>
      <c r="D378" s="1805"/>
      <c r="E378" s="35">
        <f t="shared" si="235"/>
        <v>0</v>
      </c>
      <c r="F378" s="36"/>
      <c r="G378" s="37">
        <f t="shared" si="210"/>
        <v>0</v>
      </c>
      <c r="H378" s="38">
        <f t="shared" si="211"/>
        <v>0</v>
      </c>
      <c r="I378" s="39"/>
      <c r="J378" s="39"/>
      <c r="K378" s="39"/>
      <c r="L378" s="39"/>
      <c r="M378" s="39"/>
      <c r="N378" s="39"/>
      <c r="O378" s="39"/>
      <c r="P378" s="39"/>
      <c r="Q378" s="39"/>
      <c r="R378" s="39"/>
      <c r="S378" s="39"/>
      <c r="T378" s="39"/>
      <c r="U378" s="39"/>
      <c r="V378" s="39"/>
      <c r="W378" s="39"/>
      <c r="X378" s="39"/>
      <c r="Y378" s="39"/>
      <c r="Z378" s="39"/>
      <c r="AA378" s="39"/>
      <c r="AB378" s="39"/>
      <c r="AC378" s="35">
        <f t="shared" si="212"/>
        <v>0</v>
      </c>
      <c r="AD378" s="40"/>
      <c r="AE378" s="40"/>
      <c r="AF378" s="40"/>
      <c r="AG378" s="40"/>
      <c r="AH378" s="40"/>
      <c r="AI378" s="40"/>
      <c r="AJ378" s="40"/>
      <c r="AK378" s="40"/>
      <c r="AL378" s="40"/>
      <c r="AM378" s="40"/>
      <c r="AN378" s="40"/>
      <c r="AO378" s="40"/>
      <c r="AP378" s="40"/>
      <c r="AQ378" s="40"/>
      <c r="AR378" s="40"/>
      <c r="AS378" s="40"/>
      <c r="AT378" s="41"/>
      <c r="AU378" s="1806"/>
      <c r="AV378" s="1517">
        <f t="shared" si="236"/>
        <v>0</v>
      </c>
      <c r="AW378" s="1517">
        <f t="shared" si="237"/>
        <v>0</v>
      </c>
      <c r="AX378" s="1517">
        <f t="shared" si="238"/>
        <v>0</v>
      </c>
      <c r="AY378" s="42">
        <f t="shared" si="213"/>
        <v>0</v>
      </c>
      <c r="AZ378" s="35">
        <f t="shared" si="214"/>
        <v>0</v>
      </c>
      <c r="BA378" s="35">
        <f t="shared" si="215"/>
        <v>0</v>
      </c>
      <c r="BB378" s="35">
        <f t="shared" si="216"/>
        <v>0</v>
      </c>
      <c r="BC378" s="35">
        <f t="shared" si="217"/>
        <v>0</v>
      </c>
      <c r="BD378" s="35">
        <f t="shared" si="218"/>
        <v>0</v>
      </c>
      <c r="BE378" s="35">
        <f t="shared" si="219"/>
        <v>0</v>
      </c>
      <c r="BF378" s="35">
        <f t="shared" si="220"/>
        <v>0</v>
      </c>
      <c r="BG378" s="35">
        <f t="shared" si="221"/>
        <v>0</v>
      </c>
      <c r="BH378" s="35">
        <f t="shared" si="222"/>
        <v>0</v>
      </c>
      <c r="BI378" s="35">
        <f t="shared" si="223"/>
        <v>0</v>
      </c>
      <c r="BJ378" s="35">
        <f t="shared" si="224"/>
        <v>0</v>
      </c>
      <c r="BK378" s="35">
        <f t="shared" si="225"/>
        <v>0</v>
      </c>
      <c r="BL378" s="35">
        <f t="shared" si="226"/>
        <v>0</v>
      </c>
      <c r="BM378" s="35">
        <f t="shared" si="227"/>
        <v>0</v>
      </c>
      <c r="BN378" s="35">
        <f t="shared" si="228"/>
        <v>0</v>
      </c>
      <c r="BO378" s="35">
        <f t="shared" si="229"/>
        <v>0</v>
      </c>
      <c r="BP378" s="35">
        <f t="shared" si="230"/>
        <v>0</v>
      </c>
      <c r="BQ378" s="35">
        <f t="shared" si="231"/>
        <v>0</v>
      </c>
      <c r="BR378" s="35">
        <f t="shared" si="232"/>
        <v>0</v>
      </c>
      <c r="BS378" s="35">
        <f t="shared" si="233"/>
        <v>0</v>
      </c>
      <c r="BT378" s="43">
        <f t="shared" si="234"/>
        <v>0</v>
      </c>
    </row>
    <row r="379" spans="1:72">
      <c r="A379" s="9"/>
      <c r="B379" s="34"/>
      <c r="C379" s="34"/>
      <c r="D379" s="1805"/>
      <c r="E379" s="35">
        <f t="shared" si="235"/>
        <v>0</v>
      </c>
      <c r="F379" s="36"/>
      <c r="G379" s="37">
        <f t="shared" si="210"/>
        <v>0</v>
      </c>
      <c r="H379" s="38">
        <f t="shared" si="211"/>
        <v>0</v>
      </c>
      <c r="I379" s="39"/>
      <c r="J379" s="39"/>
      <c r="K379" s="39"/>
      <c r="L379" s="39"/>
      <c r="M379" s="39"/>
      <c r="N379" s="39"/>
      <c r="O379" s="39"/>
      <c r="P379" s="39"/>
      <c r="Q379" s="39"/>
      <c r="R379" s="39"/>
      <c r="S379" s="39"/>
      <c r="T379" s="39"/>
      <c r="U379" s="39"/>
      <c r="V379" s="39"/>
      <c r="W379" s="39"/>
      <c r="X379" s="39"/>
      <c r="Y379" s="39"/>
      <c r="Z379" s="39"/>
      <c r="AA379" s="39"/>
      <c r="AB379" s="39"/>
      <c r="AC379" s="35">
        <f t="shared" si="212"/>
        <v>0</v>
      </c>
      <c r="AD379" s="40"/>
      <c r="AE379" s="40"/>
      <c r="AF379" s="40"/>
      <c r="AG379" s="40"/>
      <c r="AH379" s="40"/>
      <c r="AI379" s="40"/>
      <c r="AJ379" s="40"/>
      <c r="AK379" s="40"/>
      <c r="AL379" s="40"/>
      <c r="AM379" s="40"/>
      <c r="AN379" s="40"/>
      <c r="AO379" s="40"/>
      <c r="AP379" s="40"/>
      <c r="AQ379" s="40"/>
      <c r="AR379" s="40"/>
      <c r="AS379" s="40"/>
      <c r="AT379" s="41"/>
      <c r="AU379" s="1806"/>
      <c r="AV379" s="1517">
        <f t="shared" si="236"/>
        <v>0</v>
      </c>
      <c r="AW379" s="1517">
        <f t="shared" si="237"/>
        <v>0</v>
      </c>
      <c r="AX379" s="1517">
        <f t="shared" si="238"/>
        <v>0</v>
      </c>
      <c r="AY379" s="42">
        <f t="shared" si="213"/>
        <v>0</v>
      </c>
      <c r="AZ379" s="35">
        <f t="shared" si="214"/>
        <v>0</v>
      </c>
      <c r="BA379" s="35">
        <f t="shared" si="215"/>
        <v>0</v>
      </c>
      <c r="BB379" s="35">
        <f t="shared" si="216"/>
        <v>0</v>
      </c>
      <c r="BC379" s="35">
        <f t="shared" si="217"/>
        <v>0</v>
      </c>
      <c r="BD379" s="35">
        <f t="shared" si="218"/>
        <v>0</v>
      </c>
      <c r="BE379" s="35">
        <f t="shared" si="219"/>
        <v>0</v>
      </c>
      <c r="BF379" s="35">
        <f t="shared" si="220"/>
        <v>0</v>
      </c>
      <c r="BG379" s="35">
        <f t="shared" si="221"/>
        <v>0</v>
      </c>
      <c r="BH379" s="35">
        <f t="shared" si="222"/>
        <v>0</v>
      </c>
      <c r="BI379" s="35">
        <f t="shared" si="223"/>
        <v>0</v>
      </c>
      <c r="BJ379" s="35">
        <f t="shared" si="224"/>
        <v>0</v>
      </c>
      <c r="BK379" s="35">
        <f t="shared" si="225"/>
        <v>0</v>
      </c>
      <c r="BL379" s="35">
        <f t="shared" si="226"/>
        <v>0</v>
      </c>
      <c r="BM379" s="35">
        <f t="shared" si="227"/>
        <v>0</v>
      </c>
      <c r="BN379" s="35">
        <f t="shared" si="228"/>
        <v>0</v>
      </c>
      <c r="BO379" s="35">
        <f t="shared" si="229"/>
        <v>0</v>
      </c>
      <c r="BP379" s="35">
        <f t="shared" si="230"/>
        <v>0</v>
      </c>
      <c r="BQ379" s="35">
        <f t="shared" si="231"/>
        <v>0</v>
      </c>
      <c r="BR379" s="35">
        <f t="shared" si="232"/>
        <v>0</v>
      </c>
      <c r="BS379" s="35">
        <f t="shared" si="233"/>
        <v>0</v>
      </c>
      <c r="BT379" s="43">
        <f t="shared" si="234"/>
        <v>0</v>
      </c>
    </row>
    <row r="380" spans="1:72">
      <c r="A380" s="9"/>
      <c r="B380" s="34"/>
      <c r="C380" s="34"/>
      <c r="D380" s="1805"/>
      <c r="E380" s="35">
        <f t="shared" si="235"/>
        <v>0</v>
      </c>
      <c r="F380" s="36"/>
      <c r="G380" s="37">
        <f t="shared" si="210"/>
        <v>0</v>
      </c>
      <c r="H380" s="38">
        <f t="shared" si="211"/>
        <v>0</v>
      </c>
      <c r="I380" s="39"/>
      <c r="J380" s="39"/>
      <c r="K380" s="39"/>
      <c r="L380" s="39"/>
      <c r="M380" s="39"/>
      <c r="N380" s="39"/>
      <c r="O380" s="39"/>
      <c r="P380" s="39"/>
      <c r="Q380" s="39"/>
      <c r="R380" s="39"/>
      <c r="S380" s="39"/>
      <c r="T380" s="39"/>
      <c r="U380" s="39"/>
      <c r="V380" s="39"/>
      <c r="W380" s="39"/>
      <c r="X380" s="39"/>
      <c r="Y380" s="39"/>
      <c r="Z380" s="39"/>
      <c r="AA380" s="39"/>
      <c r="AB380" s="39"/>
      <c r="AC380" s="35">
        <f t="shared" si="212"/>
        <v>0</v>
      </c>
      <c r="AD380" s="40"/>
      <c r="AE380" s="40"/>
      <c r="AF380" s="40"/>
      <c r="AG380" s="40"/>
      <c r="AH380" s="40"/>
      <c r="AI380" s="40"/>
      <c r="AJ380" s="40"/>
      <c r="AK380" s="40"/>
      <c r="AL380" s="40"/>
      <c r="AM380" s="40"/>
      <c r="AN380" s="40"/>
      <c r="AO380" s="40"/>
      <c r="AP380" s="40"/>
      <c r="AQ380" s="40"/>
      <c r="AR380" s="40"/>
      <c r="AS380" s="40"/>
      <c r="AT380" s="41"/>
      <c r="AU380" s="1806"/>
      <c r="AV380" s="1517">
        <f t="shared" si="236"/>
        <v>0</v>
      </c>
      <c r="AW380" s="1517">
        <f t="shared" si="237"/>
        <v>0</v>
      </c>
      <c r="AX380" s="1517">
        <f t="shared" si="238"/>
        <v>0</v>
      </c>
      <c r="AY380" s="42">
        <f t="shared" si="213"/>
        <v>0</v>
      </c>
      <c r="AZ380" s="35">
        <f t="shared" si="214"/>
        <v>0</v>
      </c>
      <c r="BA380" s="35">
        <f t="shared" si="215"/>
        <v>0</v>
      </c>
      <c r="BB380" s="35">
        <f t="shared" si="216"/>
        <v>0</v>
      </c>
      <c r="BC380" s="35">
        <f t="shared" si="217"/>
        <v>0</v>
      </c>
      <c r="BD380" s="35">
        <f t="shared" si="218"/>
        <v>0</v>
      </c>
      <c r="BE380" s="35">
        <f t="shared" si="219"/>
        <v>0</v>
      </c>
      <c r="BF380" s="35">
        <f t="shared" si="220"/>
        <v>0</v>
      </c>
      <c r="BG380" s="35">
        <f t="shared" si="221"/>
        <v>0</v>
      </c>
      <c r="BH380" s="35">
        <f t="shared" si="222"/>
        <v>0</v>
      </c>
      <c r="BI380" s="35">
        <f t="shared" si="223"/>
        <v>0</v>
      </c>
      <c r="BJ380" s="35">
        <f t="shared" si="224"/>
        <v>0</v>
      </c>
      <c r="BK380" s="35">
        <f t="shared" si="225"/>
        <v>0</v>
      </c>
      <c r="BL380" s="35">
        <f t="shared" si="226"/>
        <v>0</v>
      </c>
      <c r="BM380" s="35">
        <f t="shared" si="227"/>
        <v>0</v>
      </c>
      <c r="BN380" s="35">
        <f t="shared" si="228"/>
        <v>0</v>
      </c>
      <c r="BO380" s="35">
        <f t="shared" si="229"/>
        <v>0</v>
      </c>
      <c r="BP380" s="35">
        <f t="shared" si="230"/>
        <v>0</v>
      </c>
      <c r="BQ380" s="35">
        <f t="shared" si="231"/>
        <v>0</v>
      </c>
      <c r="BR380" s="35">
        <f t="shared" si="232"/>
        <v>0</v>
      </c>
      <c r="BS380" s="35">
        <f t="shared" si="233"/>
        <v>0</v>
      </c>
      <c r="BT380" s="43">
        <f t="shared" si="234"/>
        <v>0</v>
      </c>
    </row>
    <row r="381" spans="1:72">
      <c r="A381" s="9"/>
      <c r="B381" s="34"/>
      <c r="C381" s="34"/>
      <c r="D381" s="1805"/>
      <c r="E381" s="35">
        <f t="shared" si="235"/>
        <v>0</v>
      </c>
      <c r="F381" s="36"/>
      <c r="G381" s="37">
        <f t="shared" si="210"/>
        <v>0</v>
      </c>
      <c r="H381" s="38">
        <f t="shared" si="211"/>
        <v>0</v>
      </c>
      <c r="I381" s="39"/>
      <c r="J381" s="39"/>
      <c r="K381" s="39"/>
      <c r="L381" s="39"/>
      <c r="M381" s="39"/>
      <c r="N381" s="39"/>
      <c r="O381" s="39"/>
      <c r="P381" s="39"/>
      <c r="Q381" s="39"/>
      <c r="R381" s="39"/>
      <c r="S381" s="39"/>
      <c r="T381" s="39"/>
      <c r="U381" s="39"/>
      <c r="V381" s="39"/>
      <c r="W381" s="39"/>
      <c r="X381" s="39"/>
      <c r="Y381" s="39"/>
      <c r="Z381" s="39"/>
      <c r="AA381" s="39"/>
      <c r="AB381" s="39"/>
      <c r="AC381" s="35">
        <f t="shared" si="212"/>
        <v>0</v>
      </c>
      <c r="AD381" s="40"/>
      <c r="AE381" s="40"/>
      <c r="AF381" s="40"/>
      <c r="AG381" s="40"/>
      <c r="AH381" s="40"/>
      <c r="AI381" s="40"/>
      <c r="AJ381" s="40"/>
      <c r="AK381" s="40"/>
      <c r="AL381" s="40"/>
      <c r="AM381" s="40"/>
      <c r="AN381" s="40"/>
      <c r="AO381" s="40"/>
      <c r="AP381" s="40"/>
      <c r="AQ381" s="40"/>
      <c r="AR381" s="40"/>
      <c r="AS381" s="40"/>
      <c r="AT381" s="41"/>
      <c r="AU381" s="1806"/>
      <c r="AV381" s="1517">
        <f t="shared" si="236"/>
        <v>0</v>
      </c>
      <c r="AW381" s="1517">
        <f t="shared" si="237"/>
        <v>0</v>
      </c>
      <c r="AX381" s="1517">
        <f t="shared" si="238"/>
        <v>0</v>
      </c>
      <c r="AY381" s="42">
        <f t="shared" si="213"/>
        <v>0</v>
      </c>
      <c r="AZ381" s="35">
        <f t="shared" si="214"/>
        <v>0</v>
      </c>
      <c r="BA381" s="35">
        <f t="shared" si="215"/>
        <v>0</v>
      </c>
      <c r="BB381" s="35">
        <f t="shared" si="216"/>
        <v>0</v>
      </c>
      <c r="BC381" s="35">
        <f t="shared" si="217"/>
        <v>0</v>
      </c>
      <c r="BD381" s="35">
        <f t="shared" si="218"/>
        <v>0</v>
      </c>
      <c r="BE381" s="35">
        <f t="shared" si="219"/>
        <v>0</v>
      </c>
      <c r="BF381" s="35">
        <f t="shared" si="220"/>
        <v>0</v>
      </c>
      <c r="BG381" s="35">
        <f t="shared" si="221"/>
        <v>0</v>
      </c>
      <c r="BH381" s="35">
        <f t="shared" si="222"/>
        <v>0</v>
      </c>
      <c r="BI381" s="35">
        <f t="shared" si="223"/>
        <v>0</v>
      </c>
      <c r="BJ381" s="35">
        <f t="shared" si="224"/>
        <v>0</v>
      </c>
      <c r="BK381" s="35">
        <f t="shared" si="225"/>
        <v>0</v>
      </c>
      <c r="BL381" s="35">
        <f t="shared" si="226"/>
        <v>0</v>
      </c>
      <c r="BM381" s="35">
        <f t="shared" si="227"/>
        <v>0</v>
      </c>
      <c r="BN381" s="35">
        <f t="shared" si="228"/>
        <v>0</v>
      </c>
      <c r="BO381" s="35">
        <f t="shared" si="229"/>
        <v>0</v>
      </c>
      <c r="BP381" s="35">
        <f t="shared" si="230"/>
        <v>0</v>
      </c>
      <c r="BQ381" s="35">
        <f t="shared" si="231"/>
        <v>0</v>
      </c>
      <c r="BR381" s="35">
        <f t="shared" si="232"/>
        <v>0</v>
      </c>
      <c r="BS381" s="35">
        <f t="shared" si="233"/>
        <v>0</v>
      </c>
      <c r="BT381" s="43">
        <f t="shared" si="234"/>
        <v>0</v>
      </c>
    </row>
    <row r="382" spans="1:72">
      <c r="A382" s="9"/>
      <c r="B382" s="34"/>
      <c r="C382" s="34"/>
      <c r="D382" s="1805"/>
      <c r="E382" s="35">
        <f t="shared" si="235"/>
        <v>0</v>
      </c>
      <c r="F382" s="36"/>
      <c r="G382" s="37">
        <f t="shared" si="210"/>
        <v>0</v>
      </c>
      <c r="H382" s="38">
        <f t="shared" si="211"/>
        <v>0</v>
      </c>
      <c r="I382" s="39"/>
      <c r="J382" s="39"/>
      <c r="K382" s="39"/>
      <c r="L382" s="39"/>
      <c r="M382" s="39"/>
      <c r="N382" s="39"/>
      <c r="O382" s="39"/>
      <c r="P382" s="39"/>
      <c r="Q382" s="39"/>
      <c r="R382" s="39"/>
      <c r="S382" s="39"/>
      <c r="T382" s="39"/>
      <c r="U382" s="39"/>
      <c r="V382" s="39"/>
      <c r="W382" s="39"/>
      <c r="X382" s="39"/>
      <c r="Y382" s="39"/>
      <c r="Z382" s="39"/>
      <c r="AA382" s="39"/>
      <c r="AB382" s="39"/>
      <c r="AC382" s="35">
        <f t="shared" si="212"/>
        <v>0</v>
      </c>
      <c r="AD382" s="40"/>
      <c r="AE382" s="40"/>
      <c r="AF382" s="40"/>
      <c r="AG382" s="40"/>
      <c r="AH382" s="40"/>
      <c r="AI382" s="40"/>
      <c r="AJ382" s="40"/>
      <c r="AK382" s="40"/>
      <c r="AL382" s="40"/>
      <c r="AM382" s="40"/>
      <c r="AN382" s="40"/>
      <c r="AO382" s="40"/>
      <c r="AP382" s="40"/>
      <c r="AQ382" s="40"/>
      <c r="AR382" s="40"/>
      <c r="AS382" s="40"/>
      <c r="AT382" s="41"/>
      <c r="AU382" s="1806"/>
      <c r="AV382" s="1517">
        <f t="shared" si="236"/>
        <v>0</v>
      </c>
      <c r="AW382" s="1517">
        <f t="shared" si="237"/>
        <v>0</v>
      </c>
      <c r="AX382" s="1517">
        <f t="shared" si="238"/>
        <v>0</v>
      </c>
      <c r="AY382" s="42">
        <f t="shared" si="213"/>
        <v>0</v>
      </c>
      <c r="AZ382" s="35">
        <f t="shared" si="214"/>
        <v>0</v>
      </c>
      <c r="BA382" s="35">
        <f t="shared" si="215"/>
        <v>0</v>
      </c>
      <c r="BB382" s="35">
        <f t="shared" si="216"/>
        <v>0</v>
      </c>
      <c r="BC382" s="35">
        <f t="shared" si="217"/>
        <v>0</v>
      </c>
      <c r="BD382" s="35">
        <f t="shared" si="218"/>
        <v>0</v>
      </c>
      <c r="BE382" s="35">
        <f t="shared" si="219"/>
        <v>0</v>
      </c>
      <c r="BF382" s="35">
        <f t="shared" si="220"/>
        <v>0</v>
      </c>
      <c r="BG382" s="35">
        <f t="shared" si="221"/>
        <v>0</v>
      </c>
      <c r="BH382" s="35">
        <f t="shared" si="222"/>
        <v>0</v>
      </c>
      <c r="BI382" s="35">
        <f t="shared" si="223"/>
        <v>0</v>
      </c>
      <c r="BJ382" s="35">
        <f t="shared" si="224"/>
        <v>0</v>
      </c>
      <c r="BK382" s="35">
        <f t="shared" si="225"/>
        <v>0</v>
      </c>
      <c r="BL382" s="35">
        <f t="shared" si="226"/>
        <v>0</v>
      </c>
      <c r="BM382" s="35">
        <f t="shared" si="227"/>
        <v>0</v>
      </c>
      <c r="BN382" s="35">
        <f t="shared" si="228"/>
        <v>0</v>
      </c>
      <c r="BO382" s="35">
        <f t="shared" si="229"/>
        <v>0</v>
      </c>
      <c r="BP382" s="35">
        <f t="shared" si="230"/>
        <v>0</v>
      </c>
      <c r="BQ382" s="35">
        <f t="shared" si="231"/>
        <v>0</v>
      </c>
      <c r="BR382" s="35">
        <f t="shared" si="232"/>
        <v>0</v>
      </c>
      <c r="BS382" s="35">
        <f t="shared" si="233"/>
        <v>0</v>
      </c>
      <c r="BT382" s="43">
        <f t="shared" si="234"/>
        <v>0</v>
      </c>
    </row>
    <row r="383" spans="1:72">
      <c r="A383" s="9"/>
      <c r="B383" s="34"/>
      <c r="C383" s="34"/>
      <c r="D383" s="1805"/>
      <c r="E383" s="35">
        <f t="shared" si="235"/>
        <v>0</v>
      </c>
      <c r="F383" s="36"/>
      <c r="G383" s="37">
        <f t="shared" si="210"/>
        <v>0</v>
      </c>
      <c r="H383" s="38">
        <f t="shared" si="211"/>
        <v>0</v>
      </c>
      <c r="I383" s="39"/>
      <c r="J383" s="39"/>
      <c r="K383" s="39"/>
      <c r="L383" s="39"/>
      <c r="M383" s="39"/>
      <c r="N383" s="39"/>
      <c r="O383" s="39"/>
      <c r="P383" s="39"/>
      <c r="Q383" s="39"/>
      <c r="R383" s="39"/>
      <c r="S383" s="39"/>
      <c r="T383" s="39"/>
      <c r="U383" s="39"/>
      <c r="V383" s="39"/>
      <c r="W383" s="39"/>
      <c r="X383" s="39"/>
      <c r="Y383" s="39"/>
      <c r="Z383" s="39"/>
      <c r="AA383" s="39"/>
      <c r="AB383" s="39"/>
      <c r="AC383" s="35">
        <f t="shared" si="212"/>
        <v>0</v>
      </c>
      <c r="AD383" s="40"/>
      <c r="AE383" s="40"/>
      <c r="AF383" s="40"/>
      <c r="AG383" s="40"/>
      <c r="AH383" s="40"/>
      <c r="AI383" s="40"/>
      <c r="AJ383" s="40"/>
      <c r="AK383" s="40"/>
      <c r="AL383" s="40"/>
      <c r="AM383" s="40"/>
      <c r="AN383" s="40"/>
      <c r="AO383" s="40"/>
      <c r="AP383" s="40"/>
      <c r="AQ383" s="40"/>
      <c r="AR383" s="40"/>
      <c r="AS383" s="40"/>
      <c r="AT383" s="41"/>
      <c r="AU383" s="1806"/>
      <c r="AV383" s="1517">
        <f t="shared" si="236"/>
        <v>0</v>
      </c>
      <c r="AW383" s="1517">
        <f t="shared" si="237"/>
        <v>0</v>
      </c>
      <c r="AX383" s="1517">
        <f t="shared" si="238"/>
        <v>0</v>
      </c>
      <c r="AY383" s="42">
        <f t="shared" si="213"/>
        <v>0</v>
      </c>
      <c r="AZ383" s="35">
        <f t="shared" si="214"/>
        <v>0</v>
      </c>
      <c r="BA383" s="35">
        <f t="shared" si="215"/>
        <v>0</v>
      </c>
      <c r="BB383" s="35">
        <f t="shared" si="216"/>
        <v>0</v>
      </c>
      <c r="BC383" s="35">
        <f t="shared" si="217"/>
        <v>0</v>
      </c>
      <c r="BD383" s="35">
        <f t="shared" si="218"/>
        <v>0</v>
      </c>
      <c r="BE383" s="35">
        <f t="shared" si="219"/>
        <v>0</v>
      </c>
      <c r="BF383" s="35">
        <f t="shared" si="220"/>
        <v>0</v>
      </c>
      <c r="BG383" s="35">
        <f t="shared" si="221"/>
        <v>0</v>
      </c>
      <c r="BH383" s="35">
        <f t="shared" si="222"/>
        <v>0</v>
      </c>
      <c r="BI383" s="35">
        <f t="shared" si="223"/>
        <v>0</v>
      </c>
      <c r="BJ383" s="35">
        <f t="shared" si="224"/>
        <v>0</v>
      </c>
      <c r="BK383" s="35">
        <f t="shared" si="225"/>
        <v>0</v>
      </c>
      <c r="BL383" s="35">
        <f t="shared" si="226"/>
        <v>0</v>
      </c>
      <c r="BM383" s="35">
        <f t="shared" si="227"/>
        <v>0</v>
      </c>
      <c r="BN383" s="35">
        <f t="shared" si="228"/>
        <v>0</v>
      </c>
      <c r="BO383" s="35">
        <f t="shared" si="229"/>
        <v>0</v>
      </c>
      <c r="BP383" s="35">
        <f t="shared" si="230"/>
        <v>0</v>
      </c>
      <c r="BQ383" s="35">
        <f t="shared" si="231"/>
        <v>0</v>
      </c>
      <c r="BR383" s="35">
        <f t="shared" si="232"/>
        <v>0</v>
      </c>
      <c r="BS383" s="35">
        <f t="shared" si="233"/>
        <v>0</v>
      </c>
      <c r="BT383" s="43">
        <f t="shared" si="234"/>
        <v>0</v>
      </c>
    </row>
    <row r="384" spans="1:72">
      <c r="A384" s="9"/>
      <c r="B384" s="34"/>
      <c r="C384" s="34"/>
      <c r="D384" s="1805"/>
      <c r="E384" s="35">
        <f t="shared" si="235"/>
        <v>0</v>
      </c>
      <c r="F384" s="36"/>
      <c r="G384" s="37">
        <f t="shared" si="210"/>
        <v>0</v>
      </c>
      <c r="H384" s="38">
        <f t="shared" si="211"/>
        <v>0</v>
      </c>
      <c r="I384" s="39"/>
      <c r="J384" s="39"/>
      <c r="K384" s="39"/>
      <c r="L384" s="39"/>
      <c r="M384" s="39"/>
      <c r="N384" s="39"/>
      <c r="O384" s="39"/>
      <c r="P384" s="39"/>
      <c r="Q384" s="39"/>
      <c r="R384" s="39"/>
      <c r="S384" s="39"/>
      <c r="T384" s="39"/>
      <c r="U384" s="39"/>
      <c r="V384" s="39"/>
      <c r="W384" s="39"/>
      <c r="X384" s="39"/>
      <c r="Y384" s="39"/>
      <c r="Z384" s="39"/>
      <c r="AA384" s="39"/>
      <c r="AB384" s="39"/>
      <c r="AC384" s="35">
        <f t="shared" si="212"/>
        <v>0</v>
      </c>
      <c r="AD384" s="40"/>
      <c r="AE384" s="40"/>
      <c r="AF384" s="40"/>
      <c r="AG384" s="40"/>
      <c r="AH384" s="40"/>
      <c r="AI384" s="40"/>
      <c r="AJ384" s="40"/>
      <c r="AK384" s="40"/>
      <c r="AL384" s="40"/>
      <c r="AM384" s="40"/>
      <c r="AN384" s="40"/>
      <c r="AO384" s="40"/>
      <c r="AP384" s="40"/>
      <c r="AQ384" s="40"/>
      <c r="AR384" s="40"/>
      <c r="AS384" s="40"/>
      <c r="AT384" s="41"/>
      <c r="AU384" s="1806"/>
      <c r="AV384" s="1517">
        <f t="shared" si="236"/>
        <v>0</v>
      </c>
      <c r="AW384" s="1517">
        <f t="shared" si="237"/>
        <v>0</v>
      </c>
      <c r="AX384" s="1517">
        <f t="shared" si="238"/>
        <v>0</v>
      </c>
      <c r="AY384" s="42">
        <f t="shared" si="213"/>
        <v>0</v>
      </c>
      <c r="AZ384" s="35">
        <f t="shared" si="214"/>
        <v>0</v>
      </c>
      <c r="BA384" s="35">
        <f t="shared" si="215"/>
        <v>0</v>
      </c>
      <c r="BB384" s="35">
        <f t="shared" si="216"/>
        <v>0</v>
      </c>
      <c r="BC384" s="35">
        <f t="shared" si="217"/>
        <v>0</v>
      </c>
      <c r="BD384" s="35">
        <f t="shared" si="218"/>
        <v>0</v>
      </c>
      <c r="BE384" s="35">
        <f t="shared" si="219"/>
        <v>0</v>
      </c>
      <c r="BF384" s="35">
        <f t="shared" si="220"/>
        <v>0</v>
      </c>
      <c r="BG384" s="35">
        <f t="shared" si="221"/>
        <v>0</v>
      </c>
      <c r="BH384" s="35">
        <f t="shared" si="222"/>
        <v>0</v>
      </c>
      <c r="BI384" s="35">
        <f t="shared" si="223"/>
        <v>0</v>
      </c>
      <c r="BJ384" s="35">
        <f t="shared" si="224"/>
        <v>0</v>
      </c>
      <c r="BK384" s="35">
        <f t="shared" si="225"/>
        <v>0</v>
      </c>
      <c r="BL384" s="35">
        <f t="shared" si="226"/>
        <v>0</v>
      </c>
      <c r="BM384" s="35">
        <f t="shared" si="227"/>
        <v>0</v>
      </c>
      <c r="BN384" s="35">
        <f t="shared" si="228"/>
        <v>0</v>
      </c>
      <c r="BO384" s="35">
        <f t="shared" si="229"/>
        <v>0</v>
      </c>
      <c r="BP384" s="35">
        <f t="shared" si="230"/>
        <v>0</v>
      </c>
      <c r="BQ384" s="35">
        <f t="shared" si="231"/>
        <v>0</v>
      </c>
      <c r="BR384" s="35">
        <f t="shared" si="232"/>
        <v>0</v>
      </c>
      <c r="BS384" s="35">
        <f t="shared" si="233"/>
        <v>0</v>
      </c>
      <c r="BT384" s="43">
        <f t="shared" si="234"/>
        <v>0</v>
      </c>
    </row>
    <row r="385" spans="1:72">
      <c r="A385" s="9"/>
      <c r="B385" s="34"/>
      <c r="C385" s="34"/>
      <c r="D385" s="1805"/>
      <c r="E385" s="35">
        <f t="shared" si="235"/>
        <v>0</v>
      </c>
      <c r="F385" s="36"/>
      <c r="G385" s="37">
        <f t="shared" si="210"/>
        <v>0</v>
      </c>
      <c r="H385" s="38">
        <f t="shared" si="211"/>
        <v>0</v>
      </c>
      <c r="I385" s="39"/>
      <c r="J385" s="39"/>
      <c r="K385" s="39"/>
      <c r="L385" s="39"/>
      <c r="M385" s="39"/>
      <c r="N385" s="39"/>
      <c r="O385" s="39"/>
      <c r="P385" s="39"/>
      <c r="Q385" s="39"/>
      <c r="R385" s="39"/>
      <c r="S385" s="39"/>
      <c r="T385" s="39"/>
      <c r="U385" s="39"/>
      <c r="V385" s="39"/>
      <c r="W385" s="39"/>
      <c r="X385" s="39"/>
      <c r="Y385" s="39"/>
      <c r="Z385" s="39"/>
      <c r="AA385" s="39"/>
      <c r="AB385" s="39"/>
      <c r="AC385" s="35">
        <f t="shared" si="212"/>
        <v>0</v>
      </c>
      <c r="AD385" s="40"/>
      <c r="AE385" s="40"/>
      <c r="AF385" s="40"/>
      <c r="AG385" s="40"/>
      <c r="AH385" s="40"/>
      <c r="AI385" s="40"/>
      <c r="AJ385" s="40"/>
      <c r="AK385" s="40"/>
      <c r="AL385" s="40"/>
      <c r="AM385" s="40"/>
      <c r="AN385" s="40"/>
      <c r="AO385" s="40"/>
      <c r="AP385" s="40"/>
      <c r="AQ385" s="40"/>
      <c r="AR385" s="40"/>
      <c r="AS385" s="40"/>
      <c r="AT385" s="41"/>
      <c r="AU385" s="1806"/>
      <c r="AV385" s="1517">
        <f t="shared" si="236"/>
        <v>0</v>
      </c>
      <c r="AW385" s="1517">
        <f t="shared" si="237"/>
        <v>0</v>
      </c>
      <c r="AX385" s="1517">
        <f t="shared" si="238"/>
        <v>0</v>
      </c>
      <c r="AY385" s="42">
        <f t="shared" si="213"/>
        <v>0</v>
      </c>
      <c r="AZ385" s="35">
        <f t="shared" si="214"/>
        <v>0</v>
      </c>
      <c r="BA385" s="35">
        <f t="shared" si="215"/>
        <v>0</v>
      </c>
      <c r="BB385" s="35">
        <f t="shared" si="216"/>
        <v>0</v>
      </c>
      <c r="BC385" s="35">
        <f t="shared" si="217"/>
        <v>0</v>
      </c>
      <c r="BD385" s="35">
        <f t="shared" si="218"/>
        <v>0</v>
      </c>
      <c r="BE385" s="35">
        <f t="shared" si="219"/>
        <v>0</v>
      </c>
      <c r="BF385" s="35">
        <f t="shared" si="220"/>
        <v>0</v>
      </c>
      <c r="BG385" s="35">
        <f t="shared" si="221"/>
        <v>0</v>
      </c>
      <c r="BH385" s="35">
        <f t="shared" si="222"/>
        <v>0</v>
      </c>
      <c r="BI385" s="35">
        <f t="shared" si="223"/>
        <v>0</v>
      </c>
      <c r="BJ385" s="35">
        <f t="shared" si="224"/>
        <v>0</v>
      </c>
      <c r="BK385" s="35">
        <f t="shared" si="225"/>
        <v>0</v>
      </c>
      <c r="BL385" s="35">
        <f t="shared" si="226"/>
        <v>0</v>
      </c>
      <c r="BM385" s="35">
        <f t="shared" si="227"/>
        <v>0</v>
      </c>
      <c r="BN385" s="35">
        <f t="shared" si="228"/>
        <v>0</v>
      </c>
      <c r="BO385" s="35">
        <f t="shared" si="229"/>
        <v>0</v>
      </c>
      <c r="BP385" s="35">
        <f t="shared" si="230"/>
        <v>0</v>
      </c>
      <c r="BQ385" s="35">
        <f t="shared" si="231"/>
        <v>0</v>
      </c>
      <c r="BR385" s="35">
        <f t="shared" si="232"/>
        <v>0</v>
      </c>
      <c r="BS385" s="35">
        <f t="shared" si="233"/>
        <v>0</v>
      </c>
      <c r="BT385" s="43">
        <f t="shared" si="234"/>
        <v>0</v>
      </c>
    </row>
    <row r="386" spans="1:72">
      <c r="A386" s="9"/>
      <c r="B386" s="34"/>
      <c r="C386" s="34"/>
      <c r="D386" s="1805"/>
      <c r="E386" s="35">
        <f t="shared" si="235"/>
        <v>0</v>
      </c>
      <c r="F386" s="36"/>
      <c r="G386" s="37">
        <f t="shared" si="210"/>
        <v>0</v>
      </c>
      <c r="H386" s="38">
        <f t="shared" si="211"/>
        <v>0</v>
      </c>
      <c r="I386" s="39"/>
      <c r="J386" s="39"/>
      <c r="K386" s="39"/>
      <c r="L386" s="39"/>
      <c r="M386" s="39"/>
      <c r="N386" s="39"/>
      <c r="O386" s="39"/>
      <c r="P386" s="39"/>
      <c r="Q386" s="39"/>
      <c r="R386" s="39"/>
      <c r="S386" s="39"/>
      <c r="T386" s="39"/>
      <c r="U386" s="39"/>
      <c r="V386" s="39"/>
      <c r="W386" s="39"/>
      <c r="X386" s="39"/>
      <c r="Y386" s="39"/>
      <c r="Z386" s="39"/>
      <c r="AA386" s="39"/>
      <c r="AB386" s="39"/>
      <c r="AC386" s="35">
        <f t="shared" si="212"/>
        <v>0</v>
      </c>
      <c r="AD386" s="40"/>
      <c r="AE386" s="40"/>
      <c r="AF386" s="40"/>
      <c r="AG386" s="40"/>
      <c r="AH386" s="40"/>
      <c r="AI386" s="40"/>
      <c r="AJ386" s="40"/>
      <c r="AK386" s="40"/>
      <c r="AL386" s="40"/>
      <c r="AM386" s="40"/>
      <c r="AN386" s="40"/>
      <c r="AO386" s="40"/>
      <c r="AP386" s="40"/>
      <c r="AQ386" s="40"/>
      <c r="AR386" s="40"/>
      <c r="AS386" s="40"/>
      <c r="AT386" s="41"/>
      <c r="AU386" s="1806"/>
      <c r="AV386" s="1517">
        <f t="shared" si="236"/>
        <v>0</v>
      </c>
      <c r="AW386" s="1517">
        <f t="shared" si="237"/>
        <v>0</v>
      </c>
      <c r="AX386" s="1517">
        <f t="shared" si="238"/>
        <v>0</v>
      </c>
      <c r="AY386" s="42">
        <f t="shared" si="213"/>
        <v>0</v>
      </c>
      <c r="AZ386" s="35">
        <f t="shared" si="214"/>
        <v>0</v>
      </c>
      <c r="BA386" s="35">
        <f t="shared" si="215"/>
        <v>0</v>
      </c>
      <c r="BB386" s="35">
        <f t="shared" si="216"/>
        <v>0</v>
      </c>
      <c r="BC386" s="35">
        <f t="shared" si="217"/>
        <v>0</v>
      </c>
      <c r="BD386" s="35">
        <f t="shared" si="218"/>
        <v>0</v>
      </c>
      <c r="BE386" s="35">
        <f t="shared" si="219"/>
        <v>0</v>
      </c>
      <c r="BF386" s="35">
        <f t="shared" si="220"/>
        <v>0</v>
      </c>
      <c r="BG386" s="35">
        <f t="shared" si="221"/>
        <v>0</v>
      </c>
      <c r="BH386" s="35">
        <f t="shared" si="222"/>
        <v>0</v>
      </c>
      <c r="BI386" s="35">
        <f t="shared" si="223"/>
        <v>0</v>
      </c>
      <c r="BJ386" s="35">
        <f t="shared" si="224"/>
        <v>0</v>
      </c>
      <c r="BK386" s="35">
        <f t="shared" si="225"/>
        <v>0</v>
      </c>
      <c r="BL386" s="35">
        <f t="shared" si="226"/>
        <v>0</v>
      </c>
      <c r="BM386" s="35">
        <f t="shared" si="227"/>
        <v>0</v>
      </c>
      <c r="BN386" s="35">
        <f t="shared" si="228"/>
        <v>0</v>
      </c>
      <c r="BO386" s="35">
        <f t="shared" si="229"/>
        <v>0</v>
      </c>
      <c r="BP386" s="35">
        <f t="shared" si="230"/>
        <v>0</v>
      </c>
      <c r="BQ386" s="35">
        <f t="shared" si="231"/>
        <v>0</v>
      </c>
      <c r="BR386" s="35">
        <f t="shared" si="232"/>
        <v>0</v>
      </c>
      <c r="BS386" s="35">
        <f t="shared" si="233"/>
        <v>0</v>
      </c>
      <c r="BT386" s="43">
        <f t="shared" si="234"/>
        <v>0</v>
      </c>
    </row>
    <row r="387" spans="1:72">
      <c r="A387" s="9"/>
      <c r="B387" s="34"/>
      <c r="C387" s="34"/>
      <c r="D387" s="1805"/>
      <c r="E387" s="35">
        <f t="shared" si="235"/>
        <v>0</v>
      </c>
      <c r="F387" s="36"/>
      <c r="G387" s="37">
        <f t="shared" si="210"/>
        <v>0</v>
      </c>
      <c r="H387" s="38">
        <f t="shared" si="211"/>
        <v>0</v>
      </c>
      <c r="I387" s="39"/>
      <c r="J387" s="39"/>
      <c r="K387" s="39"/>
      <c r="L387" s="39"/>
      <c r="M387" s="39"/>
      <c r="N387" s="39"/>
      <c r="O387" s="39"/>
      <c r="P387" s="39"/>
      <c r="Q387" s="39"/>
      <c r="R387" s="39"/>
      <c r="S387" s="39"/>
      <c r="T387" s="39"/>
      <c r="U387" s="39"/>
      <c r="V387" s="39"/>
      <c r="W387" s="39"/>
      <c r="X387" s="39"/>
      <c r="Y387" s="39"/>
      <c r="Z387" s="39"/>
      <c r="AA387" s="39"/>
      <c r="AB387" s="39"/>
      <c r="AC387" s="35">
        <f t="shared" si="212"/>
        <v>0</v>
      </c>
      <c r="AD387" s="40"/>
      <c r="AE387" s="40"/>
      <c r="AF387" s="40"/>
      <c r="AG387" s="40"/>
      <c r="AH387" s="40"/>
      <c r="AI387" s="40"/>
      <c r="AJ387" s="40"/>
      <c r="AK387" s="40"/>
      <c r="AL387" s="40"/>
      <c r="AM387" s="40"/>
      <c r="AN387" s="40"/>
      <c r="AO387" s="40"/>
      <c r="AP387" s="40"/>
      <c r="AQ387" s="40"/>
      <c r="AR387" s="40"/>
      <c r="AS387" s="40"/>
      <c r="AT387" s="41"/>
      <c r="AU387" s="1806"/>
      <c r="AV387" s="1517">
        <f t="shared" si="236"/>
        <v>0</v>
      </c>
      <c r="AW387" s="1517">
        <f t="shared" si="237"/>
        <v>0</v>
      </c>
      <c r="AX387" s="1517">
        <f t="shared" si="238"/>
        <v>0</v>
      </c>
      <c r="AY387" s="42">
        <f t="shared" si="213"/>
        <v>0</v>
      </c>
      <c r="AZ387" s="35">
        <f t="shared" si="214"/>
        <v>0</v>
      </c>
      <c r="BA387" s="35">
        <f t="shared" si="215"/>
        <v>0</v>
      </c>
      <c r="BB387" s="35">
        <f t="shared" si="216"/>
        <v>0</v>
      </c>
      <c r="BC387" s="35">
        <f t="shared" si="217"/>
        <v>0</v>
      </c>
      <c r="BD387" s="35">
        <f t="shared" si="218"/>
        <v>0</v>
      </c>
      <c r="BE387" s="35">
        <f t="shared" si="219"/>
        <v>0</v>
      </c>
      <c r="BF387" s="35">
        <f t="shared" si="220"/>
        <v>0</v>
      </c>
      <c r="BG387" s="35">
        <f t="shared" si="221"/>
        <v>0</v>
      </c>
      <c r="BH387" s="35">
        <f t="shared" si="222"/>
        <v>0</v>
      </c>
      <c r="BI387" s="35">
        <f t="shared" si="223"/>
        <v>0</v>
      </c>
      <c r="BJ387" s="35">
        <f t="shared" si="224"/>
        <v>0</v>
      </c>
      <c r="BK387" s="35">
        <f t="shared" si="225"/>
        <v>0</v>
      </c>
      <c r="BL387" s="35">
        <f t="shared" si="226"/>
        <v>0</v>
      </c>
      <c r="BM387" s="35">
        <f t="shared" si="227"/>
        <v>0</v>
      </c>
      <c r="BN387" s="35">
        <f t="shared" si="228"/>
        <v>0</v>
      </c>
      <c r="BO387" s="35">
        <f t="shared" si="229"/>
        <v>0</v>
      </c>
      <c r="BP387" s="35">
        <f t="shared" si="230"/>
        <v>0</v>
      </c>
      <c r="BQ387" s="35">
        <f t="shared" si="231"/>
        <v>0</v>
      </c>
      <c r="BR387" s="35">
        <f t="shared" si="232"/>
        <v>0</v>
      </c>
      <c r="BS387" s="35">
        <f t="shared" si="233"/>
        <v>0</v>
      </c>
      <c r="BT387" s="43">
        <f t="shared" si="234"/>
        <v>0</v>
      </c>
    </row>
    <row r="388" spans="1:72">
      <c r="A388" s="9"/>
      <c r="B388" s="34"/>
      <c r="C388" s="34"/>
      <c r="D388" s="1805"/>
      <c r="E388" s="35">
        <f t="shared" si="235"/>
        <v>0</v>
      </c>
      <c r="F388" s="36"/>
      <c r="G388" s="37">
        <f t="shared" si="210"/>
        <v>0</v>
      </c>
      <c r="H388" s="38">
        <f t="shared" si="211"/>
        <v>0</v>
      </c>
      <c r="I388" s="39"/>
      <c r="J388" s="39"/>
      <c r="K388" s="39"/>
      <c r="L388" s="39"/>
      <c r="M388" s="39"/>
      <c r="N388" s="39"/>
      <c r="O388" s="39"/>
      <c r="P388" s="39"/>
      <c r="Q388" s="39"/>
      <c r="R388" s="39"/>
      <c r="S388" s="39"/>
      <c r="T388" s="39"/>
      <c r="U388" s="39"/>
      <c r="V388" s="39"/>
      <c r="W388" s="39"/>
      <c r="X388" s="39"/>
      <c r="Y388" s="39"/>
      <c r="Z388" s="39"/>
      <c r="AA388" s="39"/>
      <c r="AB388" s="39"/>
      <c r="AC388" s="35">
        <f t="shared" si="212"/>
        <v>0</v>
      </c>
      <c r="AD388" s="40"/>
      <c r="AE388" s="40"/>
      <c r="AF388" s="40"/>
      <c r="AG388" s="40"/>
      <c r="AH388" s="40"/>
      <c r="AI388" s="40"/>
      <c r="AJ388" s="40"/>
      <c r="AK388" s="40"/>
      <c r="AL388" s="40"/>
      <c r="AM388" s="40"/>
      <c r="AN388" s="40"/>
      <c r="AO388" s="40"/>
      <c r="AP388" s="40"/>
      <c r="AQ388" s="40"/>
      <c r="AR388" s="40"/>
      <c r="AS388" s="40"/>
      <c r="AT388" s="41"/>
      <c r="AU388" s="1806"/>
      <c r="AV388" s="1517">
        <f t="shared" si="236"/>
        <v>0</v>
      </c>
      <c r="AW388" s="1517">
        <f t="shared" si="237"/>
        <v>0</v>
      </c>
      <c r="AX388" s="1517">
        <f t="shared" si="238"/>
        <v>0</v>
      </c>
      <c r="AY388" s="42">
        <f t="shared" si="213"/>
        <v>0</v>
      </c>
      <c r="AZ388" s="35">
        <f t="shared" si="214"/>
        <v>0</v>
      </c>
      <c r="BA388" s="35">
        <f t="shared" si="215"/>
        <v>0</v>
      </c>
      <c r="BB388" s="35">
        <f t="shared" si="216"/>
        <v>0</v>
      </c>
      <c r="BC388" s="35">
        <f t="shared" si="217"/>
        <v>0</v>
      </c>
      <c r="BD388" s="35">
        <f t="shared" si="218"/>
        <v>0</v>
      </c>
      <c r="BE388" s="35">
        <f t="shared" si="219"/>
        <v>0</v>
      </c>
      <c r="BF388" s="35">
        <f t="shared" si="220"/>
        <v>0</v>
      </c>
      <c r="BG388" s="35">
        <f t="shared" si="221"/>
        <v>0</v>
      </c>
      <c r="BH388" s="35">
        <f t="shared" si="222"/>
        <v>0</v>
      </c>
      <c r="BI388" s="35">
        <f t="shared" si="223"/>
        <v>0</v>
      </c>
      <c r="BJ388" s="35">
        <f t="shared" si="224"/>
        <v>0</v>
      </c>
      <c r="BK388" s="35">
        <f t="shared" si="225"/>
        <v>0</v>
      </c>
      <c r="BL388" s="35">
        <f t="shared" si="226"/>
        <v>0</v>
      </c>
      <c r="BM388" s="35">
        <f t="shared" si="227"/>
        <v>0</v>
      </c>
      <c r="BN388" s="35">
        <f t="shared" si="228"/>
        <v>0</v>
      </c>
      <c r="BO388" s="35">
        <f t="shared" si="229"/>
        <v>0</v>
      </c>
      <c r="BP388" s="35">
        <f t="shared" si="230"/>
        <v>0</v>
      </c>
      <c r="BQ388" s="35">
        <f t="shared" si="231"/>
        <v>0</v>
      </c>
      <c r="BR388" s="35">
        <f t="shared" si="232"/>
        <v>0</v>
      </c>
      <c r="BS388" s="35">
        <f t="shared" si="233"/>
        <v>0</v>
      </c>
      <c r="BT388" s="43">
        <f t="shared" si="234"/>
        <v>0</v>
      </c>
    </row>
    <row r="389" spans="1:72">
      <c r="A389" s="9"/>
      <c r="B389" s="34"/>
      <c r="C389" s="34"/>
      <c r="D389" s="1805"/>
      <c r="E389" s="35">
        <f t="shared" si="235"/>
        <v>0</v>
      </c>
      <c r="F389" s="36"/>
      <c r="G389" s="37">
        <f t="shared" si="210"/>
        <v>0</v>
      </c>
      <c r="H389" s="38">
        <f t="shared" si="211"/>
        <v>0</v>
      </c>
      <c r="I389" s="39"/>
      <c r="J389" s="39"/>
      <c r="K389" s="39"/>
      <c r="L389" s="39"/>
      <c r="M389" s="39"/>
      <c r="N389" s="39"/>
      <c r="O389" s="39"/>
      <c r="P389" s="39"/>
      <c r="Q389" s="39"/>
      <c r="R389" s="39"/>
      <c r="S389" s="39"/>
      <c r="T389" s="39"/>
      <c r="U389" s="39"/>
      <c r="V389" s="39"/>
      <c r="W389" s="39"/>
      <c r="X389" s="39"/>
      <c r="Y389" s="39"/>
      <c r="Z389" s="39"/>
      <c r="AA389" s="39"/>
      <c r="AB389" s="39"/>
      <c r="AC389" s="35">
        <f t="shared" si="212"/>
        <v>0</v>
      </c>
      <c r="AD389" s="40"/>
      <c r="AE389" s="40"/>
      <c r="AF389" s="40"/>
      <c r="AG389" s="40"/>
      <c r="AH389" s="40"/>
      <c r="AI389" s="40"/>
      <c r="AJ389" s="40"/>
      <c r="AK389" s="40"/>
      <c r="AL389" s="40"/>
      <c r="AM389" s="40"/>
      <c r="AN389" s="40"/>
      <c r="AO389" s="40"/>
      <c r="AP389" s="40"/>
      <c r="AQ389" s="40"/>
      <c r="AR389" s="40"/>
      <c r="AS389" s="40"/>
      <c r="AT389" s="41"/>
      <c r="AU389" s="1806"/>
      <c r="AV389" s="1517">
        <f t="shared" si="236"/>
        <v>0</v>
      </c>
      <c r="AW389" s="1517">
        <f t="shared" si="237"/>
        <v>0</v>
      </c>
      <c r="AX389" s="1517">
        <f t="shared" si="238"/>
        <v>0</v>
      </c>
      <c r="AY389" s="42">
        <f t="shared" si="213"/>
        <v>0</v>
      </c>
      <c r="AZ389" s="35">
        <f t="shared" si="214"/>
        <v>0</v>
      </c>
      <c r="BA389" s="35">
        <f t="shared" si="215"/>
        <v>0</v>
      </c>
      <c r="BB389" s="35">
        <f t="shared" si="216"/>
        <v>0</v>
      </c>
      <c r="BC389" s="35">
        <f t="shared" si="217"/>
        <v>0</v>
      </c>
      <c r="BD389" s="35">
        <f t="shared" si="218"/>
        <v>0</v>
      </c>
      <c r="BE389" s="35">
        <f t="shared" si="219"/>
        <v>0</v>
      </c>
      <c r="BF389" s="35">
        <f t="shared" si="220"/>
        <v>0</v>
      </c>
      <c r="BG389" s="35">
        <f t="shared" si="221"/>
        <v>0</v>
      </c>
      <c r="BH389" s="35">
        <f t="shared" si="222"/>
        <v>0</v>
      </c>
      <c r="BI389" s="35">
        <f t="shared" si="223"/>
        <v>0</v>
      </c>
      <c r="BJ389" s="35">
        <f t="shared" si="224"/>
        <v>0</v>
      </c>
      <c r="BK389" s="35">
        <f t="shared" si="225"/>
        <v>0</v>
      </c>
      <c r="BL389" s="35">
        <f t="shared" si="226"/>
        <v>0</v>
      </c>
      <c r="BM389" s="35">
        <f t="shared" si="227"/>
        <v>0</v>
      </c>
      <c r="BN389" s="35">
        <f t="shared" si="228"/>
        <v>0</v>
      </c>
      <c r="BO389" s="35">
        <f t="shared" si="229"/>
        <v>0</v>
      </c>
      <c r="BP389" s="35">
        <f t="shared" si="230"/>
        <v>0</v>
      </c>
      <c r="BQ389" s="35">
        <f t="shared" si="231"/>
        <v>0</v>
      </c>
      <c r="BR389" s="35">
        <f t="shared" si="232"/>
        <v>0</v>
      </c>
      <c r="BS389" s="35">
        <f t="shared" si="233"/>
        <v>0</v>
      </c>
      <c r="BT389" s="43">
        <f t="shared" si="234"/>
        <v>0</v>
      </c>
    </row>
    <row r="390" spans="1:72">
      <c r="A390" s="9"/>
      <c r="B390" s="34"/>
      <c r="C390" s="34"/>
      <c r="D390" s="1805"/>
      <c r="E390" s="35">
        <f t="shared" si="235"/>
        <v>0</v>
      </c>
      <c r="F390" s="36"/>
      <c r="G390" s="37">
        <f t="shared" si="210"/>
        <v>0</v>
      </c>
      <c r="H390" s="38">
        <f t="shared" si="211"/>
        <v>0</v>
      </c>
      <c r="I390" s="39"/>
      <c r="J390" s="39"/>
      <c r="K390" s="39"/>
      <c r="L390" s="39"/>
      <c r="M390" s="39"/>
      <c r="N390" s="39"/>
      <c r="O390" s="39"/>
      <c r="P390" s="39"/>
      <c r="Q390" s="39"/>
      <c r="R390" s="39"/>
      <c r="S390" s="39"/>
      <c r="T390" s="39"/>
      <c r="U390" s="39"/>
      <c r="V390" s="39"/>
      <c r="W390" s="39"/>
      <c r="X390" s="39"/>
      <c r="Y390" s="39"/>
      <c r="Z390" s="39"/>
      <c r="AA390" s="39"/>
      <c r="AB390" s="39"/>
      <c r="AC390" s="35">
        <f t="shared" si="212"/>
        <v>0</v>
      </c>
      <c r="AD390" s="40"/>
      <c r="AE390" s="40"/>
      <c r="AF390" s="40"/>
      <c r="AG390" s="40"/>
      <c r="AH390" s="40"/>
      <c r="AI390" s="40"/>
      <c r="AJ390" s="40"/>
      <c r="AK390" s="40"/>
      <c r="AL390" s="40"/>
      <c r="AM390" s="40"/>
      <c r="AN390" s="40"/>
      <c r="AO390" s="40"/>
      <c r="AP390" s="40"/>
      <c r="AQ390" s="40"/>
      <c r="AR390" s="40"/>
      <c r="AS390" s="40"/>
      <c r="AT390" s="41"/>
      <c r="AU390" s="1806"/>
      <c r="AV390" s="1517">
        <f t="shared" si="236"/>
        <v>0</v>
      </c>
      <c r="AW390" s="1517">
        <f t="shared" si="237"/>
        <v>0</v>
      </c>
      <c r="AX390" s="1517">
        <f t="shared" si="238"/>
        <v>0</v>
      </c>
      <c r="AY390" s="42">
        <f t="shared" si="213"/>
        <v>0</v>
      </c>
      <c r="AZ390" s="35">
        <f t="shared" si="214"/>
        <v>0</v>
      </c>
      <c r="BA390" s="35">
        <f t="shared" si="215"/>
        <v>0</v>
      </c>
      <c r="BB390" s="35">
        <f t="shared" si="216"/>
        <v>0</v>
      </c>
      <c r="BC390" s="35">
        <f t="shared" si="217"/>
        <v>0</v>
      </c>
      <c r="BD390" s="35">
        <f t="shared" si="218"/>
        <v>0</v>
      </c>
      <c r="BE390" s="35">
        <f t="shared" si="219"/>
        <v>0</v>
      </c>
      <c r="BF390" s="35">
        <f t="shared" si="220"/>
        <v>0</v>
      </c>
      <c r="BG390" s="35">
        <f t="shared" si="221"/>
        <v>0</v>
      </c>
      <c r="BH390" s="35">
        <f t="shared" si="222"/>
        <v>0</v>
      </c>
      <c r="BI390" s="35">
        <f t="shared" si="223"/>
        <v>0</v>
      </c>
      <c r="BJ390" s="35">
        <f t="shared" si="224"/>
        <v>0</v>
      </c>
      <c r="BK390" s="35">
        <f t="shared" si="225"/>
        <v>0</v>
      </c>
      <c r="BL390" s="35">
        <f t="shared" si="226"/>
        <v>0</v>
      </c>
      <c r="BM390" s="35">
        <f t="shared" si="227"/>
        <v>0</v>
      </c>
      <c r="BN390" s="35">
        <f t="shared" si="228"/>
        <v>0</v>
      </c>
      <c r="BO390" s="35">
        <f t="shared" si="229"/>
        <v>0</v>
      </c>
      <c r="BP390" s="35">
        <f t="shared" si="230"/>
        <v>0</v>
      </c>
      <c r="BQ390" s="35">
        <f t="shared" si="231"/>
        <v>0</v>
      </c>
      <c r="BR390" s="35">
        <f t="shared" si="232"/>
        <v>0</v>
      </c>
      <c r="BS390" s="35">
        <f t="shared" si="233"/>
        <v>0</v>
      </c>
      <c r="BT390" s="43">
        <f t="shared" si="234"/>
        <v>0</v>
      </c>
    </row>
    <row r="391" spans="1:72">
      <c r="A391" s="9"/>
      <c r="B391" s="34"/>
      <c r="C391" s="34"/>
      <c r="D391" s="1805"/>
      <c r="E391" s="35">
        <f t="shared" si="235"/>
        <v>0</v>
      </c>
      <c r="F391" s="36"/>
      <c r="G391" s="37">
        <f t="shared" si="210"/>
        <v>0</v>
      </c>
      <c r="H391" s="38">
        <f t="shared" si="211"/>
        <v>0</v>
      </c>
      <c r="I391" s="39"/>
      <c r="J391" s="39"/>
      <c r="K391" s="39"/>
      <c r="L391" s="39"/>
      <c r="M391" s="39"/>
      <c r="N391" s="39"/>
      <c r="O391" s="39"/>
      <c r="P391" s="39"/>
      <c r="Q391" s="39"/>
      <c r="R391" s="39"/>
      <c r="S391" s="39"/>
      <c r="T391" s="39"/>
      <c r="U391" s="39"/>
      <c r="V391" s="39"/>
      <c r="W391" s="39"/>
      <c r="X391" s="39"/>
      <c r="Y391" s="39"/>
      <c r="Z391" s="39"/>
      <c r="AA391" s="39"/>
      <c r="AB391" s="39"/>
      <c r="AC391" s="35">
        <f t="shared" si="212"/>
        <v>0</v>
      </c>
      <c r="AD391" s="40"/>
      <c r="AE391" s="40"/>
      <c r="AF391" s="40"/>
      <c r="AG391" s="40"/>
      <c r="AH391" s="40"/>
      <c r="AI391" s="40"/>
      <c r="AJ391" s="40"/>
      <c r="AK391" s="40"/>
      <c r="AL391" s="40"/>
      <c r="AM391" s="40"/>
      <c r="AN391" s="40"/>
      <c r="AO391" s="40"/>
      <c r="AP391" s="40"/>
      <c r="AQ391" s="40"/>
      <c r="AR391" s="40"/>
      <c r="AS391" s="40"/>
      <c r="AT391" s="41"/>
      <c r="AU391" s="1806"/>
      <c r="AV391" s="1517">
        <f t="shared" si="236"/>
        <v>0</v>
      </c>
      <c r="AW391" s="1517">
        <f t="shared" si="237"/>
        <v>0</v>
      </c>
      <c r="AX391" s="1517">
        <f t="shared" si="238"/>
        <v>0</v>
      </c>
      <c r="AY391" s="42">
        <f t="shared" si="213"/>
        <v>0</v>
      </c>
      <c r="AZ391" s="35">
        <f t="shared" si="214"/>
        <v>0</v>
      </c>
      <c r="BA391" s="35">
        <f t="shared" si="215"/>
        <v>0</v>
      </c>
      <c r="BB391" s="35">
        <f t="shared" si="216"/>
        <v>0</v>
      </c>
      <c r="BC391" s="35">
        <f t="shared" si="217"/>
        <v>0</v>
      </c>
      <c r="BD391" s="35">
        <f t="shared" si="218"/>
        <v>0</v>
      </c>
      <c r="BE391" s="35">
        <f t="shared" si="219"/>
        <v>0</v>
      </c>
      <c r="BF391" s="35">
        <f t="shared" si="220"/>
        <v>0</v>
      </c>
      <c r="BG391" s="35">
        <f t="shared" si="221"/>
        <v>0</v>
      </c>
      <c r="BH391" s="35">
        <f t="shared" si="222"/>
        <v>0</v>
      </c>
      <c r="BI391" s="35">
        <f t="shared" si="223"/>
        <v>0</v>
      </c>
      <c r="BJ391" s="35">
        <f t="shared" si="224"/>
        <v>0</v>
      </c>
      <c r="BK391" s="35">
        <f t="shared" si="225"/>
        <v>0</v>
      </c>
      <c r="BL391" s="35">
        <f t="shared" si="226"/>
        <v>0</v>
      </c>
      <c r="BM391" s="35">
        <f t="shared" si="227"/>
        <v>0</v>
      </c>
      <c r="BN391" s="35">
        <f t="shared" si="228"/>
        <v>0</v>
      </c>
      <c r="BO391" s="35">
        <f t="shared" si="229"/>
        <v>0</v>
      </c>
      <c r="BP391" s="35">
        <f t="shared" si="230"/>
        <v>0</v>
      </c>
      <c r="BQ391" s="35">
        <f t="shared" si="231"/>
        <v>0</v>
      </c>
      <c r="BR391" s="35">
        <f t="shared" si="232"/>
        <v>0</v>
      </c>
      <c r="BS391" s="35">
        <f t="shared" si="233"/>
        <v>0</v>
      </c>
      <c r="BT391" s="43">
        <f t="shared" si="234"/>
        <v>0</v>
      </c>
    </row>
    <row r="392" spans="1:72">
      <c r="A392" s="9"/>
      <c r="B392" s="34"/>
      <c r="C392" s="34"/>
      <c r="D392" s="1805"/>
      <c r="E392" s="35">
        <f t="shared" si="235"/>
        <v>0</v>
      </c>
      <c r="F392" s="36"/>
      <c r="G392" s="37">
        <f t="shared" si="210"/>
        <v>0</v>
      </c>
      <c r="H392" s="38">
        <f t="shared" si="211"/>
        <v>0</v>
      </c>
      <c r="I392" s="39"/>
      <c r="J392" s="39"/>
      <c r="K392" s="39"/>
      <c r="L392" s="39"/>
      <c r="M392" s="39"/>
      <c r="N392" s="39"/>
      <c r="O392" s="39"/>
      <c r="P392" s="39"/>
      <c r="Q392" s="39"/>
      <c r="R392" s="39"/>
      <c r="S392" s="39"/>
      <c r="T392" s="39"/>
      <c r="U392" s="39"/>
      <c r="V392" s="39"/>
      <c r="W392" s="39"/>
      <c r="X392" s="39"/>
      <c r="Y392" s="39"/>
      <c r="Z392" s="39"/>
      <c r="AA392" s="39"/>
      <c r="AB392" s="39"/>
      <c r="AC392" s="35">
        <f t="shared" si="212"/>
        <v>0</v>
      </c>
      <c r="AD392" s="40"/>
      <c r="AE392" s="40"/>
      <c r="AF392" s="40"/>
      <c r="AG392" s="40"/>
      <c r="AH392" s="40"/>
      <c r="AI392" s="40"/>
      <c r="AJ392" s="40"/>
      <c r="AK392" s="40"/>
      <c r="AL392" s="40"/>
      <c r="AM392" s="40"/>
      <c r="AN392" s="40"/>
      <c r="AO392" s="40"/>
      <c r="AP392" s="40"/>
      <c r="AQ392" s="40"/>
      <c r="AR392" s="40"/>
      <c r="AS392" s="40"/>
      <c r="AT392" s="41"/>
      <c r="AU392" s="1806"/>
      <c r="AV392" s="1517">
        <f t="shared" si="236"/>
        <v>0</v>
      </c>
      <c r="AW392" s="1517">
        <f t="shared" si="237"/>
        <v>0</v>
      </c>
      <c r="AX392" s="1517">
        <f t="shared" si="238"/>
        <v>0</v>
      </c>
      <c r="AY392" s="42">
        <f t="shared" si="213"/>
        <v>0</v>
      </c>
      <c r="AZ392" s="35">
        <f t="shared" si="214"/>
        <v>0</v>
      </c>
      <c r="BA392" s="35">
        <f t="shared" si="215"/>
        <v>0</v>
      </c>
      <c r="BB392" s="35">
        <f t="shared" si="216"/>
        <v>0</v>
      </c>
      <c r="BC392" s="35">
        <f t="shared" si="217"/>
        <v>0</v>
      </c>
      <c r="BD392" s="35">
        <f t="shared" si="218"/>
        <v>0</v>
      </c>
      <c r="BE392" s="35">
        <f t="shared" si="219"/>
        <v>0</v>
      </c>
      <c r="BF392" s="35">
        <f t="shared" si="220"/>
        <v>0</v>
      </c>
      <c r="BG392" s="35">
        <f t="shared" si="221"/>
        <v>0</v>
      </c>
      <c r="BH392" s="35">
        <f t="shared" si="222"/>
        <v>0</v>
      </c>
      <c r="BI392" s="35">
        <f t="shared" si="223"/>
        <v>0</v>
      </c>
      <c r="BJ392" s="35">
        <f t="shared" si="224"/>
        <v>0</v>
      </c>
      <c r="BK392" s="35">
        <f t="shared" si="225"/>
        <v>0</v>
      </c>
      <c r="BL392" s="35">
        <f t="shared" si="226"/>
        <v>0</v>
      </c>
      <c r="BM392" s="35">
        <f t="shared" si="227"/>
        <v>0</v>
      </c>
      <c r="BN392" s="35">
        <f t="shared" si="228"/>
        <v>0</v>
      </c>
      <c r="BO392" s="35">
        <f t="shared" si="229"/>
        <v>0</v>
      </c>
      <c r="BP392" s="35">
        <f t="shared" si="230"/>
        <v>0</v>
      </c>
      <c r="BQ392" s="35">
        <f t="shared" si="231"/>
        <v>0</v>
      </c>
      <c r="BR392" s="35">
        <f t="shared" si="232"/>
        <v>0</v>
      </c>
      <c r="BS392" s="35">
        <f t="shared" si="233"/>
        <v>0</v>
      </c>
      <c r="BT392" s="43">
        <f t="shared" si="234"/>
        <v>0</v>
      </c>
    </row>
    <row r="393" spans="1:72">
      <c r="A393" s="9"/>
      <c r="B393" s="34"/>
      <c r="C393" s="34"/>
      <c r="D393" s="1805"/>
      <c r="E393" s="35">
        <f t="shared" si="235"/>
        <v>0</v>
      </c>
      <c r="F393" s="36"/>
      <c r="G393" s="37">
        <f t="shared" si="210"/>
        <v>0</v>
      </c>
      <c r="H393" s="38">
        <f t="shared" si="211"/>
        <v>0</v>
      </c>
      <c r="I393" s="39"/>
      <c r="J393" s="39"/>
      <c r="K393" s="39"/>
      <c r="L393" s="39"/>
      <c r="M393" s="39"/>
      <c r="N393" s="39"/>
      <c r="O393" s="39"/>
      <c r="P393" s="39"/>
      <c r="Q393" s="39"/>
      <c r="R393" s="39"/>
      <c r="S393" s="39"/>
      <c r="T393" s="39"/>
      <c r="U393" s="39"/>
      <c r="V393" s="39"/>
      <c r="W393" s="39"/>
      <c r="X393" s="39"/>
      <c r="Y393" s="39"/>
      <c r="Z393" s="39"/>
      <c r="AA393" s="39"/>
      <c r="AB393" s="39"/>
      <c r="AC393" s="35">
        <f t="shared" si="212"/>
        <v>0</v>
      </c>
      <c r="AD393" s="40"/>
      <c r="AE393" s="40"/>
      <c r="AF393" s="40"/>
      <c r="AG393" s="40"/>
      <c r="AH393" s="40"/>
      <c r="AI393" s="40"/>
      <c r="AJ393" s="40"/>
      <c r="AK393" s="40"/>
      <c r="AL393" s="40"/>
      <c r="AM393" s="40"/>
      <c r="AN393" s="40"/>
      <c r="AO393" s="40"/>
      <c r="AP393" s="40"/>
      <c r="AQ393" s="40"/>
      <c r="AR393" s="40"/>
      <c r="AS393" s="40"/>
      <c r="AT393" s="41"/>
      <c r="AU393" s="1806"/>
      <c r="AV393" s="1517">
        <f t="shared" si="236"/>
        <v>0</v>
      </c>
      <c r="AW393" s="1517">
        <f t="shared" si="237"/>
        <v>0</v>
      </c>
      <c r="AX393" s="1517">
        <f t="shared" si="238"/>
        <v>0</v>
      </c>
      <c r="AY393" s="42">
        <f t="shared" si="213"/>
        <v>0</v>
      </c>
      <c r="AZ393" s="35">
        <f t="shared" si="214"/>
        <v>0</v>
      </c>
      <c r="BA393" s="35">
        <f t="shared" si="215"/>
        <v>0</v>
      </c>
      <c r="BB393" s="35">
        <f t="shared" si="216"/>
        <v>0</v>
      </c>
      <c r="BC393" s="35">
        <f t="shared" si="217"/>
        <v>0</v>
      </c>
      <c r="BD393" s="35">
        <f t="shared" si="218"/>
        <v>0</v>
      </c>
      <c r="BE393" s="35">
        <f t="shared" si="219"/>
        <v>0</v>
      </c>
      <c r="BF393" s="35">
        <f t="shared" si="220"/>
        <v>0</v>
      </c>
      <c r="BG393" s="35">
        <f t="shared" si="221"/>
        <v>0</v>
      </c>
      <c r="BH393" s="35">
        <f t="shared" si="222"/>
        <v>0</v>
      </c>
      <c r="BI393" s="35">
        <f t="shared" si="223"/>
        <v>0</v>
      </c>
      <c r="BJ393" s="35">
        <f t="shared" si="224"/>
        <v>0</v>
      </c>
      <c r="BK393" s="35">
        <f t="shared" si="225"/>
        <v>0</v>
      </c>
      <c r="BL393" s="35">
        <f t="shared" si="226"/>
        <v>0</v>
      </c>
      <c r="BM393" s="35">
        <f t="shared" si="227"/>
        <v>0</v>
      </c>
      <c r="BN393" s="35">
        <f t="shared" si="228"/>
        <v>0</v>
      </c>
      <c r="BO393" s="35">
        <f t="shared" si="229"/>
        <v>0</v>
      </c>
      <c r="BP393" s="35">
        <f t="shared" si="230"/>
        <v>0</v>
      </c>
      <c r="BQ393" s="35">
        <f t="shared" si="231"/>
        <v>0</v>
      </c>
      <c r="BR393" s="35">
        <f t="shared" si="232"/>
        <v>0</v>
      </c>
      <c r="BS393" s="35">
        <f t="shared" si="233"/>
        <v>0</v>
      </c>
      <c r="BT393" s="43">
        <f t="shared" si="234"/>
        <v>0</v>
      </c>
    </row>
    <row r="394" spans="1:72">
      <c r="A394" s="9"/>
      <c r="B394" s="34"/>
      <c r="C394" s="34"/>
      <c r="D394" s="1805"/>
      <c r="E394" s="35">
        <f t="shared" si="235"/>
        <v>0</v>
      </c>
      <c r="F394" s="36"/>
      <c r="G394" s="37">
        <f t="shared" si="210"/>
        <v>0</v>
      </c>
      <c r="H394" s="38">
        <f t="shared" si="211"/>
        <v>0</v>
      </c>
      <c r="I394" s="39"/>
      <c r="J394" s="39"/>
      <c r="K394" s="39"/>
      <c r="L394" s="39"/>
      <c r="M394" s="39"/>
      <c r="N394" s="39"/>
      <c r="O394" s="39"/>
      <c r="P394" s="39"/>
      <c r="Q394" s="39"/>
      <c r="R394" s="39"/>
      <c r="S394" s="39"/>
      <c r="T394" s="39"/>
      <c r="U394" s="39"/>
      <c r="V394" s="39"/>
      <c r="W394" s="39"/>
      <c r="X394" s="39"/>
      <c r="Y394" s="39"/>
      <c r="Z394" s="39"/>
      <c r="AA394" s="39"/>
      <c r="AB394" s="39"/>
      <c r="AC394" s="35">
        <f t="shared" si="212"/>
        <v>0</v>
      </c>
      <c r="AD394" s="40"/>
      <c r="AE394" s="40"/>
      <c r="AF394" s="40"/>
      <c r="AG394" s="40"/>
      <c r="AH394" s="40"/>
      <c r="AI394" s="40"/>
      <c r="AJ394" s="40"/>
      <c r="AK394" s="40"/>
      <c r="AL394" s="40"/>
      <c r="AM394" s="40"/>
      <c r="AN394" s="40"/>
      <c r="AO394" s="40"/>
      <c r="AP394" s="40"/>
      <c r="AQ394" s="40"/>
      <c r="AR394" s="40"/>
      <c r="AS394" s="40"/>
      <c r="AT394" s="41"/>
      <c r="AU394" s="1806"/>
      <c r="AV394" s="1517">
        <f t="shared" si="236"/>
        <v>0</v>
      </c>
      <c r="AW394" s="1517">
        <f t="shared" si="237"/>
        <v>0</v>
      </c>
      <c r="AX394" s="1517">
        <f t="shared" si="238"/>
        <v>0</v>
      </c>
      <c r="AY394" s="42">
        <f t="shared" si="213"/>
        <v>0</v>
      </c>
      <c r="AZ394" s="35">
        <f t="shared" si="214"/>
        <v>0</v>
      </c>
      <c r="BA394" s="35">
        <f t="shared" si="215"/>
        <v>0</v>
      </c>
      <c r="BB394" s="35">
        <f t="shared" si="216"/>
        <v>0</v>
      </c>
      <c r="BC394" s="35">
        <f t="shared" si="217"/>
        <v>0</v>
      </c>
      <c r="BD394" s="35">
        <f t="shared" si="218"/>
        <v>0</v>
      </c>
      <c r="BE394" s="35">
        <f t="shared" si="219"/>
        <v>0</v>
      </c>
      <c r="BF394" s="35">
        <f t="shared" si="220"/>
        <v>0</v>
      </c>
      <c r="BG394" s="35">
        <f t="shared" si="221"/>
        <v>0</v>
      </c>
      <c r="BH394" s="35">
        <f t="shared" si="222"/>
        <v>0</v>
      </c>
      <c r="BI394" s="35">
        <f t="shared" si="223"/>
        <v>0</v>
      </c>
      <c r="BJ394" s="35">
        <f t="shared" si="224"/>
        <v>0</v>
      </c>
      <c r="BK394" s="35">
        <f t="shared" si="225"/>
        <v>0</v>
      </c>
      <c r="BL394" s="35">
        <f t="shared" si="226"/>
        <v>0</v>
      </c>
      <c r="BM394" s="35">
        <f t="shared" si="227"/>
        <v>0</v>
      </c>
      <c r="BN394" s="35">
        <f t="shared" si="228"/>
        <v>0</v>
      </c>
      <c r="BO394" s="35">
        <f t="shared" si="229"/>
        <v>0</v>
      </c>
      <c r="BP394" s="35">
        <f t="shared" si="230"/>
        <v>0</v>
      </c>
      <c r="BQ394" s="35">
        <f t="shared" si="231"/>
        <v>0</v>
      </c>
      <c r="BR394" s="35">
        <f t="shared" si="232"/>
        <v>0</v>
      </c>
      <c r="BS394" s="35">
        <f t="shared" si="233"/>
        <v>0</v>
      </c>
      <c r="BT394" s="43">
        <f t="shared" si="234"/>
        <v>0</v>
      </c>
    </row>
    <row r="395" spans="1:72">
      <c r="A395" s="9"/>
      <c r="B395" s="9"/>
      <c r="C395" s="9"/>
      <c r="D395" s="1805"/>
      <c r="E395" s="35">
        <f t="shared" si="235"/>
        <v>0</v>
      </c>
      <c r="F395" s="44"/>
      <c r="G395" s="37">
        <f t="shared" si="210"/>
        <v>0</v>
      </c>
      <c r="H395" s="38">
        <f t="shared" si="211"/>
        <v>0</v>
      </c>
      <c r="I395" s="10"/>
      <c r="J395" s="10"/>
      <c r="K395" s="39"/>
      <c r="L395" s="39"/>
      <c r="M395" s="39"/>
      <c r="N395" s="39"/>
      <c r="O395" s="39"/>
      <c r="P395" s="39"/>
      <c r="Q395" s="39"/>
      <c r="R395" s="39"/>
      <c r="S395" s="39"/>
      <c r="T395" s="39"/>
      <c r="U395" s="39"/>
      <c r="V395" s="39"/>
      <c r="W395" s="39"/>
      <c r="X395" s="39"/>
      <c r="Y395" s="39"/>
      <c r="Z395" s="39"/>
      <c r="AA395" s="39"/>
      <c r="AB395" s="39"/>
      <c r="AC395" s="35">
        <f t="shared" si="212"/>
        <v>0</v>
      </c>
      <c r="AD395" s="40"/>
      <c r="AE395" s="40"/>
      <c r="AF395" s="40"/>
      <c r="AG395" s="40"/>
      <c r="AH395" s="40"/>
      <c r="AI395" s="40"/>
      <c r="AJ395" s="40"/>
      <c r="AK395" s="40"/>
      <c r="AL395" s="40"/>
      <c r="AM395" s="40"/>
      <c r="AN395" s="40"/>
      <c r="AO395" s="40"/>
      <c r="AP395" s="40"/>
      <c r="AQ395" s="40"/>
      <c r="AR395" s="40"/>
      <c r="AS395" s="40"/>
      <c r="AT395" s="40"/>
      <c r="AU395" s="1746"/>
      <c r="AV395" s="1517">
        <f t="shared" si="236"/>
        <v>0</v>
      </c>
      <c r="AW395" s="1517">
        <f t="shared" si="237"/>
        <v>0</v>
      </c>
      <c r="AX395" s="1517">
        <f t="shared" si="238"/>
        <v>0</v>
      </c>
      <c r="AY395" s="42">
        <f t="shared" si="213"/>
        <v>0</v>
      </c>
      <c r="AZ395" s="35">
        <f t="shared" si="214"/>
        <v>0</v>
      </c>
      <c r="BA395" s="35">
        <f t="shared" si="215"/>
        <v>0</v>
      </c>
      <c r="BB395" s="35">
        <f t="shared" si="216"/>
        <v>0</v>
      </c>
      <c r="BC395" s="35">
        <f t="shared" si="217"/>
        <v>0</v>
      </c>
      <c r="BD395" s="35">
        <f t="shared" si="218"/>
        <v>0</v>
      </c>
      <c r="BE395" s="35">
        <f t="shared" si="219"/>
        <v>0</v>
      </c>
      <c r="BF395" s="35">
        <f t="shared" si="220"/>
        <v>0</v>
      </c>
      <c r="BG395" s="35">
        <f t="shared" si="221"/>
        <v>0</v>
      </c>
      <c r="BH395" s="35">
        <f t="shared" si="222"/>
        <v>0</v>
      </c>
      <c r="BI395" s="35">
        <f t="shared" si="223"/>
        <v>0</v>
      </c>
      <c r="BJ395" s="35">
        <f t="shared" si="224"/>
        <v>0</v>
      </c>
      <c r="BK395" s="35">
        <f t="shared" si="225"/>
        <v>0</v>
      </c>
      <c r="BL395" s="35">
        <f t="shared" si="226"/>
        <v>0</v>
      </c>
      <c r="BM395" s="35">
        <f t="shared" si="227"/>
        <v>0</v>
      </c>
      <c r="BN395" s="35">
        <f t="shared" si="228"/>
        <v>0</v>
      </c>
      <c r="BO395" s="35">
        <f t="shared" si="229"/>
        <v>0</v>
      </c>
      <c r="BP395" s="35">
        <f t="shared" si="230"/>
        <v>0</v>
      </c>
      <c r="BQ395" s="35">
        <f t="shared" si="231"/>
        <v>0</v>
      </c>
      <c r="BR395" s="35">
        <f t="shared" si="232"/>
        <v>0</v>
      </c>
      <c r="BS395" s="35">
        <f t="shared" si="233"/>
        <v>0</v>
      </c>
      <c r="BT395" s="43">
        <f t="shared" si="234"/>
        <v>0</v>
      </c>
    </row>
    <row r="396" spans="1:72">
      <c r="A396" s="9"/>
      <c r="B396" s="9"/>
      <c r="C396" s="9"/>
      <c r="D396" s="1805"/>
      <c r="E396" s="35">
        <f t="shared" si="235"/>
        <v>0</v>
      </c>
      <c r="F396" s="44"/>
      <c r="G396" s="37">
        <f>H396+AC396+AT396</f>
        <v>0</v>
      </c>
      <c r="H396" s="38">
        <f>SUMIF(I$12:AB$12,"总值",I396:AB396)</f>
        <v>0</v>
      </c>
      <c r="I396" s="39"/>
      <c r="J396" s="39"/>
      <c r="K396" s="39"/>
      <c r="L396" s="39"/>
      <c r="M396" s="39"/>
      <c r="N396" s="39"/>
      <c r="O396" s="39"/>
      <c r="P396" s="39"/>
      <c r="Q396" s="39"/>
      <c r="R396" s="39"/>
      <c r="S396" s="39"/>
      <c r="T396" s="39"/>
      <c r="U396" s="39"/>
      <c r="V396" s="39"/>
      <c r="W396" s="39"/>
      <c r="X396" s="39"/>
      <c r="Y396" s="39"/>
      <c r="Z396" s="39"/>
      <c r="AA396" s="39"/>
      <c r="AB396" s="39"/>
      <c r="AC396" s="35">
        <f>SUMIF(AD$12:AS$12,"总值",AD396:AS396)</f>
        <v>0</v>
      </c>
      <c r="AD396" s="40"/>
      <c r="AE396" s="40"/>
      <c r="AF396" s="40"/>
      <c r="AG396" s="40"/>
      <c r="AH396" s="40"/>
      <c r="AI396" s="40"/>
      <c r="AJ396" s="40"/>
      <c r="AK396" s="40"/>
      <c r="AL396" s="40"/>
      <c r="AM396" s="40"/>
      <c r="AN396" s="40"/>
      <c r="AO396" s="40"/>
      <c r="AP396" s="40"/>
      <c r="AQ396" s="40"/>
      <c r="AR396" s="40"/>
      <c r="AS396" s="40"/>
      <c r="AT396" s="40"/>
      <c r="AU396" s="1746"/>
      <c r="AV396" s="1517">
        <f t="shared" si="236"/>
        <v>0</v>
      </c>
      <c r="AW396" s="1517">
        <f t="shared" si="237"/>
        <v>0</v>
      </c>
      <c r="AX396" s="1517">
        <f t="shared" si="238"/>
        <v>0</v>
      </c>
      <c r="AY396" s="42">
        <f>ROUND($AY$6*AZ396/$AZ$5,2)</f>
        <v>0</v>
      </c>
      <c r="AZ396" s="35">
        <f>BA396+BL396</f>
        <v>0</v>
      </c>
      <c r="BA396" s="35">
        <f>SUM(BB396:BK396)</f>
        <v>0</v>
      </c>
      <c r="BB396" s="35">
        <f t="shared" si="216"/>
        <v>0</v>
      </c>
      <c r="BC396" s="35">
        <f t="shared" si="217"/>
        <v>0</v>
      </c>
      <c r="BD396" s="35">
        <f t="shared" si="218"/>
        <v>0</v>
      </c>
      <c r="BE396" s="35">
        <f t="shared" si="219"/>
        <v>0</v>
      </c>
      <c r="BF396" s="35">
        <f t="shared" si="220"/>
        <v>0</v>
      </c>
      <c r="BG396" s="35">
        <f t="shared" si="221"/>
        <v>0</v>
      </c>
      <c r="BH396" s="35">
        <f t="shared" si="222"/>
        <v>0</v>
      </c>
      <c r="BI396" s="35">
        <f t="shared" si="223"/>
        <v>0</v>
      </c>
      <c r="BJ396" s="35">
        <f t="shared" si="224"/>
        <v>0</v>
      </c>
      <c r="BK396" s="35">
        <f t="shared" si="225"/>
        <v>0</v>
      </c>
      <c r="BL396" s="35">
        <f>SUM(BM396:BT396)</f>
        <v>0</v>
      </c>
      <c r="BM396" s="35">
        <f t="shared" si="227"/>
        <v>0</v>
      </c>
      <c r="BN396" s="35">
        <f t="shared" si="228"/>
        <v>0</v>
      </c>
      <c r="BO396" s="35">
        <f t="shared" si="229"/>
        <v>0</v>
      </c>
      <c r="BP396" s="35">
        <f t="shared" si="230"/>
        <v>0</v>
      </c>
      <c r="BQ396" s="35">
        <f t="shared" si="231"/>
        <v>0</v>
      </c>
      <c r="BR396" s="35">
        <f t="shared" si="232"/>
        <v>0</v>
      </c>
      <c r="BS396" s="35">
        <f t="shared" si="233"/>
        <v>0</v>
      </c>
      <c r="BT396" s="43">
        <f t="shared" si="234"/>
        <v>0</v>
      </c>
    </row>
    <row r="397" spans="1:72">
      <c r="A397" s="9"/>
      <c r="B397" s="9"/>
      <c r="C397" s="9"/>
      <c r="D397" s="1805"/>
      <c r="E397" s="35">
        <f t="shared" si="235"/>
        <v>0</v>
      </c>
      <c r="F397" s="44"/>
      <c r="G397" s="37">
        <f>H397+AC397+AT397</f>
        <v>0</v>
      </c>
      <c r="H397" s="38">
        <f>SUMIF(I$12:AB$12,"总值",I397:AB397)</f>
        <v>0</v>
      </c>
      <c r="I397" s="39"/>
      <c r="J397" s="39"/>
      <c r="K397" s="39"/>
      <c r="L397" s="39"/>
      <c r="M397" s="39"/>
      <c r="N397" s="39"/>
      <c r="O397" s="39"/>
      <c r="P397" s="39"/>
      <c r="Q397" s="39"/>
      <c r="R397" s="39"/>
      <c r="S397" s="39"/>
      <c r="T397" s="39"/>
      <c r="U397" s="39"/>
      <c r="V397" s="39"/>
      <c r="W397" s="39"/>
      <c r="X397" s="39"/>
      <c r="Y397" s="39"/>
      <c r="Z397" s="39"/>
      <c r="AA397" s="39"/>
      <c r="AB397" s="39"/>
      <c r="AC397" s="35">
        <f>SUMIF(AD$12:AS$12,"总值",AD397:AS397)</f>
        <v>0</v>
      </c>
      <c r="AD397" s="40"/>
      <c r="AE397" s="40"/>
      <c r="AF397" s="40"/>
      <c r="AG397" s="40"/>
      <c r="AH397" s="40"/>
      <c r="AI397" s="40"/>
      <c r="AJ397" s="40"/>
      <c r="AK397" s="40"/>
      <c r="AL397" s="40"/>
      <c r="AM397" s="40"/>
      <c r="AN397" s="40"/>
      <c r="AO397" s="40"/>
      <c r="AP397" s="40"/>
      <c r="AQ397" s="40"/>
      <c r="AR397" s="40"/>
      <c r="AS397" s="40"/>
      <c r="AT397" s="40"/>
      <c r="AU397" s="1746"/>
      <c r="AV397" s="1517">
        <f t="shared" si="236"/>
        <v>0</v>
      </c>
      <c r="AW397" s="1517">
        <f t="shared" si="237"/>
        <v>0</v>
      </c>
      <c r="AX397" s="1517">
        <f t="shared" si="238"/>
        <v>0</v>
      </c>
      <c r="AY397" s="42">
        <f>ROUND($AY$6*AZ397/$AZ$5,2)</f>
        <v>0</v>
      </c>
      <c r="AZ397" s="35">
        <f>BA397+BL397</f>
        <v>0</v>
      </c>
      <c r="BA397" s="35">
        <f>SUM(BB397:BK397)</f>
        <v>0</v>
      </c>
      <c r="BB397" s="35">
        <f t="shared" si="216"/>
        <v>0</v>
      </c>
      <c r="BC397" s="35">
        <f t="shared" si="217"/>
        <v>0</v>
      </c>
      <c r="BD397" s="35">
        <f t="shared" si="218"/>
        <v>0</v>
      </c>
      <c r="BE397" s="35">
        <f t="shared" si="219"/>
        <v>0</v>
      </c>
      <c r="BF397" s="35">
        <f t="shared" si="220"/>
        <v>0</v>
      </c>
      <c r="BG397" s="35">
        <f t="shared" si="221"/>
        <v>0</v>
      </c>
      <c r="BH397" s="35">
        <f t="shared" si="222"/>
        <v>0</v>
      </c>
      <c r="BI397" s="35">
        <f t="shared" si="223"/>
        <v>0</v>
      </c>
      <c r="BJ397" s="35">
        <f t="shared" si="224"/>
        <v>0</v>
      </c>
      <c r="BK397" s="35">
        <f t="shared" si="225"/>
        <v>0</v>
      </c>
      <c r="BL397" s="35">
        <f>SUM(BM397:BT397)</f>
        <v>0</v>
      </c>
      <c r="BM397" s="35">
        <f t="shared" si="227"/>
        <v>0</v>
      </c>
      <c r="BN397" s="35">
        <f t="shared" si="228"/>
        <v>0</v>
      </c>
      <c r="BO397" s="35">
        <f t="shared" si="229"/>
        <v>0</v>
      </c>
      <c r="BP397" s="35">
        <f t="shared" si="230"/>
        <v>0</v>
      </c>
      <c r="BQ397" s="35">
        <f t="shared" si="231"/>
        <v>0</v>
      </c>
      <c r="BR397" s="35">
        <f t="shared" si="232"/>
        <v>0</v>
      </c>
      <c r="BS397" s="35">
        <f t="shared" si="233"/>
        <v>0</v>
      </c>
      <c r="BT397" s="43">
        <f t="shared" si="234"/>
        <v>0</v>
      </c>
    </row>
    <row r="398" spans="1:72">
      <c r="A398" s="9"/>
      <c r="B398" s="34"/>
      <c r="C398" s="34"/>
      <c r="D398" s="1805"/>
      <c r="E398" s="35">
        <f t="shared" ref="E398:E492" si="239">IF($C$3="是",ROUND($A$3*G398/$B$3,2),ROUND($A$3*(G398-AT398)/$B$3,2))</f>
        <v>0</v>
      </c>
      <c r="F398" s="36"/>
      <c r="G398" s="37">
        <f t="shared" ref="G398:G489" si="240">H398+AC398+AT398</f>
        <v>0</v>
      </c>
      <c r="H398" s="38">
        <f t="shared" ref="H398:H489" si="241">SUMIF(I$12:AB$12,"总值",I398:AB398)</f>
        <v>0</v>
      </c>
      <c r="I398" s="39"/>
      <c r="J398" s="39"/>
      <c r="K398" s="39"/>
      <c r="L398" s="39"/>
      <c r="M398" s="39"/>
      <c r="N398" s="39"/>
      <c r="O398" s="39"/>
      <c r="P398" s="39"/>
      <c r="Q398" s="39"/>
      <c r="R398" s="39"/>
      <c r="S398" s="39"/>
      <c r="T398" s="39"/>
      <c r="U398" s="39"/>
      <c r="V398" s="39"/>
      <c r="W398" s="39"/>
      <c r="X398" s="39"/>
      <c r="Y398" s="39"/>
      <c r="Z398" s="39"/>
      <c r="AA398" s="39"/>
      <c r="AB398" s="39"/>
      <c r="AC398" s="35">
        <f t="shared" ref="AC398:AC489" si="242">SUMIF(AD$12:AS$12,"总值",AD398:AS398)</f>
        <v>0</v>
      </c>
      <c r="AD398" s="40"/>
      <c r="AE398" s="40"/>
      <c r="AF398" s="40"/>
      <c r="AG398" s="40"/>
      <c r="AH398" s="40"/>
      <c r="AI398" s="40"/>
      <c r="AJ398" s="40"/>
      <c r="AK398" s="40"/>
      <c r="AL398" s="40"/>
      <c r="AM398" s="40"/>
      <c r="AN398" s="40"/>
      <c r="AO398" s="40"/>
      <c r="AP398" s="40"/>
      <c r="AQ398" s="40"/>
      <c r="AR398" s="40"/>
      <c r="AS398" s="40"/>
      <c r="AT398" s="41"/>
      <c r="AU398" s="1806"/>
      <c r="AV398" s="1517">
        <f t="shared" ref="AV398:AV492" si="243">A398</f>
        <v>0</v>
      </c>
      <c r="AW398" s="1517">
        <f t="shared" ref="AW398:AW492" si="244">B398</f>
        <v>0</v>
      </c>
      <c r="AX398" s="1517">
        <f t="shared" ref="AX398:AX492" si="245">C398</f>
        <v>0</v>
      </c>
      <c r="AY398" s="42">
        <f t="shared" ref="AY398:AY489" si="246">ROUND($AY$6*AZ398/$AZ$5,2)</f>
        <v>0</v>
      </c>
      <c r="AZ398" s="35">
        <f t="shared" ref="AZ398:AZ489" si="247">BA398+BL398</f>
        <v>0</v>
      </c>
      <c r="BA398" s="35">
        <f t="shared" ref="BA398:BA489" si="248">SUM(BB398:BK398)</f>
        <v>0</v>
      </c>
      <c r="BB398" s="35">
        <f t="shared" ref="BB398:BB489" si="249">IF($D398="是",I398-J398,0)</f>
        <v>0</v>
      </c>
      <c r="BC398" s="35">
        <f t="shared" ref="BC398:BC489" si="250">IF($D398="是",K398-L398,0)</f>
        <v>0</v>
      </c>
      <c r="BD398" s="35">
        <f t="shared" ref="BD398:BD489" si="251">IF($D398="是",M398-N398,0)</f>
        <v>0</v>
      </c>
      <c r="BE398" s="35">
        <f t="shared" ref="BE398:BE489" si="252">IF($D398="是",O398-P398,0)</f>
        <v>0</v>
      </c>
      <c r="BF398" s="35">
        <f t="shared" ref="BF398:BF489" si="253">IF($D398="是",Q398-R398,0)</f>
        <v>0</v>
      </c>
      <c r="BG398" s="35">
        <f t="shared" ref="BG398:BG489" si="254">IF($D398="是",S398-T398,0)</f>
        <v>0</v>
      </c>
      <c r="BH398" s="35">
        <f t="shared" ref="BH398:BH489" si="255">IF($D398="是",U398-V398,0)</f>
        <v>0</v>
      </c>
      <c r="BI398" s="35">
        <f t="shared" ref="BI398:BI489" si="256">IF($D398="是",W398-X398,0)</f>
        <v>0</v>
      </c>
      <c r="BJ398" s="35">
        <f t="shared" ref="BJ398:BJ489" si="257">IF($D398="是",Y398-Z398,0)</f>
        <v>0</v>
      </c>
      <c r="BK398" s="35">
        <f t="shared" ref="BK398:BK489" si="258">IF($D398="是",AA398-AB398,0)</f>
        <v>0</v>
      </c>
      <c r="BL398" s="35">
        <f t="shared" ref="BL398:BL489" si="259">SUM(BM398:BT398)</f>
        <v>0</v>
      </c>
      <c r="BM398" s="35">
        <f t="shared" ref="BM398:BM489" si="260">IF($D398="是",AD398-AE398,0)</f>
        <v>0</v>
      </c>
      <c r="BN398" s="35">
        <f t="shared" ref="BN398:BN489" si="261">IF($D398="是",AF398-AG398,0)</f>
        <v>0</v>
      </c>
      <c r="BO398" s="35">
        <f t="shared" ref="BO398:BO489" si="262">IF($D398="是",AH398-AI398,0)</f>
        <v>0</v>
      </c>
      <c r="BP398" s="35">
        <f t="shared" ref="BP398:BP489" si="263">IF($D398="是",AJ398-AK398,0)</f>
        <v>0</v>
      </c>
      <c r="BQ398" s="35">
        <f t="shared" ref="BQ398:BQ489" si="264">IF($D398="是",AL398-AM398,0)</f>
        <v>0</v>
      </c>
      <c r="BR398" s="35">
        <f t="shared" ref="BR398:BR489" si="265">IF($D398="是",AN398-AO398,0)</f>
        <v>0</v>
      </c>
      <c r="BS398" s="35">
        <f t="shared" ref="BS398:BS489" si="266">IF($D398="是",AP398-AQ398,0)</f>
        <v>0</v>
      </c>
      <c r="BT398" s="43">
        <f t="shared" ref="BT398:BT489" si="267">IF($D398="是",AR398-AS398,0)</f>
        <v>0</v>
      </c>
    </row>
    <row r="399" spans="1:72">
      <c r="A399" s="9"/>
      <c r="B399" s="34"/>
      <c r="C399" s="34"/>
      <c r="D399" s="1805"/>
      <c r="E399" s="35">
        <f t="shared" si="239"/>
        <v>0</v>
      </c>
      <c r="F399" s="36"/>
      <c r="G399" s="37">
        <f t="shared" si="240"/>
        <v>0</v>
      </c>
      <c r="H399" s="38">
        <f t="shared" si="241"/>
        <v>0</v>
      </c>
      <c r="I399" s="39"/>
      <c r="J399" s="39"/>
      <c r="K399" s="39"/>
      <c r="L399" s="39"/>
      <c r="M399" s="39"/>
      <c r="N399" s="39"/>
      <c r="O399" s="39"/>
      <c r="P399" s="39"/>
      <c r="Q399" s="39"/>
      <c r="R399" s="39"/>
      <c r="S399" s="39"/>
      <c r="T399" s="39"/>
      <c r="U399" s="39"/>
      <c r="V399" s="39"/>
      <c r="W399" s="39"/>
      <c r="X399" s="39"/>
      <c r="Y399" s="39"/>
      <c r="Z399" s="39"/>
      <c r="AA399" s="39"/>
      <c r="AB399" s="39"/>
      <c r="AC399" s="35">
        <f t="shared" si="242"/>
        <v>0</v>
      </c>
      <c r="AD399" s="40"/>
      <c r="AE399" s="40"/>
      <c r="AF399" s="40"/>
      <c r="AG399" s="40"/>
      <c r="AH399" s="40"/>
      <c r="AI399" s="40"/>
      <c r="AJ399" s="40"/>
      <c r="AK399" s="40"/>
      <c r="AL399" s="40"/>
      <c r="AM399" s="40"/>
      <c r="AN399" s="40"/>
      <c r="AO399" s="40"/>
      <c r="AP399" s="40"/>
      <c r="AQ399" s="40"/>
      <c r="AR399" s="40"/>
      <c r="AS399" s="40"/>
      <c r="AT399" s="41"/>
      <c r="AU399" s="1806"/>
      <c r="AV399" s="1517">
        <f t="shared" si="243"/>
        <v>0</v>
      </c>
      <c r="AW399" s="1517">
        <f t="shared" si="244"/>
        <v>0</v>
      </c>
      <c r="AX399" s="1517">
        <f t="shared" si="245"/>
        <v>0</v>
      </c>
      <c r="AY399" s="42">
        <f t="shared" si="246"/>
        <v>0</v>
      </c>
      <c r="AZ399" s="35">
        <f t="shared" si="247"/>
        <v>0</v>
      </c>
      <c r="BA399" s="35">
        <f t="shared" si="248"/>
        <v>0</v>
      </c>
      <c r="BB399" s="35">
        <f t="shared" si="249"/>
        <v>0</v>
      </c>
      <c r="BC399" s="35">
        <f t="shared" si="250"/>
        <v>0</v>
      </c>
      <c r="BD399" s="35">
        <f t="shared" si="251"/>
        <v>0</v>
      </c>
      <c r="BE399" s="35">
        <f t="shared" si="252"/>
        <v>0</v>
      </c>
      <c r="BF399" s="35">
        <f t="shared" si="253"/>
        <v>0</v>
      </c>
      <c r="BG399" s="35">
        <f t="shared" si="254"/>
        <v>0</v>
      </c>
      <c r="BH399" s="35">
        <f t="shared" si="255"/>
        <v>0</v>
      </c>
      <c r="BI399" s="35">
        <f t="shared" si="256"/>
        <v>0</v>
      </c>
      <c r="BJ399" s="35">
        <f t="shared" si="257"/>
        <v>0</v>
      </c>
      <c r="BK399" s="35">
        <f t="shared" si="258"/>
        <v>0</v>
      </c>
      <c r="BL399" s="35">
        <f t="shared" si="259"/>
        <v>0</v>
      </c>
      <c r="BM399" s="35">
        <f t="shared" si="260"/>
        <v>0</v>
      </c>
      <c r="BN399" s="35">
        <f t="shared" si="261"/>
        <v>0</v>
      </c>
      <c r="BO399" s="35">
        <f t="shared" si="262"/>
        <v>0</v>
      </c>
      <c r="BP399" s="35">
        <f t="shared" si="263"/>
        <v>0</v>
      </c>
      <c r="BQ399" s="35">
        <f t="shared" si="264"/>
        <v>0</v>
      </c>
      <c r="BR399" s="35">
        <f t="shared" si="265"/>
        <v>0</v>
      </c>
      <c r="BS399" s="35">
        <f t="shared" si="266"/>
        <v>0</v>
      </c>
      <c r="BT399" s="43">
        <f t="shared" si="267"/>
        <v>0</v>
      </c>
    </row>
    <row r="400" spans="1:72">
      <c r="A400" s="9"/>
      <c r="B400" s="34"/>
      <c r="C400" s="34"/>
      <c r="D400" s="1805"/>
      <c r="E400" s="35">
        <f t="shared" si="239"/>
        <v>0</v>
      </c>
      <c r="F400" s="36"/>
      <c r="G400" s="37">
        <f t="shared" si="240"/>
        <v>0</v>
      </c>
      <c r="H400" s="38">
        <f t="shared" si="241"/>
        <v>0</v>
      </c>
      <c r="I400" s="39"/>
      <c r="J400" s="39"/>
      <c r="K400" s="39"/>
      <c r="L400" s="39"/>
      <c r="M400" s="39"/>
      <c r="N400" s="39"/>
      <c r="O400" s="39"/>
      <c r="P400" s="39"/>
      <c r="Q400" s="39"/>
      <c r="R400" s="39"/>
      <c r="S400" s="39"/>
      <c r="T400" s="39"/>
      <c r="U400" s="39"/>
      <c r="V400" s="39"/>
      <c r="W400" s="39"/>
      <c r="X400" s="39"/>
      <c r="Y400" s="39"/>
      <c r="Z400" s="39"/>
      <c r="AA400" s="39"/>
      <c r="AB400" s="39"/>
      <c r="AC400" s="35">
        <f t="shared" si="242"/>
        <v>0</v>
      </c>
      <c r="AD400" s="40"/>
      <c r="AE400" s="40"/>
      <c r="AF400" s="40"/>
      <c r="AG400" s="40"/>
      <c r="AH400" s="40"/>
      <c r="AI400" s="40"/>
      <c r="AJ400" s="40"/>
      <c r="AK400" s="40"/>
      <c r="AL400" s="40"/>
      <c r="AM400" s="40"/>
      <c r="AN400" s="40"/>
      <c r="AO400" s="40"/>
      <c r="AP400" s="40"/>
      <c r="AQ400" s="40"/>
      <c r="AR400" s="40"/>
      <c r="AS400" s="40"/>
      <c r="AT400" s="41"/>
      <c r="AU400" s="1806"/>
      <c r="AV400" s="1517">
        <f t="shared" si="243"/>
        <v>0</v>
      </c>
      <c r="AW400" s="1517">
        <f t="shared" si="244"/>
        <v>0</v>
      </c>
      <c r="AX400" s="1517">
        <f t="shared" si="245"/>
        <v>0</v>
      </c>
      <c r="AY400" s="42">
        <f t="shared" si="246"/>
        <v>0</v>
      </c>
      <c r="AZ400" s="35">
        <f t="shared" si="247"/>
        <v>0</v>
      </c>
      <c r="BA400" s="35">
        <f t="shared" si="248"/>
        <v>0</v>
      </c>
      <c r="BB400" s="35">
        <f t="shared" si="249"/>
        <v>0</v>
      </c>
      <c r="BC400" s="35">
        <f t="shared" si="250"/>
        <v>0</v>
      </c>
      <c r="BD400" s="35">
        <f t="shared" si="251"/>
        <v>0</v>
      </c>
      <c r="BE400" s="35">
        <f t="shared" si="252"/>
        <v>0</v>
      </c>
      <c r="BF400" s="35">
        <f t="shared" si="253"/>
        <v>0</v>
      </c>
      <c r="BG400" s="35">
        <f t="shared" si="254"/>
        <v>0</v>
      </c>
      <c r="BH400" s="35">
        <f t="shared" si="255"/>
        <v>0</v>
      </c>
      <c r="BI400" s="35">
        <f t="shared" si="256"/>
        <v>0</v>
      </c>
      <c r="BJ400" s="35">
        <f t="shared" si="257"/>
        <v>0</v>
      </c>
      <c r="BK400" s="35">
        <f t="shared" si="258"/>
        <v>0</v>
      </c>
      <c r="BL400" s="35">
        <f t="shared" si="259"/>
        <v>0</v>
      </c>
      <c r="BM400" s="35">
        <f t="shared" si="260"/>
        <v>0</v>
      </c>
      <c r="BN400" s="35">
        <f t="shared" si="261"/>
        <v>0</v>
      </c>
      <c r="BO400" s="35">
        <f t="shared" si="262"/>
        <v>0</v>
      </c>
      <c r="BP400" s="35">
        <f t="shared" si="263"/>
        <v>0</v>
      </c>
      <c r="BQ400" s="35">
        <f t="shared" si="264"/>
        <v>0</v>
      </c>
      <c r="BR400" s="35">
        <f t="shared" si="265"/>
        <v>0</v>
      </c>
      <c r="BS400" s="35">
        <f t="shared" si="266"/>
        <v>0</v>
      </c>
      <c r="BT400" s="43">
        <f t="shared" si="267"/>
        <v>0</v>
      </c>
    </row>
    <row r="401" spans="1:72">
      <c r="A401" s="9"/>
      <c r="B401" s="34"/>
      <c r="C401" s="34"/>
      <c r="D401" s="1805"/>
      <c r="E401" s="35">
        <f t="shared" si="239"/>
        <v>0</v>
      </c>
      <c r="F401" s="36"/>
      <c r="G401" s="37">
        <f t="shared" si="240"/>
        <v>0</v>
      </c>
      <c r="H401" s="38">
        <f t="shared" si="241"/>
        <v>0</v>
      </c>
      <c r="I401" s="39"/>
      <c r="J401" s="39"/>
      <c r="K401" s="39"/>
      <c r="L401" s="39"/>
      <c r="M401" s="39"/>
      <c r="N401" s="39"/>
      <c r="O401" s="39"/>
      <c r="P401" s="39"/>
      <c r="Q401" s="39"/>
      <c r="R401" s="39"/>
      <c r="S401" s="39"/>
      <c r="T401" s="39"/>
      <c r="U401" s="39"/>
      <c r="V401" s="39"/>
      <c r="W401" s="39"/>
      <c r="X401" s="39"/>
      <c r="Y401" s="39"/>
      <c r="Z401" s="39"/>
      <c r="AA401" s="39"/>
      <c r="AB401" s="39"/>
      <c r="AC401" s="35">
        <f t="shared" si="242"/>
        <v>0</v>
      </c>
      <c r="AD401" s="40"/>
      <c r="AE401" s="40"/>
      <c r="AF401" s="40"/>
      <c r="AG401" s="40"/>
      <c r="AH401" s="40"/>
      <c r="AI401" s="40"/>
      <c r="AJ401" s="40"/>
      <c r="AK401" s="40"/>
      <c r="AL401" s="40"/>
      <c r="AM401" s="40"/>
      <c r="AN401" s="40"/>
      <c r="AO401" s="40"/>
      <c r="AP401" s="40"/>
      <c r="AQ401" s="40"/>
      <c r="AR401" s="40"/>
      <c r="AS401" s="40"/>
      <c r="AT401" s="41"/>
      <c r="AU401" s="1806"/>
      <c r="AV401" s="1517">
        <f t="shared" si="243"/>
        <v>0</v>
      </c>
      <c r="AW401" s="1517">
        <f t="shared" si="244"/>
        <v>0</v>
      </c>
      <c r="AX401" s="1517">
        <f t="shared" si="245"/>
        <v>0</v>
      </c>
      <c r="AY401" s="42">
        <f t="shared" si="246"/>
        <v>0</v>
      </c>
      <c r="AZ401" s="35">
        <f t="shared" si="247"/>
        <v>0</v>
      </c>
      <c r="BA401" s="35">
        <f t="shared" si="248"/>
        <v>0</v>
      </c>
      <c r="BB401" s="35">
        <f t="shared" si="249"/>
        <v>0</v>
      </c>
      <c r="BC401" s="35">
        <f t="shared" si="250"/>
        <v>0</v>
      </c>
      <c r="BD401" s="35">
        <f t="shared" si="251"/>
        <v>0</v>
      </c>
      <c r="BE401" s="35">
        <f t="shared" si="252"/>
        <v>0</v>
      </c>
      <c r="BF401" s="35">
        <f t="shared" si="253"/>
        <v>0</v>
      </c>
      <c r="BG401" s="35">
        <f t="shared" si="254"/>
        <v>0</v>
      </c>
      <c r="BH401" s="35">
        <f t="shared" si="255"/>
        <v>0</v>
      </c>
      <c r="BI401" s="35">
        <f t="shared" si="256"/>
        <v>0</v>
      </c>
      <c r="BJ401" s="35">
        <f t="shared" si="257"/>
        <v>0</v>
      </c>
      <c r="BK401" s="35">
        <f t="shared" si="258"/>
        <v>0</v>
      </c>
      <c r="BL401" s="35">
        <f t="shared" si="259"/>
        <v>0</v>
      </c>
      <c r="BM401" s="35">
        <f t="shared" si="260"/>
        <v>0</v>
      </c>
      <c r="BN401" s="35">
        <f t="shared" si="261"/>
        <v>0</v>
      </c>
      <c r="BO401" s="35">
        <f t="shared" si="262"/>
        <v>0</v>
      </c>
      <c r="BP401" s="35">
        <f t="shared" si="263"/>
        <v>0</v>
      </c>
      <c r="BQ401" s="35">
        <f t="shared" si="264"/>
        <v>0</v>
      </c>
      <c r="BR401" s="35">
        <f t="shared" si="265"/>
        <v>0</v>
      </c>
      <c r="BS401" s="35">
        <f t="shared" si="266"/>
        <v>0</v>
      </c>
      <c r="BT401" s="43">
        <f t="shared" si="267"/>
        <v>0</v>
      </c>
    </row>
    <row r="402" spans="1:72">
      <c r="A402" s="9"/>
      <c r="B402" s="34"/>
      <c r="C402" s="34"/>
      <c r="D402" s="1805"/>
      <c r="E402" s="35">
        <f t="shared" si="239"/>
        <v>0</v>
      </c>
      <c r="F402" s="36"/>
      <c r="G402" s="37">
        <f t="shared" si="240"/>
        <v>0</v>
      </c>
      <c r="H402" s="38">
        <f t="shared" si="241"/>
        <v>0</v>
      </c>
      <c r="I402" s="39"/>
      <c r="J402" s="39"/>
      <c r="K402" s="39"/>
      <c r="L402" s="39"/>
      <c r="M402" s="39"/>
      <c r="N402" s="39"/>
      <c r="O402" s="39"/>
      <c r="P402" s="39"/>
      <c r="Q402" s="39"/>
      <c r="R402" s="39"/>
      <c r="S402" s="39"/>
      <c r="T402" s="39"/>
      <c r="U402" s="39"/>
      <c r="V402" s="39"/>
      <c r="W402" s="39"/>
      <c r="X402" s="39"/>
      <c r="Y402" s="39"/>
      <c r="Z402" s="39"/>
      <c r="AA402" s="39"/>
      <c r="AB402" s="39"/>
      <c r="AC402" s="35">
        <f t="shared" si="242"/>
        <v>0</v>
      </c>
      <c r="AD402" s="40"/>
      <c r="AE402" s="40"/>
      <c r="AF402" s="40"/>
      <c r="AG402" s="40"/>
      <c r="AH402" s="40"/>
      <c r="AI402" s="40"/>
      <c r="AJ402" s="40"/>
      <c r="AK402" s="40"/>
      <c r="AL402" s="40"/>
      <c r="AM402" s="40"/>
      <c r="AN402" s="40"/>
      <c r="AO402" s="40"/>
      <c r="AP402" s="40"/>
      <c r="AQ402" s="40"/>
      <c r="AR402" s="40"/>
      <c r="AS402" s="40"/>
      <c r="AT402" s="41"/>
      <c r="AU402" s="1806"/>
      <c r="AV402" s="1517">
        <f t="shared" si="243"/>
        <v>0</v>
      </c>
      <c r="AW402" s="1517">
        <f t="shared" si="244"/>
        <v>0</v>
      </c>
      <c r="AX402" s="1517">
        <f t="shared" si="245"/>
        <v>0</v>
      </c>
      <c r="AY402" s="42">
        <f t="shared" si="246"/>
        <v>0</v>
      </c>
      <c r="AZ402" s="35">
        <f t="shared" si="247"/>
        <v>0</v>
      </c>
      <c r="BA402" s="35">
        <f t="shared" si="248"/>
        <v>0</v>
      </c>
      <c r="BB402" s="35">
        <f t="shared" si="249"/>
        <v>0</v>
      </c>
      <c r="BC402" s="35">
        <f t="shared" si="250"/>
        <v>0</v>
      </c>
      <c r="BD402" s="35">
        <f t="shared" si="251"/>
        <v>0</v>
      </c>
      <c r="BE402" s="35">
        <f t="shared" si="252"/>
        <v>0</v>
      </c>
      <c r="BF402" s="35">
        <f t="shared" si="253"/>
        <v>0</v>
      </c>
      <c r="BG402" s="35">
        <f t="shared" si="254"/>
        <v>0</v>
      </c>
      <c r="BH402" s="35">
        <f t="shared" si="255"/>
        <v>0</v>
      </c>
      <c r="BI402" s="35">
        <f t="shared" si="256"/>
        <v>0</v>
      </c>
      <c r="BJ402" s="35">
        <f t="shared" si="257"/>
        <v>0</v>
      </c>
      <c r="BK402" s="35">
        <f t="shared" si="258"/>
        <v>0</v>
      </c>
      <c r="BL402" s="35">
        <f t="shared" si="259"/>
        <v>0</v>
      </c>
      <c r="BM402" s="35">
        <f t="shared" si="260"/>
        <v>0</v>
      </c>
      <c r="BN402" s="35">
        <f t="shared" si="261"/>
        <v>0</v>
      </c>
      <c r="BO402" s="35">
        <f t="shared" si="262"/>
        <v>0</v>
      </c>
      <c r="BP402" s="35">
        <f t="shared" si="263"/>
        <v>0</v>
      </c>
      <c r="BQ402" s="35">
        <f t="shared" si="264"/>
        <v>0</v>
      </c>
      <c r="BR402" s="35">
        <f t="shared" si="265"/>
        <v>0</v>
      </c>
      <c r="BS402" s="35">
        <f t="shared" si="266"/>
        <v>0</v>
      </c>
      <c r="BT402" s="43">
        <f t="shared" si="267"/>
        <v>0</v>
      </c>
    </row>
    <row r="403" spans="1:72">
      <c r="A403" s="9"/>
      <c r="B403" s="34"/>
      <c r="C403" s="34"/>
      <c r="D403" s="1805"/>
      <c r="E403" s="35">
        <f t="shared" si="239"/>
        <v>0</v>
      </c>
      <c r="F403" s="36"/>
      <c r="G403" s="37">
        <f t="shared" si="240"/>
        <v>0</v>
      </c>
      <c r="H403" s="38">
        <f t="shared" si="241"/>
        <v>0</v>
      </c>
      <c r="I403" s="39"/>
      <c r="J403" s="39"/>
      <c r="K403" s="39"/>
      <c r="L403" s="39"/>
      <c r="M403" s="39"/>
      <c r="N403" s="39"/>
      <c r="O403" s="39"/>
      <c r="P403" s="39"/>
      <c r="Q403" s="39"/>
      <c r="R403" s="39"/>
      <c r="S403" s="39"/>
      <c r="T403" s="39"/>
      <c r="U403" s="39"/>
      <c r="V403" s="39"/>
      <c r="W403" s="39"/>
      <c r="X403" s="39"/>
      <c r="Y403" s="39"/>
      <c r="Z403" s="39"/>
      <c r="AA403" s="39"/>
      <c r="AB403" s="39"/>
      <c r="AC403" s="35">
        <f t="shared" si="242"/>
        <v>0</v>
      </c>
      <c r="AD403" s="40"/>
      <c r="AE403" s="40"/>
      <c r="AF403" s="40"/>
      <c r="AG403" s="40"/>
      <c r="AH403" s="40"/>
      <c r="AI403" s="40"/>
      <c r="AJ403" s="40"/>
      <c r="AK403" s="40"/>
      <c r="AL403" s="40"/>
      <c r="AM403" s="40"/>
      <c r="AN403" s="40"/>
      <c r="AO403" s="40"/>
      <c r="AP403" s="40"/>
      <c r="AQ403" s="40"/>
      <c r="AR403" s="40"/>
      <c r="AS403" s="40"/>
      <c r="AT403" s="41"/>
      <c r="AU403" s="1806"/>
      <c r="AV403" s="1517">
        <f t="shared" si="243"/>
        <v>0</v>
      </c>
      <c r="AW403" s="1517">
        <f t="shared" si="244"/>
        <v>0</v>
      </c>
      <c r="AX403" s="1517">
        <f t="shared" si="245"/>
        <v>0</v>
      </c>
      <c r="AY403" s="42">
        <f t="shared" si="246"/>
        <v>0</v>
      </c>
      <c r="AZ403" s="35">
        <f t="shared" si="247"/>
        <v>0</v>
      </c>
      <c r="BA403" s="35">
        <f t="shared" si="248"/>
        <v>0</v>
      </c>
      <c r="BB403" s="35">
        <f t="shared" si="249"/>
        <v>0</v>
      </c>
      <c r="BC403" s="35">
        <f t="shared" si="250"/>
        <v>0</v>
      </c>
      <c r="BD403" s="35">
        <f t="shared" si="251"/>
        <v>0</v>
      </c>
      <c r="BE403" s="35">
        <f t="shared" si="252"/>
        <v>0</v>
      </c>
      <c r="BF403" s="35">
        <f t="shared" si="253"/>
        <v>0</v>
      </c>
      <c r="BG403" s="35">
        <f t="shared" si="254"/>
        <v>0</v>
      </c>
      <c r="BH403" s="35">
        <f t="shared" si="255"/>
        <v>0</v>
      </c>
      <c r="BI403" s="35">
        <f t="shared" si="256"/>
        <v>0</v>
      </c>
      <c r="BJ403" s="35">
        <f t="shared" si="257"/>
        <v>0</v>
      </c>
      <c r="BK403" s="35">
        <f t="shared" si="258"/>
        <v>0</v>
      </c>
      <c r="BL403" s="35">
        <f t="shared" si="259"/>
        <v>0</v>
      </c>
      <c r="BM403" s="35">
        <f t="shared" si="260"/>
        <v>0</v>
      </c>
      <c r="BN403" s="35">
        <f t="shared" si="261"/>
        <v>0</v>
      </c>
      <c r="BO403" s="35">
        <f t="shared" si="262"/>
        <v>0</v>
      </c>
      <c r="BP403" s="35">
        <f t="shared" si="263"/>
        <v>0</v>
      </c>
      <c r="BQ403" s="35">
        <f t="shared" si="264"/>
        <v>0</v>
      </c>
      <c r="BR403" s="35">
        <f t="shared" si="265"/>
        <v>0</v>
      </c>
      <c r="BS403" s="35">
        <f t="shared" si="266"/>
        <v>0</v>
      </c>
      <c r="BT403" s="43">
        <f t="shared" si="267"/>
        <v>0</v>
      </c>
    </row>
    <row r="404" spans="1:72">
      <c r="A404" s="9"/>
      <c r="B404" s="34"/>
      <c r="C404" s="34"/>
      <c r="D404" s="1805"/>
      <c r="E404" s="35">
        <f t="shared" si="239"/>
        <v>0</v>
      </c>
      <c r="F404" s="36"/>
      <c r="G404" s="37">
        <f t="shared" si="240"/>
        <v>0</v>
      </c>
      <c r="H404" s="38">
        <f t="shared" si="241"/>
        <v>0</v>
      </c>
      <c r="I404" s="39"/>
      <c r="J404" s="39"/>
      <c r="K404" s="39"/>
      <c r="L404" s="39"/>
      <c r="M404" s="39"/>
      <c r="N404" s="39"/>
      <c r="O404" s="39"/>
      <c r="P404" s="39"/>
      <c r="Q404" s="39"/>
      <c r="R404" s="39"/>
      <c r="S404" s="39"/>
      <c r="T404" s="39"/>
      <c r="U404" s="39"/>
      <c r="V404" s="39"/>
      <c r="W404" s="39"/>
      <c r="X404" s="39"/>
      <c r="Y404" s="39"/>
      <c r="Z404" s="39"/>
      <c r="AA404" s="39"/>
      <c r="AB404" s="39"/>
      <c r="AC404" s="35">
        <f t="shared" si="242"/>
        <v>0</v>
      </c>
      <c r="AD404" s="40"/>
      <c r="AE404" s="40"/>
      <c r="AF404" s="40"/>
      <c r="AG404" s="40"/>
      <c r="AH404" s="40"/>
      <c r="AI404" s="40"/>
      <c r="AJ404" s="40"/>
      <c r="AK404" s="40"/>
      <c r="AL404" s="40"/>
      <c r="AM404" s="40"/>
      <c r="AN404" s="40"/>
      <c r="AO404" s="40"/>
      <c r="AP404" s="40"/>
      <c r="AQ404" s="40"/>
      <c r="AR404" s="40"/>
      <c r="AS404" s="40"/>
      <c r="AT404" s="41"/>
      <c r="AU404" s="1806"/>
      <c r="AV404" s="1517">
        <f t="shared" si="243"/>
        <v>0</v>
      </c>
      <c r="AW404" s="1517">
        <f t="shared" si="244"/>
        <v>0</v>
      </c>
      <c r="AX404" s="1517">
        <f t="shared" si="245"/>
        <v>0</v>
      </c>
      <c r="AY404" s="42">
        <f t="shared" si="246"/>
        <v>0</v>
      </c>
      <c r="AZ404" s="35">
        <f t="shared" si="247"/>
        <v>0</v>
      </c>
      <c r="BA404" s="35">
        <f t="shared" si="248"/>
        <v>0</v>
      </c>
      <c r="BB404" s="35">
        <f t="shared" si="249"/>
        <v>0</v>
      </c>
      <c r="BC404" s="35">
        <f t="shared" si="250"/>
        <v>0</v>
      </c>
      <c r="BD404" s="35">
        <f t="shared" si="251"/>
        <v>0</v>
      </c>
      <c r="BE404" s="35">
        <f t="shared" si="252"/>
        <v>0</v>
      </c>
      <c r="BF404" s="35">
        <f t="shared" si="253"/>
        <v>0</v>
      </c>
      <c r="BG404" s="35">
        <f t="shared" si="254"/>
        <v>0</v>
      </c>
      <c r="BH404" s="35">
        <f t="shared" si="255"/>
        <v>0</v>
      </c>
      <c r="BI404" s="35">
        <f t="shared" si="256"/>
        <v>0</v>
      </c>
      <c r="BJ404" s="35">
        <f t="shared" si="257"/>
        <v>0</v>
      </c>
      <c r="BK404" s="35">
        <f t="shared" si="258"/>
        <v>0</v>
      </c>
      <c r="BL404" s="35">
        <f t="shared" si="259"/>
        <v>0</v>
      </c>
      <c r="BM404" s="35">
        <f t="shared" si="260"/>
        <v>0</v>
      </c>
      <c r="BN404" s="35">
        <f t="shared" si="261"/>
        <v>0</v>
      </c>
      <c r="BO404" s="35">
        <f t="shared" si="262"/>
        <v>0</v>
      </c>
      <c r="BP404" s="35">
        <f t="shared" si="263"/>
        <v>0</v>
      </c>
      <c r="BQ404" s="35">
        <f t="shared" si="264"/>
        <v>0</v>
      </c>
      <c r="BR404" s="35">
        <f t="shared" si="265"/>
        <v>0</v>
      </c>
      <c r="BS404" s="35">
        <f t="shared" si="266"/>
        <v>0</v>
      </c>
      <c r="BT404" s="43">
        <f t="shared" si="267"/>
        <v>0</v>
      </c>
    </row>
    <row r="405" spans="1:72">
      <c r="A405" s="9"/>
      <c r="B405" s="34"/>
      <c r="C405" s="34"/>
      <c r="D405" s="1805"/>
      <c r="E405" s="35">
        <f t="shared" si="239"/>
        <v>0</v>
      </c>
      <c r="F405" s="36"/>
      <c r="G405" s="37">
        <f t="shared" si="240"/>
        <v>0</v>
      </c>
      <c r="H405" s="38">
        <f t="shared" si="241"/>
        <v>0</v>
      </c>
      <c r="I405" s="39"/>
      <c r="J405" s="39"/>
      <c r="K405" s="39"/>
      <c r="L405" s="39"/>
      <c r="M405" s="39"/>
      <c r="N405" s="39"/>
      <c r="O405" s="39"/>
      <c r="P405" s="39"/>
      <c r="Q405" s="39"/>
      <c r="R405" s="39"/>
      <c r="S405" s="39"/>
      <c r="T405" s="39"/>
      <c r="U405" s="39"/>
      <c r="V405" s="39"/>
      <c r="W405" s="39"/>
      <c r="X405" s="39"/>
      <c r="Y405" s="39"/>
      <c r="Z405" s="39"/>
      <c r="AA405" s="39"/>
      <c r="AB405" s="39"/>
      <c r="AC405" s="35">
        <f t="shared" si="242"/>
        <v>0</v>
      </c>
      <c r="AD405" s="40"/>
      <c r="AE405" s="40"/>
      <c r="AF405" s="40"/>
      <c r="AG405" s="40"/>
      <c r="AH405" s="40"/>
      <c r="AI405" s="40"/>
      <c r="AJ405" s="40"/>
      <c r="AK405" s="40"/>
      <c r="AL405" s="40"/>
      <c r="AM405" s="40"/>
      <c r="AN405" s="40"/>
      <c r="AO405" s="40"/>
      <c r="AP405" s="40"/>
      <c r="AQ405" s="40"/>
      <c r="AR405" s="40"/>
      <c r="AS405" s="40"/>
      <c r="AT405" s="41"/>
      <c r="AU405" s="1806"/>
      <c r="AV405" s="1517">
        <f t="shared" si="243"/>
        <v>0</v>
      </c>
      <c r="AW405" s="1517">
        <f t="shared" si="244"/>
        <v>0</v>
      </c>
      <c r="AX405" s="1517">
        <f t="shared" si="245"/>
        <v>0</v>
      </c>
      <c r="AY405" s="42">
        <f t="shared" si="246"/>
        <v>0</v>
      </c>
      <c r="AZ405" s="35">
        <f t="shared" si="247"/>
        <v>0</v>
      </c>
      <c r="BA405" s="35">
        <f t="shared" si="248"/>
        <v>0</v>
      </c>
      <c r="BB405" s="35">
        <f t="shared" si="249"/>
        <v>0</v>
      </c>
      <c r="BC405" s="35">
        <f t="shared" si="250"/>
        <v>0</v>
      </c>
      <c r="BD405" s="35">
        <f t="shared" si="251"/>
        <v>0</v>
      </c>
      <c r="BE405" s="35">
        <f t="shared" si="252"/>
        <v>0</v>
      </c>
      <c r="BF405" s="35">
        <f t="shared" si="253"/>
        <v>0</v>
      </c>
      <c r="BG405" s="35">
        <f t="shared" si="254"/>
        <v>0</v>
      </c>
      <c r="BH405" s="35">
        <f t="shared" si="255"/>
        <v>0</v>
      </c>
      <c r="BI405" s="35">
        <f t="shared" si="256"/>
        <v>0</v>
      </c>
      <c r="BJ405" s="35">
        <f t="shared" si="257"/>
        <v>0</v>
      </c>
      <c r="BK405" s="35">
        <f t="shared" si="258"/>
        <v>0</v>
      </c>
      <c r="BL405" s="35">
        <f t="shared" si="259"/>
        <v>0</v>
      </c>
      <c r="BM405" s="35">
        <f t="shared" si="260"/>
        <v>0</v>
      </c>
      <c r="BN405" s="35">
        <f t="shared" si="261"/>
        <v>0</v>
      </c>
      <c r="BO405" s="35">
        <f t="shared" si="262"/>
        <v>0</v>
      </c>
      <c r="BP405" s="35">
        <f t="shared" si="263"/>
        <v>0</v>
      </c>
      <c r="BQ405" s="35">
        <f t="shared" si="264"/>
        <v>0</v>
      </c>
      <c r="BR405" s="35">
        <f t="shared" si="265"/>
        <v>0</v>
      </c>
      <c r="BS405" s="35">
        <f t="shared" si="266"/>
        <v>0</v>
      </c>
      <c r="BT405" s="43">
        <f t="shared" si="267"/>
        <v>0</v>
      </c>
    </row>
    <row r="406" spans="1:72">
      <c r="A406" s="9"/>
      <c r="B406" s="34"/>
      <c r="C406" s="34"/>
      <c r="D406" s="1805"/>
      <c r="E406" s="35">
        <f t="shared" si="239"/>
        <v>0</v>
      </c>
      <c r="F406" s="36"/>
      <c r="G406" s="37">
        <f t="shared" si="240"/>
        <v>0</v>
      </c>
      <c r="H406" s="38">
        <f t="shared" si="241"/>
        <v>0</v>
      </c>
      <c r="I406" s="39"/>
      <c r="J406" s="39"/>
      <c r="K406" s="39"/>
      <c r="L406" s="39"/>
      <c r="M406" s="39"/>
      <c r="N406" s="39"/>
      <c r="O406" s="39"/>
      <c r="P406" s="39"/>
      <c r="Q406" s="39"/>
      <c r="R406" s="39"/>
      <c r="S406" s="39"/>
      <c r="T406" s="39"/>
      <c r="U406" s="39"/>
      <c r="V406" s="39"/>
      <c r="W406" s="39"/>
      <c r="X406" s="39"/>
      <c r="Y406" s="39"/>
      <c r="Z406" s="39"/>
      <c r="AA406" s="39"/>
      <c r="AB406" s="39"/>
      <c r="AC406" s="35">
        <f t="shared" si="242"/>
        <v>0</v>
      </c>
      <c r="AD406" s="40"/>
      <c r="AE406" s="40"/>
      <c r="AF406" s="40"/>
      <c r="AG406" s="40"/>
      <c r="AH406" s="40"/>
      <c r="AI406" s="40"/>
      <c r="AJ406" s="40"/>
      <c r="AK406" s="40"/>
      <c r="AL406" s="40"/>
      <c r="AM406" s="40"/>
      <c r="AN406" s="40"/>
      <c r="AO406" s="40"/>
      <c r="AP406" s="40"/>
      <c r="AQ406" s="40"/>
      <c r="AR406" s="40"/>
      <c r="AS406" s="40"/>
      <c r="AT406" s="41"/>
      <c r="AU406" s="1806"/>
      <c r="AV406" s="1517">
        <f t="shared" si="243"/>
        <v>0</v>
      </c>
      <c r="AW406" s="1517">
        <f t="shared" si="244"/>
        <v>0</v>
      </c>
      <c r="AX406" s="1517">
        <f t="shared" si="245"/>
        <v>0</v>
      </c>
      <c r="AY406" s="42">
        <f t="shared" si="246"/>
        <v>0</v>
      </c>
      <c r="AZ406" s="35">
        <f t="shared" si="247"/>
        <v>0</v>
      </c>
      <c r="BA406" s="35">
        <f t="shared" si="248"/>
        <v>0</v>
      </c>
      <c r="BB406" s="35">
        <f t="shared" si="249"/>
        <v>0</v>
      </c>
      <c r="BC406" s="35">
        <f t="shared" si="250"/>
        <v>0</v>
      </c>
      <c r="BD406" s="35">
        <f t="shared" si="251"/>
        <v>0</v>
      </c>
      <c r="BE406" s="35">
        <f t="shared" si="252"/>
        <v>0</v>
      </c>
      <c r="BF406" s="35">
        <f t="shared" si="253"/>
        <v>0</v>
      </c>
      <c r="BG406" s="35">
        <f t="shared" si="254"/>
        <v>0</v>
      </c>
      <c r="BH406" s="35">
        <f t="shared" si="255"/>
        <v>0</v>
      </c>
      <c r="BI406" s="35">
        <f t="shared" si="256"/>
        <v>0</v>
      </c>
      <c r="BJ406" s="35">
        <f t="shared" si="257"/>
        <v>0</v>
      </c>
      <c r="BK406" s="35">
        <f t="shared" si="258"/>
        <v>0</v>
      </c>
      <c r="BL406" s="35">
        <f t="shared" si="259"/>
        <v>0</v>
      </c>
      <c r="BM406" s="35">
        <f t="shared" si="260"/>
        <v>0</v>
      </c>
      <c r="BN406" s="35">
        <f t="shared" si="261"/>
        <v>0</v>
      </c>
      <c r="BO406" s="35">
        <f t="shared" si="262"/>
        <v>0</v>
      </c>
      <c r="BP406" s="35">
        <f t="shared" si="263"/>
        <v>0</v>
      </c>
      <c r="BQ406" s="35">
        <f t="shared" si="264"/>
        <v>0</v>
      </c>
      <c r="BR406" s="35">
        <f t="shared" si="265"/>
        <v>0</v>
      </c>
      <c r="BS406" s="35">
        <f t="shared" si="266"/>
        <v>0</v>
      </c>
      <c r="BT406" s="43">
        <f t="shared" si="267"/>
        <v>0</v>
      </c>
    </row>
    <row r="407" spans="1:72">
      <c r="A407" s="9"/>
      <c r="B407" s="34"/>
      <c r="C407" s="34"/>
      <c r="D407" s="1805"/>
      <c r="E407" s="35">
        <f t="shared" si="239"/>
        <v>0</v>
      </c>
      <c r="F407" s="36"/>
      <c r="G407" s="37">
        <f t="shared" si="240"/>
        <v>0</v>
      </c>
      <c r="H407" s="38">
        <f t="shared" si="241"/>
        <v>0</v>
      </c>
      <c r="I407" s="39"/>
      <c r="J407" s="39"/>
      <c r="K407" s="39"/>
      <c r="L407" s="39"/>
      <c r="M407" s="39"/>
      <c r="N407" s="39"/>
      <c r="O407" s="39"/>
      <c r="P407" s="39"/>
      <c r="Q407" s="39"/>
      <c r="R407" s="39"/>
      <c r="S407" s="39"/>
      <c r="T407" s="39"/>
      <c r="U407" s="39"/>
      <c r="V407" s="39"/>
      <c r="W407" s="39"/>
      <c r="X407" s="39"/>
      <c r="Y407" s="39"/>
      <c r="Z407" s="39"/>
      <c r="AA407" s="39"/>
      <c r="AB407" s="39"/>
      <c r="AC407" s="35">
        <f t="shared" si="242"/>
        <v>0</v>
      </c>
      <c r="AD407" s="40"/>
      <c r="AE407" s="40"/>
      <c r="AF407" s="40"/>
      <c r="AG407" s="40"/>
      <c r="AH407" s="40"/>
      <c r="AI407" s="40"/>
      <c r="AJ407" s="40"/>
      <c r="AK407" s="40"/>
      <c r="AL407" s="40"/>
      <c r="AM407" s="40"/>
      <c r="AN407" s="40"/>
      <c r="AO407" s="40"/>
      <c r="AP407" s="40"/>
      <c r="AQ407" s="40"/>
      <c r="AR407" s="40"/>
      <c r="AS407" s="40"/>
      <c r="AT407" s="41"/>
      <c r="AU407" s="1806"/>
      <c r="AV407" s="1517">
        <f t="shared" si="243"/>
        <v>0</v>
      </c>
      <c r="AW407" s="1517">
        <f t="shared" si="244"/>
        <v>0</v>
      </c>
      <c r="AX407" s="1517">
        <f t="shared" si="245"/>
        <v>0</v>
      </c>
      <c r="AY407" s="42">
        <f t="shared" si="246"/>
        <v>0</v>
      </c>
      <c r="AZ407" s="35">
        <f t="shared" si="247"/>
        <v>0</v>
      </c>
      <c r="BA407" s="35">
        <f t="shared" si="248"/>
        <v>0</v>
      </c>
      <c r="BB407" s="35">
        <f t="shared" si="249"/>
        <v>0</v>
      </c>
      <c r="BC407" s="35">
        <f t="shared" si="250"/>
        <v>0</v>
      </c>
      <c r="BD407" s="35">
        <f t="shared" si="251"/>
        <v>0</v>
      </c>
      <c r="BE407" s="35">
        <f t="shared" si="252"/>
        <v>0</v>
      </c>
      <c r="BF407" s="35">
        <f t="shared" si="253"/>
        <v>0</v>
      </c>
      <c r="BG407" s="35">
        <f t="shared" si="254"/>
        <v>0</v>
      </c>
      <c r="BH407" s="35">
        <f t="shared" si="255"/>
        <v>0</v>
      </c>
      <c r="BI407" s="35">
        <f t="shared" si="256"/>
        <v>0</v>
      </c>
      <c r="BJ407" s="35">
        <f t="shared" si="257"/>
        <v>0</v>
      </c>
      <c r="BK407" s="35">
        <f t="shared" si="258"/>
        <v>0</v>
      </c>
      <c r="BL407" s="35">
        <f t="shared" si="259"/>
        <v>0</v>
      </c>
      <c r="BM407" s="35">
        <f t="shared" si="260"/>
        <v>0</v>
      </c>
      <c r="BN407" s="35">
        <f t="shared" si="261"/>
        <v>0</v>
      </c>
      <c r="BO407" s="35">
        <f t="shared" si="262"/>
        <v>0</v>
      </c>
      <c r="BP407" s="35">
        <f t="shared" si="263"/>
        <v>0</v>
      </c>
      <c r="BQ407" s="35">
        <f t="shared" si="264"/>
        <v>0</v>
      </c>
      <c r="BR407" s="35">
        <f t="shared" si="265"/>
        <v>0</v>
      </c>
      <c r="BS407" s="35">
        <f t="shared" si="266"/>
        <v>0</v>
      </c>
      <c r="BT407" s="43">
        <f t="shared" si="267"/>
        <v>0</v>
      </c>
    </row>
    <row r="408" spans="1:72">
      <c r="A408" s="9"/>
      <c r="B408" s="34"/>
      <c r="C408" s="34"/>
      <c r="D408" s="1805"/>
      <c r="E408" s="35">
        <f t="shared" si="239"/>
        <v>0</v>
      </c>
      <c r="F408" s="36"/>
      <c r="G408" s="37">
        <f t="shared" si="240"/>
        <v>0</v>
      </c>
      <c r="H408" s="38">
        <f t="shared" si="241"/>
        <v>0</v>
      </c>
      <c r="I408" s="39"/>
      <c r="J408" s="39"/>
      <c r="K408" s="39"/>
      <c r="L408" s="39"/>
      <c r="M408" s="39"/>
      <c r="N408" s="39"/>
      <c r="O408" s="39"/>
      <c r="P408" s="39"/>
      <c r="Q408" s="39"/>
      <c r="R408" s="39"/>
      <c r="S408" s="39"/>
      <c r="T408" s="39"/>
      <c r="U408" s="39"/>
      <c r="V408" s="39"/>
      <c r="W408" s="39"/>
      <c r="X408" s="39"/>
      <c r="Y408" s="39"/>
      <c r="Z408" s="39"/>
      <c r="AA408" s="39"/>
      <c r="AB408" s="39"/>
      <c r="AC408" s="35">
        <f t="shared" si="242"/>
        <v>0</v>
      </c>
      <c r="AD408" s="40"/>
      <c r="AE408" s="40"/>
      <c r="AF408" s="40"/>
      <c r="AG408" s="40"/>
      <c r="AH408" s="40"/>
      <c r="AI408" s="40"/>
      <c r="AJ408" s="40"/>
      <c r="AK408" s="40"/>
      <c r="AL408" s="40"/>
      <c r="AM408" s="40"/>
      <c r="AN408" s="40"/>
      <c r="AO408" s="40"/>
      <c r="AP408" s="40"/>
      <c r="AQ408" s="40"/>
      <c r="AR408" s="40"/>
      <c r="AS408" s="40"/>
      <c r="AT408" s="41"/>
      <c r="AU408" s="1806"/>
      <c r="AV408" s="1517">
        <f t="shared" si="243"/>
        <v>0</v>
      </c>
      <c r="AW408" s="1517">
        <f t="shared" si="244"/>
        <v>0</v>
      </c>
      <c r="AX408" s="1517">
        <f t="shared" si="245"/>
        <v>0</v>
      </c>
      <c r="AY408" s="42">
        <f t="shared" si="246"/>
        <v>0</v>
      </c>
      <c r="AZ408" s="35">
        <f t="shared" si="247"/>
        <v>0</v>
      </c>
      <c r="BA408" s="35">
        <f t="shared" si="248"/>
        <v>0</v>
      </c>
      <c r="BB408" s="35">
        <f t="shared" si="249"/>
        <v>0</v>
      </c>
      <c r="BC408" s="35">
        <f t="shared" si="250"/>
        <v>0</v>
      </c>
      <c r="BD408" s="35">
        <f t="shared" si="251"/>
        <v>0</v>
      </c>
      <c r="BE408" s="35">
        <f t="shared" si="252"/>
        <v>0</v>
      </c>
      <c r="BF408" s="35">
        <f t="shared" si="253"/>
        <v>0</v>
      </c>
      <c r="BG408" s="35">
        <f t="shared" si="254"/>
        <v>0</v>
      </c>
      <c r="BH408" s="35">
        <f t="shared" si="255"/>
        <v>0</v>
      </c>
      <c r="BI408" s="35">
        <f t="shared" si="256"/>
        <v>0</v>
      </c>
      <c r="BJ408" s="35">
        <f t="shared" si="257"/>
        <v>0</v>
      </c>
      <c r="BK408" s="35">
        <f t="shared" si="258"/>
        <v>0</v>
      </c>
      <c r="BL408" s="35">
        <f t="shared" si="259"/>
        <v>0</v>
      </c>
      <c r="BM408" s="35">
        <f t="shared" si="260"/>
        <v>0</v>
      </c>
      <c r="BN408" s="35">
        <f t="shared" si="261"/>
        <v>0</v>
      </c>
      <c r="BO408" s="35">
        <f t="shared" si="262"/>
        <v>0</v>
      </c>
      <c r="BP408" s="35">
        <f t="shared" si="263"/>
        <v>0</v>
      </c>
      <c r="BQ408" s="35">
        <f t="shared" si="264"/>
        <v>0</v>
      </c>
      <c r="BR408" s="35">
        <f t="shared" si="265"/>
        <v>0</v>
      </c>
      <c r="BS408" s="35">
        <f t="shared" si="266"/>
        <v>0</v>
      </c>
      <c r="BT408" s="43">
        <f t="shared" si="267"/>
        <v>0</v>
      </c>
    </row>
    <row r="409" spans="1:72">
      <c r="A409" s="9"/>
      <c r="B409" s="34"/>
      <c r="C409" s="34"/>
      <c r="D409" s="1805"/>
      <c r="E409" s="35">
        <f t="shared" si="239"/>
        <v>0</v>
      </c>
      <c r="F409" s="36"/>
      <c r="G409" s="37">
        <f t="shared" si="240"/>
        <v>0</v>
      </c>
      <c r="H409" s="38">
        <f t="shared" si="241"/>
        <v>0</v>
      </c>
      <c r="I409" s="39"/>
      <c r="J409" s="39"/>
      <c r="K409" s="39"/>
      <c r="L409" s="39"/>
      <c r="M409" s="39"/>
      <c r="N409" s="39"/>
      <c r="O409" s="39"/>
      <c r="P409" s="39"/>
      <c r="Q409" s="39"/>
      <c r="R409" s="39"/>
      <c r="S409" s="39"/>
      <c r="T409" s="39"/>
      <c r="U409" s="39"/>
      <c r="V409" s="39"/>
      <c r="W409" s="39"/>
      <c r="X409" s="39"/>
      <c r="Y409" s="39"/>
      <c r="Z409" s="39"/>
      <c r="AA409" s="39"/>
      <c r="AB409" s="39"/>
      <c r="AC409" s="35">
        <f t="shared" si="242"/>
        <v>0</v>
      </c>
      <c r="AD409" s="40"/>
      <c r="AE409" s="40"/>
      <c r="AF409" s="40"/>
      <c r="AG409" s="40"/>
      <c r="AH409" s="40"/>
      <c r="AI409" s="40"/>
      <c r="AJ409" s="40"/>
      <c r="AK409" s="40"/>
      <c r="AL409" s="40"/>
      <c r="AM409" s="40"/>
      <c r="AN409" s="40"/>
      <c r="AO409" s="40"/>
      <c r="AP409" s="40"/>
      <c r="AQ409" s="40"/>
      <c r="AR409" s="40"/>
      <c r="AS409" s="40"/>
      <c r="AT409" s="41"/>
      <c r="AU409" s="1806"/>
      <c r="AV409" s="1517">
        <f t="shared" si="243"/>
        <v>0</v>
      </c>
      <c r="AW409" s="1517">
        <f t="shared" si="244"/>
        <v>0</v>
      </c>
      <c r="AX409" s="1517">
        <f t="shared" si="245"/>
        <v>0</v>
      </c>
      <c r="AY409" s="42">
        <f t="shared" si="246"/>
        <v>0</v>
      </c>
      <c r="AZ409" s="35">
        <f t="shared" si="247"/>
        <v>0</v>
      </c>
      <c r="BA409" s="35">
        <f t="shared" si="248"/>
        <v>0</v>
      </c>
      <c r="BB409" s="35">
        <f t="shared" si="249"/>
        <v>0</v>
      </c>
      <c r="BC409" s="35">
        <f t="shared" si="250"/>
        <v>0</v>
      </c>
      <c r="BD409" s="35">
        <f t="shared" si="251"/>
        <v>0</v>
      </c>
      <c r="BE409" s="35">
        <f t="shared" si="252"/>
        <v>0</v>
      </c>
      <c r="BF409" s="35">
        <f t="shared" si="253"/>
        <v>0</v>
      </c>
      <c r="BG409" s="35">
        <f t="shared" si="254"/>
        <v>0</v>
      </c>
      <c r="BH409" s="35">
        <f t="shared" si="255"/>
        <v>0</v>
      </c>
      <c r="BI409" s="35">
        <f t="shared" si="256"/>
        <v>0</v>
      </c>
      <c r="BJ409" s="35">
        <f t="shared" si="257"/>
        <v>0</v>
      </c>
      <c r="BK409" s="35">
        <f t="shared" si="258"/>
        <v>0</v>
      </c>
      <c r="BL409" s="35">
        <f t="shared" si="259"/>
        <v>0</v>
      </c>
      <c r="BM409" s="35">
        <f t="shared" si="260"/>
        <v>0</v>
      </c>
      <c r="BN409" s="35">
        <f t="shared" si="261"/>
        <v>0</v>
      </c>
      <c r="BO409" s="35">
        <f t="shared" si="262"/>
        <v>0</v>
      </c>
      <c r="BP409" s="35">
        <f t="shared" si="263"/>
        <v>0</v>
      </c>
      <c r="BQ409" s="35">
        <f t="shared" si="264"/>
        <v>0</v>
      </c>
      <c r="BR409" s="35">
        <f t="shared" si="265"/>
        <v>0</v>
      </c>
      <c r="BS409" s="35">
        <f t="shared" si="266"/>
        <v>0</v>
      </c>
      <c r="BT409" s="43">
        <f t="shared" si="267"/>
        <v>0</v>
      </c>
    </row>
    <row r="410" spans="1:72">
      <c r="A410" s="9"/>
      <c r="B410" s="34"/>
      <c r="C410" s="34"/>
      <c r="D410" s="1805"/>
      <c r="E410" s="35">
        <f t="shared" si="239"/>
        <v>0</v>
      </c>
      <c r="F410" s="36"/>
      <c r="G410" s="37">
        <f t="shared" si="240"/>
        <v>0</v>
      </c>
      <c r="H410" s="38">
        <f t="shared" si="241"/>
        <v>0</v>
      </c>
      <c r="I410" s="39"/>
      <c r="J410" s="39"/>
      <c r="K410" s="39"/>
      <c r="L410" s="39"/>
      <c r="M410" s="39"/>
      <c r="N410" s="39"/>
      <c r="O410" s="39"/>
      <c r="P410" s="39"/>
      <c r="Q410" s="39"/>
      <c r="R410" s="39"/>
      <c r="S410" s="39"/>
      <c r="T410" s="39"/>
      <c r="U410" s="39"/>
      <c r="V410" s="39"/>
      <c r="W410" s="39"/>
      <c r="X410" s="39"/>
      <c r="Y410" s="39"/>
      <c r="Z410" s="39"/>
      <c r="AA410" s="39"/>
      <c r="AB410" s="39"/>
      <c r="AC410" s="35">
        <f t="shared" si="242"/>
        <v>0</v>
      </c>
      <c r="AD410" s="40"/>
      <c r="AE410" s="40"/>
      <c r="AF410" s="40"/>
      <c r="AG410" s="40"/>
      <c r="AH410" s="40"/>
      <c r="AI410" s="40"/>
      <c r="AJ410" s="40"/>
      <c r="AK410" s="40"/>
      <c r="AL410" s="40"/>
      <c r="AM410" s="40"/>
      <c r="AN410" s="40"/>
      <c r="AO410" s="40"/>
      <c r="AP410" s="40"/>
      <c r="AQ410" s="40"/>
      <c r="AR410" s="40"/>
      <c r="AS410" s="40"/>
      <c r="AT410" s="41"/>
      <c r="AU410" s="1806"/>
      <c r="AV410" s="1517">
        <f t="shared" si="243"/>
        <v>0</v>
      </c>
      <c r="AW410" s="1517">
        <f t="shared" si="244"/>
        <v>0</v>
      </c>
      <c r="AX410" s="1517">
        <f t="shared" si="245"/>
        <v>0</v>
      </c>
      <c r="AY410" s="42">
        <f t="shared" si="246"/>
        <v>0</v>
      </c>
      <c r="AZ410" s="35">
        <f t="shared" si="247"/>
        <v>0</v>
      </c>
      <c r="BA410" s="35">
        <f t="shared" si="248"/>
        <v>0</v>
      </c>
      <c r="BB410" s="35">
        <f t="shared" si="249"/>
        <v>0</v>
      </c>
      <c r="BC410" s="35">
        <f t="shared" si="250"/>
        <v>0</v>
      </c>
      <c r="BD410" s="35">
        <f t="shared" si="251"/>
        <v>0</v>
      </c>
      <c r="BE410" s="35">
        <f t="shared" si="252"/>
        <v>0</v>
      </c>
      <c r="BF410" s="35">
        <f t="shared" si="253"/>
        <v>0</v>
      </c>
      <c r="BG410" s="35">
        <f t="shared" si="254"/>
        <v>0</v>
      </c>
      <c r="BH410" s="35">
        <f t="shared" si="255"/>
        <v>0</v>
      </c>
      <c r="BI410" s="35">
        <f t="shared" si="256"/>
        <v>0</v>
      </c>
      <c r="BJ410" s="35">
        <f t="shared" si="257"/>
        <v>0</v>
      </c>
      <c r="BK410" s="35">
        <f t="shared" si="258"/>
        <v>0</v>
      </c>
      <c r="BL410" s="35">
        <f t="shared" si="259"/>
        <v>0</v>
      </c>
      <c r="BM410" s="35">
        <f t="shared" si="260"/>
        <v>0</v>
      </c>
      <c r="BN410" s="35">
        <f t="shared" si="261"/>
        <v>0</v>
      </c>
      <c r="BO410" s="35">
        <f t="shared" si="262"/>
        <v>0</v>
      </c>
      <c r="BP410" s="35">
        <f t="shared" si="263"/>
        <v>0</v>
      </c>
      <c r="BQ410" s="35">
        <f t="shared" si="264"/>
        <v>0</v>
      </c>
      <c r="BR410" s="35">
        <f t="shared" si="265"/>
        <v>0</v>
      </c>
      <c r="BS410" s="35">
        <f t="shared" si="266"/>
        <v>0</v>
      </c>
      <c r="BT410" s="43">
        <f t="shared" si="267"/>
        <v>0</v>
      </c>
    </row>
    <row r="411" spans="1:72">
      <c r="A411" s="9"/>
      <c r="B411" s="34"/>
      <c r="C411" s="34"/>
      <c r="D411" s="1805"/>
      <c r="E411" s="35">
        <f t="shared" si="239"/>
        <v>0</v>
      </c>
      <c r="F411" s="36"/>
      <c r="G411" s="37">
        <f t="shared" si="240"/>
        <v>0</v>
      </c>
      <c r="H411" s="38">
        <f t="shared" si="241"/>
        <v>0</v>
      </c>
      <c r="I411" s="39"/>
      <c r="J411" s="39"/>
      <c r="K411" s="39"/>
      <c r="L411" s="39"/>
      <c r="M411" s="39"/>
      <c r="N411" s="39"/>
      <c r="O411" s="39"/>
      <c r="P411" s="39"/>
      <c r="Q411" s="39"/>
      <c r="R411" s="39"/>
      <c r="S411" s="39"/>
      <c r="T411" s="39"/>
      <c r="U411" s="39"/>
      <c r="V411" s="39"/>
      <c r="W411" s="39"/>
      <c r="X411" s="39"/>
      <c r="Y411" s="39"/>
      <c r="Z411" s="39"/>
      <c r="AA411" s="39"/>
      <c r="AB411" s="39"/>
      <c r="AC411" s="35">
        <f t="shared" si="242"/>
        <v>0</v>
      </c>
      <c r="AD411" s="40"/>
      <c r="AE411" s="40"/>
      <c r="AF411" s="40"/>
      <c r="AG411" s="40"/>
      <c r="AH411" s="40"/>
      <c r="AI411" s="40"/>
      <c r="AJ411" s="40"/>
      <c r="AK411" s="40"/>
      <c r="AL411" s="40"/>
      <c r="AM411" s="40"/>
      <c r="AN411" s="40"/>
      <c r="AO411" s="40"/>
      <c r="AP411" s="40"/>
      <c r="AQ411" s="40"/>
      <c r="AR411" s="40"/>
      <c r="AS411" s="40"/>
      <c r="AT411" s="41"/>
      <c r="AU411" s="1806"/>
      <c r="AV411" s="1517">
        <f t="shared" si="243"/>
        <v>0</v>
      </c>
      <c r="AW411" s="1517">
        <f t="shared" si="244"/>
        <v>0</v>
      </c>
      <c r="AX411" s="1517">
        <f t="shared" si="245"/>
        <v>0</v>
      </c>
      <c r="AY411" s="42">
        <f t="shared" si="246"/>
        <v>0</v>
      </c>
      <c r="AZ411" s="35">
        <f t="shared" si="247"/>
        <v>0</v>
      </c>
      <c r="BA411" s="35">
        <f t="shared" si="248"/>
        <v>0</v>
      </c>
      <c r="BB411" s="35">
        <f t="shared" si="249"/>
        <v>0</v>
      </c>
      <c r="BC411" s="35">
        <f t="shared" si="250"/>
        <v>0</v>
      </c>
      <c r="BD411" s="35">
        <f t="shared" si="251"/>
        <v>0</v>
      </c>
      <c r="BE411" s="35">
        <f t="shared" si="252"/>
        <v>0</v>
      </c>
      <c r="BF411" s="35">
        <f t="shared" si="253"/>
        <v>0</v>
      </c>
      <c r="BG411" s="35">
        <f t="shared" si="254"/>
        <v>0</v>
      </c>
      <c r="BH411" s="35">
        <f t="shared" si="255"/>
        <v>0</v>
      </c>
      <c r="BI411" s="35">
        <f t="shared" si="256"/>
        <v>0</v>
      </c>
      <c r="BJ411" s="35">
        <f t="shared" si="257"/>
        <v>0</v>
      </c>
      <c r="BK411" s="35">
        <f t="shared" si="258"/>
        <v>0</v>
      </c>
      <c r="BL411" s="35">
        <f t="shared" si="259"/>
        <v>0</v>
      </c>
      <c r="BM411" s="35">
        <f t="shared" si="260"/>
        <v>0</v>
      </c>
      <c r="BN411" s="35">
        <f t="shared" si="261"/>
        <v>0</v>
      </c>
      <c r="BO411" s="35">
        <f t="shared" si="262"/>
        <v>0</v>
      </c>
      <c r="BP411" s="35">
        <f t="shared" si="263"/>
        <v>0</v>
      </c>
      <c r="BQ411" s="35">
        <f t="shared" si="264"/>
        <v>0</v>
      </c>
      <c r="BR411" s="35">
        <f t="shared" si="265"/>
        <v>0</v>
      </c>
      <c r="BS411" s="35">
        <f t="shared" si="266"/>
        <v>0</v>
      </c>
      <c r="BT411" s="43">
        <f t="shared" si="267"/>
        <v>0</v>
      </c>
    </row>
    <row r="412" spans="1:72">
      <c r="A412" s="9"/>
      <c r="B412" s="34"/>
      <c r="C412" s="34"/>
      <c r="D412" s="1805"/>
      <c r="E412" s="35">
        <f t="shared" si="239"/>
        <v>0</v>
      </c>
      <c r="F412" s="36"/>
      <c r="G412" s="37">
        <f t="shared" si="240"/>
        <v>0</v>
      </c>
      <c r="H412" s="38">
        <f t="shared" si="241"/>
        <v>0</v>
      </c>
      <c r="I412" s="39"/>
      <c r="J412" s="39"/>
      <c r="K412" s="39"/>
      <c r="L412" s="39"/>
      <c r="M412" s="39"/>
      <c r="N412" s="39"/>
      <c r="O412" s="39"/>
      <c r="P412" s="39"/>
      <c r="Q412" s="39"/>
      <c r="R412" s="39"/>
      <c r="S412" s="39"/>
      <c r="T412" s="39"/>
      <c r="U412" s="39"/>
      <c r="V412" s="39"/>
      <c r="W412" s="39"/>
      <c r="X412" s="39"/>
      <c r="Y412" s="39"/>
      <c r="Z412" s="39"/>
      <c r="AA412" s="39"/>
      <c r="AB412" s="39"/>
      <c r="AC412" s="35">
        <f t="shared" si="242"/>
        <v>0</v>
      </c>
      <c r="AD412" s="40"/>
      <c r="AE412" s="40"/>
      <c r="AF412" s="40"/>
      <c r="AG412" s="40"/>
      <c r="AH412" s="40"/>
      <c r="AI412" s="40"/>
      <c r="AJ412" s="40"/>
      <c r="AK412" s="40"/>
      <c r="AL412" s="40"/>
      <c r="AM412" s="40"/>
      <c r="AN412" s="40"/>
      <c r="AO412" s="40"/>
      <c r="AP412" s="40"/>
      <c r="AQ412" s="40"/>
      <c r="AR412" s="40"/>
      <c r="AS412" s="40"/>
      <c r="AT412" s="41"/>
      <c r="AU412" s="1806"/>
      <c r="AV412" s="1517">
        <f t="shared" si="243"/>
        <v>0</v>
      </c>
      <c r="AW412" s="1517">
        <f t="shared" si="244"/>
        <v>0</v>
      </c>
      <c r="AX412" s="1517">
        <f t="shared" si="245"/>
        <v>0</v>
      </c>
      <c r="AY412" s="42">
        <f t="shared" si="246"/>
        <v>0</v>
      </c>
      <c r="AZ412" s="35">
        <f t="shared" si="247"/>
        <v>0</v>
      </c>
      <c r="BA412" s="35">
        <f t="shared" si="248"/>
        <v>0</v>
      </c>
      <c r="BB412" s="35">
        <f t="shared" si="249"/>
        <v>0</v>
      </c>
      <c r="BC412" s="35">
        <f t="shared" si="250"/>
        <v>0</v>
      </c>
      <c r="BD412" s="35">
        <f t="shared" si="251"/>
        <v>0</v>
      </c>
      <c r="BE412" s="35">
        <f t="shared" si="252"/>
        <v>0</v>
      </c>
      <c r="BF412" s="35">
        <f t="shared" si="253"/>
        <v>0</v>
      </c>
      <c r="BG412" s="35">
        <f t="shared" si="254"/>
        <v>0</v>
      </c>
      <c r="BH412" s="35">
        <f t="shared" si="255"/>
        <v>0</v>
      </c>
      <c r="BI412" s="35">
        <f t="shared" si="256"/>
        <v>0</v>
      </c>
      <c r="BJ412" s="35">
        <f t="shared" si="257"/>
        <v>0</v>
      </c>
      <c r="BK412" s="35">
        <f t="shared" si="258"/>
        <v>0</v>
      </c>
      <c r="BL412" s="35">
        <f t="shared" si="259"/>
        <v>0</v>
      </c>
      <c r="BM412" s="35">
        <f t="shared" si="260"/>
        <v>0</v>
      </c>
      <c r="BN412" s="35">
        <f t="shared" si="261"/>
        <v>0</v>
      </c>
      <c r="BO412" s="35">
        <f t="shared" si="262"/>
        <v>0</v>
      </c>
      <c r="BP412" s="35">
        <f t="shared" si="263"/>
        <v>0</v>
      </c>
      <c r="BQ412" s="35">
        <f t="shared" si="264"/>
        <v>0</v>
      </c>
      <c r="BR412" s="35">
        <f t="shared" si="265"/>
        <v>0</v>
      </c>
      <c r="BS412" s="35">
        <f t="shared" si="266"/>
        <v>0</v>
      </c>
      <c r="BT412" s="43">
        <f t="shared" si="267"/>
        <v>0</v>
      </c>
    </row>
    <row r="413" spans="1:72">
      <c r="A413" s="9"/>
      <c r="B413" s="34"/>
      <c r="C413" s="34"/>
      <c r="D413" s="1805"/>
      <c r="E413" s="35">
        <f t="shared" si="239"/>
        <v>0</v>
      </c>
      <c r="F413" s="36"/>
      <c r="G413" s="37">
        <f t="shared" si="240"/>
        <v>0</v>
      </c>
      <c r="H413" s="38">
        <f t="shared" si="241"/>
        <v>0</v>
      </c>
      <c r="I413" s="39"/>
      <c r="J413" s="39"/>
      <c r="K413" s="39"/>
      <c r="L413" s="39"/>
      <c r="M413" s="39"/>
      <c r="N413" s="39"/>
      <c r="O413" s="39"/>
      <c r="P413" s="39"/>
      <c r="Q413" s="39"/>
      <c r="R413" s="39"/>
      <c r="S413" s="39"/>
      <c r="T413" s="39"/>
      <c r="U413" s="39"/>
      <c r="V413" s="39"/>
      <c r="W413" s="39"/>
      <c r="X413" s="39"/>
      <c r="Y413" s="39"/>
      <c r="Z413" s="39"/>
      <c r="AA413" s="39"/>
      <c r="AB413" s="39"/>
      <c r="AC413" s="35">
        <f t="shared" si="242"/>
        <v>0</v>
      </c>
      <c r="AD413" s="40"/>
      <c r="AE413" s="40"/>
      <c r="AF413" s="40"/>
      <c r="AG413" s="40"/>
      <c r="AH413" s="40"/>
      <c r="AI413" s="40"/>
      <c r="AJ413" s="40"/>
      <c r="AK413" s="40"/>
      <c r="AL413" s="40"/>
      <c r="AM413" s="40"/>
      <c r="AN413" s="40"/>
      <c r="AO413" s="40"/>
      <c r="AP413" s="40"/>
      <c r="AQ413" s="40"/>
      <c r="AR413" s="40"/>
      <c r="AS413" s="40"/>
      <c r="AT413" s="41"/>
      <c r="AU413" s="1806"/>
      <c r="AV413" s="1517">
        <f t="shared" si="243"/>
        <v>0</v>
      </c>
      <c r="AW413" s="1517">
        <f t="shared" si="244"/>
        <v>0</v>
      </c>
      <c r="AX413" s="1517">
        <f t="shared" si="245"/>
        <v>0</v>
      </c>
      <c r="AY413" s="42">
        <f t="shared" si="246"/>
        <v>0</v>
      </c>
      <c r="AZ413" s="35">
        <f t="shared" si="247"/>
        <v>0</v>
      </c>
      <c r="BA413" s="35">
        <f t="shared" si="248"/>
        <v>0</v>
      </c>
      <c r="BB413" s="35">
        <f t="shared" si="249"/>
        <v>0</v>
      </c>
      <c r="BC413" s="35">
        <f t="shared" si="250"/>
        <v>0</v>
      </c>
      <c r="BD413" s="35">
        <f t="shared" si="251"/>
        <v>0</v>
      </c>
      <c r="BE413" s="35">
        <f t="shared" si="252"/>
        <v>0</v>
      </c>
      <c r="BF413" s="35">
        <f t="shared" si="253"/>
        <v>0</v>
      </c>
      <c r="BG413" s="35">
        <f t="shared" si="254"/>
        <v>0</v>
      </c>
      <c r="BH413" s="35">
        <f t="shared" si="255"/>
        <v>0</v>
      </c>
      <c r="BI413" s="35">
        <f t="shared" si="256"/>
        <v>0</v>
      </c>
      <c r="BJ413" s="35">
        <f t="shared" si="257"/>
        <v>0</v>
      </c>
      <c r="BK413" s="35">
        <f t="shared" si="258"/>
        <v>0</v>
      </c>
      <c r="BL413" s="35">
        <f t="shared" si="259"/>
        <v>0</v>
      </c>
      <c r="BM413" s="35">
        <f t="shared" si="260"/>
        <v>0</v>
      </c>
      <c r="BN413" s="35">
        <f t="shared" si="261"/>
        <v>0</v>
      </c>
      <c r="BO413" s="35">
        <f t="shared" si="262"/>
        <v>0</v>
      </c>
      <c r="BP413" s="35">
        <f t="shared" si="263"/>
        <v>0</v>
      </c>
      <c r="BQ413" s="35">
        <f t="shared" si="264"/>
        <v>0</v>
      </c>
      <c r="BR413" s="35">
        <f t="shared" si="265"/>
        <v>0</v>
      </c>
      <c r="BS413" s="35">
        <f t="shared" si="266"/>
        <v>0</v>
      </c>
      <c r="BT413" s="43">
        <f t="shared" si="267"/>
        <v>0</v>
      </c>
    </row>
    <row r="414" spans="1:72">
      <c r="A414" s="9"/>
      <c r="B414" s="34"/>
      <c r="C414" s="34"/>
      <c r="D414" s="1805"/>
      <c r="E414" s="35">
        <f t="shared" si="239"/>
        <v>0</v>
      </c>
      <c r="F414" s="36"/>
      <c r="G414" s="37">
        <f t="shared" si="240"/>
        <v>0</v>
      </c>
      <c r="H414" s="38">
        <f t="shared" si="241"/>
        <v>0</v>
      </c>
      <c r="I414" s="39"/>
      <c r="J414" s="39"/>
      <c r="K414" s="39"/>
      <c r="L414" s="39"/>
      <c r="M414" s="39"/>
      <c r="N414" s="39"/>
      <c r="O414" s="39"/>
      <c r="P414" s="39"/>
      <c r="Q414" s="39"/>
      <c r="R414" s="39"/>
      <c r="S414" s="39"/>
      <c r="T414" s="39"/>
      <c r="U414" s="39"/>
      <c r="V414" s="39"/>
      <c r="W414" s="39"/>
      <c r="X414" s="39"/>
      <c r="Y414" s="39"/>
      <c r="Z414" s="39"/>
      <c r="AA414" s="39"/>
      <c r="AB414" s="39"/>
      <c r="AC414" s="35">
        <f t="shared" si="242"/>
        <v>0</v>
      </c>
      <c r="AD414" s="40"/>
      <c r="AE414" s="40"/>
      <c r="AF414" s="40"/>
      <c r="AG414" s="40"/>
      <c r="AH414" s="40"/>
      <c r="AI414" s="40"/>
      <c r="AJ414" s="40"/>
      <c r="AK414" s="40"/>
      <c r="AL414" s="40"/>
      <c r="AM414" s="40"/>
      <c r="AN414" s="40"/>
      <c r="AO414" s="40"/>
      <c r="AP414" s="40"/>
      <c r="AQ414" s="40"/>
      <c r="AR414" s="40"/>
      <c r="AS414" s="40"/>
      <c r="AT414" s="41"/>
      <c r="AU414" s="1806"/>
      <c r="AV414" s="1517">
        <f t="shared" si="243"/>
        <v>0</v>
      </c>
      <c r="AW414" s="1517">
        <f t="shared" si="244"/>
        <v>0</v>
      </c>
      <c r="AX414" s="1517">
        <f t="shared" si="245"/>
        <v>0</v>
      </c>
      <c r="AY414" s="42">
        <f t="shared" si="246"/>
        <v>0</v>
      </c>
      <c r="AZ414" s="35">
        <f t="shared" si="247"/>
        <v>0</v>
      </c>
      <c r="BA414" s="35">
        <f t="shared" si="248"/>
        <v>0</v>
      </c>
      <c r="BB414" s="35">
        <f t="shared" si="249"/>
        <v>0</v>
      </c>
      <c r="BC414" s="35">
        <f t="shared" si="250"/>
        <v>0</v>
      </c>
      <c r="BD414" s="35">
        <f t="shared" si="251"/>
        <v>0</v>
      </c>
      <c r="BE414" s="35">
        <f t="shared" si="252"/>
        <v>0</v>
      </c>
      <c r="BF414" s="35">
        <f t="shared" si="253"/>
        <v>0</v>
      </c>
      <c r="BG414" s="35">
        <f t="shared" si="254"/>
        <v>0</v>
      </c>
      <c r="BH414" s="35">
        <f t="shared" si="255"/>
        <v>0</v>
      </c>
      <c r="BI414" s="35">
        <f t="shared" si="256"/>
        <v>0</v>
      </c>
      <c r="BJ414" s="35">
        <f t="shared" si="257"/>
        <v>0</v>
      </c>
      <c r="BK414" s="35">
        <f t="shared" si="258"/>
        <v>0</v>
      </c>
      <c r="BL414" s="35">
        <f t="shared" si="259"/>
        <v>0</v>
      </c>
      <c r="BM414" s="35">
        <f t="shared" si="260"/>
        <v>0</v>
      </c>
      <c r="BN414" s="35">
        <f t="shared" si="261"/>
        <v>0</v>
      </c>
      <c r="BO414" s="35">
        <f t="shared" si="262"/>
        <v>0</v>
      </c>
      <c r="BP414" s="35">
        <f t="shared" si="263"/>
        <v>0</v>
      </c>
      <c r="BQ414" s="35">
        <f t="shared" si="264"/>
        <v>0</v>
      </c>
      <c r="BR414" s="35">
        <f t="shared" si="265"/>
        <v>0</v>
      </c>
      <c r="BS414" s="35">
        <f t="shared" si="266"/>
        <v>0</v>
      </c>
      <c r="BT414" s="43">
        <f t="shared" si="267"/>
        <v>0</v>
      </c>
    </row>
    <row r="415" spans="1:72">
      <c r="A415" s="9"/>
      <c r="B415" s="34"/>
      <c r="C415" s="34"/>
      <c r="D415" s="1805"/>
      <c r="E415" s="35">
        <f t="shared" si="239"/>
        <v>0</v>
      </c>
      <c r="F415" s="36"/>
      <c r="G415" s="37">
        <f t="shared" si="240"/>
        <v>0</v>
      </c>
      <c r="H415" s="38">
        <f t="shared" si="241"/>
        <v>0</v>
      </c>
      <c r="I415" s="39"/>
      <c r="J415" s="39"/>
      <c r="K415" s="39"/>
      <c r="L415" s="39"/>
      <c r="M415" s="39"/>
      <c r="N415" s="39"/>
      <c r="O415" s="39"/>
      <c r="P415" s="39"/>
      <c r="Q415" s="39"/>
      <c r="R415" s="39"/>
      <c r="S415" s="39"/>
      <c r="T415" s="39"/>
      <c r="U415" s="39"/>
      <c r="V415" s="39"/>
      <c r="W415" s="39"/>
      <c r="X415" s="39"/>
      <c r="Y415" s="39"/>
      <c r="Z415" s="39"/>
      <c r="AA415" s="39"/>
      <c r="AB415" s="39"/>
      <c r="AC415" s="35">
        <f t="shared" si="242"/>
        <v>0</v>
      </c>
      <c r="AD415" s="40"/>
      <c r="AE415" s="40"/>
      <c r="AF415" s="40"/>
      <c r="AG415" s="40"/>
      <c r="AH415" s="40"/>
      <c r="AI415" s="40"/>
      <c r="AJ415" s="40"/>
      <c r="AK415" s="40"/>
      <c r="AL415" s="40"/>
      <c r="AM415" s="40"/>
      <c r="AN415" s="40"/>
      <c r="AO415" s="40"/>
      <c r="AP415" s="40"/>
      <c r="AQ415" s="40"/>
      <c r="AR415" s="40"/>
      <c r="AS415" s="40"/>
      <c r="AT415" s="41"/>
      <c r="AU415" s="1806"/>
      <c r="AV415" s="1517">
        <f t="shared" si="243"/>
        <v>0</v>
      </c>
      <c r="AW415" s="1517">
        <f t="shared" si="244"/>
        <v>0</v>
      </c>
      <c r="AX415" s="1517">
        <f t="shared" si="245"/>
        <v>0</v>
      </c>
      <c r="AY415" s="42">
        <f t="shared" si="246"/>
        <v>0</v>
      </c>
      <c r="AZ415" s="35">
        <f t="shared" si="247"/>
        <v>0</v>
      </c>
      <c r="BA415" s="35">
        <f t="shared" si="248"/>
        <v>0</v>
      </c>
      <c r="BB415" s="35">
        <f t="shared" si="249"/>
        <v>0</v>
      </c>
      <c r="BC415" s="35">
        <f t="shared" si="250"/>
        <v>0</v>
      </c>
      <c r="BD415" s="35">
        <f t="shared" si="251"/>
        <v>0</v>
      </c>
      <c r="BE415" s="35">
        <f t="shared" si="252"/>
        <v>0</v>
      </c>
      <c r="BF415" s="35">
        <f t="shared" si="253"/>
        <v>0</v>
      </c>
      <c r="BG415" s="35">
        <f t="shared" si="254"/>
        <v>0</v>
      </c>
      <c r="BH415" s="35">
        <f t="shared" si="255"/>
        <v>0</v>
      </c>
      <c r="BI415" s="35">
        <f t="shared" si="256"/>
        <v>0</v>
      </c>
      <c r="BJ415" s="35">
        <f t="shared" si="257"/>
        <v>0</v>
      </c>
      <c r="BK415" s="35">
        <f t="shared" si="258"/>
        <v>0</v>
      </c>
      <c r="BL415" s="35">
        <f t="shared" si="259"/>
        <v>0</v>
      </c>
      <c r="BM415" s="35">
        <f t="shared" si="260"/>
        <v>0</v>
      </c>
      <c r="BN415" s="35">
        <f t="shared" si="261"/>
        <v>0</v>
      </c>
      <c r="BO415" s="35">
        <f t="shared" si="262"/>
        <v>0</v>
      </c>
      <c r="BP415" s="35">
        <f t="shared" si="263"/>
        <v>0</v>
      </c>
      <c r="BQ415" s="35">
        <f t="shared" si="264"/>
        <v>0</v>
      </c>
      <c r="BR415" s="35">
        <f t="shared" si="265"/>
        <v>0</v>
      </c>
      <c r="BS415" s="35">
        <f t="shared" si="266"/>
        <v>0</v>
      </c>
      <c r="BT415" s="43">
        <f t="shared" si="267"/>
        <v>0</v>
      </c>
    </row>
    <row r="416" spans="1:72">
      <c r="A416" s="9"/>
      <c r="B416" s="34"/>
      <c r="C416" s="34"/>
      <c r="D416" s="1805"/>
      <c r="E416" s="35">
        <f t="shared" si="239"/>
        <v>0</v>
      </c>
      <c r="F416" s="36"/>
      <c r="G416" s="37">
        <f t="shared" si="240"/>
        <v>0</v>
      </c>
      <c r="H416" s="38">
        <f t="shared" si="241"/>
        <v>0</v>
      </c>
      <c r="I416" s="39"/>
      <c r="J416" s="39"/>
      <c r="K416" s="39"/>
      <c r="L416" s="39"/>
      <c r="M416" s="39"/>
      <c r="N416" s="39"/>
      <c r="O416" s="39"/>
      <c r="P416" s="39"/>
      <c r="Q416" s="39"/>
      <c r="R416" s="39"/>
      <c r="S416" s="39"/>
      <c r="T416" s="39"/>
      <c r="U416" s="39"/>
      <c r="V416" s="39"/>
      <c r="W416" s="39"/>
      <c r="X416" s="39"/>
      <c r="Y416" s="39"/>
      <c r="Z416" s="39"/>
      <c r="AA416" s="39"/>
      <c r="AB416" s="39"/>
      <c r="AC416" s="35">
        <f t="shared" si="242"/>
        <v>0</v>
      </c>
      <c r="AD416" s="40"/>
      <c r="AE416" s="40"/>
      <c r="AF416" s="40"/>
      <c r="AG416" s="40"/>
      <c r="AH416" s="40"/>
      <c r="AI416" s="40"/>
      <c r="AJ416" s="40"/>
      <c r="AK416" s="40"/>
      <c r="AL416" s="40"/>
      <c r="AM416" s="40"/>
      <c r="AN416" s="40"/>
      <c r="AO416" s="40"/>
      <c r="AP416" s="40"/>
      <c r="AQ416" s="40"/>
      <c r="AR416" s="40"/>
      <c r="AS416" s="40"/>
      <c r="AT416" s="41"/>
      <c r="AU416" s="1806"/>
      <c r="AV416" s="1517">
        <f t="shared" si="243"/>
        <v>0</v>
      </c>
      <c r="AW416" s="1517">
        <f t="shared" si="244"/>
        <v>0</v>
      </c>
      <c r="AX416" s="1517">
        <f t="shared" si="245"/>
        <v>0</v>
      </c>
      <c r="AY416" s="42">
        <f t="shared" si="246"/>
        <v>0</v>
      </c>
      <c r="AZ416" s="35">
        <f t="shared" si="247"/>
        <v>0</v>
      </c>
      <c r="BA416" s="35">
        <f t="shared" si="248"/>
        <v>0</v>
      </c>
      <c r="BB416" s="35">
        <f t="shared" si="249"/>
        <v>0</v>
      </c>
      <c r="BC416" s="35">
        <f t="shared" si="250"/>
        <v>0</v>
      </c>
      <c r="BD416" s="35">
        <f t="shared" si="251"/>
        <v>0</v>
      </c>
      <c r="BE416" s="35">
        <f t="shared" si="252"/>
        <v>0</v>
      </c>
      <c r="BF416" s="35">
        <f t="shared" si="253"/>
        <v>0</v>
      </c>
      <c r="BG416" s="35">
        <f t="shared" si="254"/>
        <v>0</v>
      </c>
      <c r="BH416" s="35">
        <f t="shared" si="255"/>
        <v>0</v>
      </c>
      <c r="BI416" s="35">
        <f t="shared" si="256"/>
        <v>0</v>
      </c>
      <c r="BJ416" s="35">
        <f t="shared" si="257"/>
        <v>0</v>
      </c>
      <c r="BK416" s="35">
        <f t="shared" si="258"/>
        <v>0</v>
      </c>
      <c r="BL416" s="35">
        <f t="shared" si="259"/>
        <v>0</v>
      </c>
      <c r="BM416" s="35">
        <f t="shared" si="260"/>
        <v>0</v>
      </c>
      <c r="BN416" s="35">
        <f t="shared" si="261"/>
        <v>0</v>
      </c>
      <c r="BO416" s="35">
        <f t="shared" si="262"/>
        <v>0</v>
      </c>
      <c r="BP416" s="35">
        <f t="shared" si="263"/>
        <v>0</v>
      </c>
      <c r="BQ416" s="35">
        <f t="shared" si="264"/>
        <v>0</v>
      </c>
      <c r="BR416" s="35">
        <f t="shared" si="265"/>
        <v>0</v>
      </c>
      <c r="BS416" s="35">
        <f t="shared" si="266"/>
        <v>0</v>
      </c>
      <c r="BT416" s="43">
        <f t="shared" si="267"/>
        <v>0</v>
      </c>
    </row>
    <row r="417" spans="1:72">
      <c r="A417" s="9"/>
      <c r="B417" s="34"/>
      <c r="C417" s="34"/>
      <c r="D417" s="1805"/>
      <c r="E417" s="35">
        <f t="shared" si="239"/>
        <v>0</v>
      </c>
      <c r="F417" s="36"/>
      <c r="G417" s="37">
        <f t="shared" si="240"/>
        <v>0</v>
      </c>
      <c r="H417" s="38">
        <f t="shared" si="241"/>
        <v>0</v>
      </c>
      <c r="I417" s="39"/>
      <c r="J417" s="39"/>
      <c r="K417" s="39"/>
      <c r="L417" s="39"/>
      <c r="M417" s="39"/>
      <c r="N417" s="39"/>
      <c r="O417" s="39"/>
      <c r="P417" s="39"/>
      <c r="Q417" s="39"/>
      <c r="R417" s="39"/>
      <c r="S417" s="39"/>
      <c r="T417" s="39"/>
      <c r="U417" s="39"/>
      <c r="V417" s="39"/>
      <c r="W417" s="39"/>
      <c r="X417" s="39"/>
      <c r="Y417" s="39"/>
      <c r="Z417" s="39"/>
      <c r="AA417" s="39"/>
      <c r="AB417" s="39"/>
      <c r="AC417" s="35">
        <f t="shared" si="242"/>
        <v>0</v>
      </c>
      <c r="AD417" s="40"/>
      <c r="AE417" s="40"/>
      <c r="AF417" s="40"/>
      <c r="AG417" s="40"/>
      <c r="AH417" s="40"/>
      <c r="AI417" s="40"/>
      <c r="AJ417" s="40"/>
      <c r="AK417" s="40"/>
      <c r="AL417" s="40"/>
      <c r="AM417" s="40"/>
      <c r="AN417" s="40"/>
      <c r="AO417" s="40"/>
      <c r="AP417" s="40"/>
      <c r="AQ417" s="40"/>
      <c r="AR417" s="40"/>
      <c r="AS417" s="40"/>
      <c r="AT417" s="41"/>
      <c r="AU417" s="1806"/>
      <c r="AV417" s="1517">
        <f t="shared" si="243"/>
        <v>0</v>
      </c>
      <c r="AW417" s="1517">
        <f t="shared" si="244"/>
        <v>0</v>
      </c>
      <c r="AX417" s="1517">
        <f t="shared" si="245"/>
        <v>0</v>
      </c>
      <c r="AY417" s="42">
        <f t="shared" si="246"/>
        <v>0</v>
      </c>
      <c r="AZ417" s="35">
        <f t="shared" si="247"/>
        <v>0</v>
      </c>
      <c r="BA417" s="35">
        <f t="shared" si="248"/>
        <v>0</v>
      </c>
      <c r="BB417" s="35">
        <f t="shared" si="249"/>
        <v>0</v>
      </c>
      <c r="BC417" s="35">
        <f t="shared" si="250"/>
        <v>0</v>
      </c>
      <c r="BD417" s="35">
        <f t="shared" si="251"/>
        <v>0</v>
      </c>
      <c r="BE417" s="35">
        <f t="shared" si="252"/>
        <v>0</v>
      </c>
      <c r="BF417" s="35">
        <f t="shared" si="253"/>
        <v>0</v>
      </c>
      <c r="BG417" s="35">
        <f t="shared" si="254"/>
        <v>0</v>
      </c>
      <c r="BH417" s="35">
        <f t="shared" si="255"/>
        <v>0</v>
      </c>
      <c r="BI417" s="35">
        <f t="shared" si="256"/>
        <v>0</v>
      </c>
      <c r="BJ417" s="35">
        <f t="shared" si="257"/>
        <v>0</v>
      </c>
      <c r="BK417" s="35">
        <f t="shared" si="258"/>
        <v>0</v>
      </c>
      <c r="BL417" s="35">
        <f t="shared" si="259"/>
        <v>0</v>
      </c>
      <c r="BM417" s="35">
        <f t="shared" si="260"/>
        <v>0</v>
      </c>
      <c r="BN417" s="35">
        <f t="shared" si="261"/>
        <v>0</v>
      </c>
      <c r="BO417" s="35">
        <f t="shared" si="262"/>
        <v>0</v>
      </c>
      <c r="BP417" s="35">
        <f t="shared" si="263"/>
        <v>0</v>
      </c>
      <c r="BQ417" s="35">
        <f t="shared" si="264"/>
        <v>0</v>
      </c>
      <c r="BR417" s="35">
        <f t="shared" si="265"/>
        <v>0</v>
      </c>
      <c r="BS417" s="35">
        <f t="shared" si="266"/>
        <v>0</v>
      </c>
      <c r="BT417" s="43">
        <f t="shared" si="267"/>
        <v>0</v>
      </c>
    </row>
    <row r="418" spans="1:72">
      <c r="A418" s="9"/>
      <c r="B418" s="34"/>
      <c r="C418" s="34"/>
      <c r="D418" s="1805"/>
      <c r="E418" s="35">
        <f t="shared" si="239"/>
        <v>0</v>
      </c>
      <c r="F418" s="36"/>
      <c r="G418" s="37">
        <f t="shared" si="240"/>
        <v>0</v>
      </c>
      <c r="H418" s="38">
        <f t="shared" si="241"/>
        <v>0</v>
      </c>
      <c r="I418" s="39"/>
      <c r="J418" s="39"/>
      <c r="K418" s="39"/>
      <c r="L418" s="39"/>
      <c r="M418" s="39"/>
      <c r="N418" s="39"/>
      <c r="O418" s="39"/>
      <c r="P418" s="39"/>
      <c r="Q418" s="39"/>
      <c r="R418" s="39"/>
      <c r="S418" s="39"/>
      <c r="T418" s="39"/>
      <c r="U418" s="39"/>
      <c r="V418" s="39"/>
      <c r="W418" s="39"/>
      <c r="X418" s="39"/>
      <c r="Y418" s="39"/>
      <c r="Z418" s="39"/>
      <c r="AA418" s="39"/>
      <c r="AB418" s="39"/>
      <c r="AC418" s="35">
        <f t="shared" si="242"/>
        <v>0</v>
      </c>
      <c r="AD418" s="40"/>
      <c r="AE418" s="40"/>
      <c r="AF418" s="40"/>
      <c r="AG418" s="40"/>
      <c r="AH418" s="40"/>
      <c r="AI418" s="40"/>
      <c r="AJ418" s="40"/>
      <c r="AK418" s="40"/>
      <c r="AL418" s="40"/>
      <c r="AM418" s="40"/>
      <c r="AN418" s="40"/>
      <c r="AO418" s="40"/>
      <c r="AP418" s="40"/>
      <c r="AQ418" s="40"/>
      <c r="AR418" s="40"/>
      <c r="AS418" s="40"/>
      <c r="AT418" s="41"/>
      <c r="AU418" s="1806"/>
      <c r="AV418" s="1517">
        <f t="shared" si="243"/>
        <v>0</v>
      </c>
      <c r="AW418" s="1517">
        <f t="shared" si="244"/>
        <v>0</v>
      </c>
      <c r="AX418" s="1517">
        <f t="shared" si="245"/>
        <v>0</v>
      </c>
      <c r="AY418" s="42">
        <f t="shared" si="246"/>
        <v>0</v>
      </c>
      <c r="AZ418" s="35">
        <f t="shared" si="247"/>
        <v>0</v>
      </c>
      <c r="BA418" s="35">
        <f t="shared" si="248"/>
        <v>0</v>
      </c>
      <c r="BB418" s="35">
        <f t="shared" si="249"/>
        <v>0</v>
      </c>
      <c r="BC418" s="35">
        <f t="shared" si="250"/>
        <v>0</v>
      </c>
      <c r="BD418" s="35">
        <f t="shared" si="251"/>
        <v>0</v>
      </c>
      <c r="BE418" s="35">
        <f t="shared" si="252"/>
        <v>0</v>
      </c>
      <c r="BF418" s="35">
        <f t="shared" si="253"/>
        <v>0</v>
      </c>
      <c r="BG418" s="35">
        <f t="shared" si="254"/>
        <v>0</v>
      </c>
      <c r="BH418" s="35">
        <f t="shared" si="255"/>
        <v>0</v>
      </c>
      <c r="BI418" s="35">
        <f t="shared" si="256"/>
        <v>0</v>
      </c>
      <c r="BJ418" s="35">
        <f t="shared" si="257"/>
        <v>0</v>
      </c>
      <c r="BK418" s="35">
        <f t="shared" si="258"/>
        <v>0</v>
      </c>
      <c r="BL418" s="35">
        <f t="shared" si="259"/>
        <v>0</v>
      </c>
      <c r="BM418" s="35">
        <f t="shared" si="260"/>
        <v>0</v>
      </c>
      <c r="BN418" s="35">
        <f t="shared" si="261"/>
        <v>0</v>
      </c>
      <c r="BO418" s="35">
        <f t="shared" si="262"/>
        <v>0</v>
      </c>
      <c r="BP418" s="35">
        <f t="shared" si="263"/>
        <v>0</v>
      </c>
      <c r="BQ418" s="35">
        <f t="shared" si="264"/>
        <v>0</v>
      </c>
      <c r="BR418" s="35">
        <f t="shared" si="265"/>
        <v>0</v>
      </c>
      <c r="BS418" s="35">
        <f t="shared" si="266"/>
        <v>0</v>
      </c>
      <c r="BT418" s="43">
        <f t="shared" si="267"/>
        <v>0</v>
      </c>
    </row>
    <row r="419" spans="1:72">
      <c r="A419" s="9"/>
      <c r="B419" s="34"/>
      <c r="C419" s="34"/>
      <c r="D419" s="1805"/>
      <c r="E419" s="35">
        <f t="shared" si="239"/>
        <v>0</v>
      </c>
      <c r="F419" s="36"/>
      <c r="G419" s="37">
        <f t="shared" si="240"/>
        <v>0</v>
      </c>
      <c r="H419" s="38">
        <f t="shared" si="241"/>
        <v>0</v>
      </c>
      <c r="I419" s="39"/>
      <c r="J419" s="39"/>
      <c r="K419" s="39"/>
      <c r="L419" s="39"/>
      <c r="M419" s="39"/>
      <c r="N419" s="39"/>
      <c r="O419" s="39"/>
      <c r="P419" s="39"/>
      <c r="Q419" s="39"/>
      <c r="R419" s="39"/>
      <c r="S419" s="39"/>
      <c r="T419" s="39"/>
      <c r="U419" s="39"/>
      <c r="V419" s="39"/>
      <c r="W419" s="39"/>
      <c r="X419" s="39"/>
      <c r="Y419" s="39"/>
      <c r="Z419" s="39"/>
      <c r="AA419" s="39"/>
      <c r="AB419" s="39"/>
      <c r="AC419" s="35">
        <f t="shared" si="242"/>
        <v>0</v>
      </c>
      <c r="AD419" s="40"/>
      <c r="AE419" s="40"/>
      <c r="AF419" s="40"/>
      <c r="AG419" s="40"/>
      <c r="AH419" s="40"/>
      <c r="AI419" s="40"/>
      <c r="AJ419" s="40"/>
      <c r="AK419" s="40"/>
      <c r="AL419" s="40"/>
      <c r="AM419" s="40"/>
      <c r="AN419" s="40"/>
      <c r="AO419" s="40"/>
      <c r="AP419" s="40"/>
      <c r="AQ419" s="40"/>
      <c r="AR419" s="40"/>
      <c r="AS419" s="40"/>
      <c r="AT419" s="41"/>
      <c r="AU419" s="1806"/>
      <c r="AV419" s="1517">
        <f t="shared" si="243"/>
        <v>0</v>
      </c>
      <c r="AW419" s="1517">
        <f t="shared" si="244"/>
        <v>0</v>
      </c>
      <c r="AX419" s="1517">
        <f t="shared" si="245"/>
        <v>0</v>
      </c>
      <c r="AY419" s="42">
        <f t="shared" si="246"/>
        <v>0</v>
      </c>
      <c r="AZ419" s="35">
        <f t="shared" si="247"/>
        <v>0</v>
      </c>
      <c r="BA419" s="35">
        <f t="shared" si="248"/>
        <v>0</v>
      </c>
      <c r="BB419" s="35">
        <f t="shared" si="249"/>
        <v>0</v>
      </c>
      <c r="BC419" s="35">
        <f t="shared" si="250"/>
        <v>0</v>
      </c>
      <c r="BD419" s="35">
        <f t="shared" si="251"/>
        <v>0</v>
      </c>
      <c r="BE419" s="35">
        <f t="shared" si="252"/>
        <v>0</v>
      </c>
      <c r="BF419" s="35">
        <f t="shared" si="253"/>
        <v>0</v>
      </c>
      <c r="BG419" s="35">
        <f t="shared" si="254"/>
        <v>0</v>
      </c>
      <c r="BH419" s="35">
        <f t="shared" si="255"/>
        <v>0</v>
      </c>
      <c r="BI419" s="35">
        <f t="shared" si="256"/>
        <v>0</v>
      </c>
      <c r="BJ419" s="35">
        <f t="shared" si="257"/>
        <v>0</v>
      </c>
      <c r="BK419" s="35">
        <f t="shared" si="258"/>
        <v>0</v>
      </c>
      <c r="BL419" s="35">
        <f t="shared" si="259"/>
        <v>0</v>
      </c>
      <c r="BM419" s="35">
        <f t="shared" si="260"/>
        <v>0</v>
      </c>
      <c r="BN419" s="35">
        <f t="shared" si="261"/>
        <v>0</v>
      </c>
      <c r="BO419" s="35">
        <f t="shared" si="262"/>
        <v>0</v>
      </c>
      <c r="BP419" s="35">
        <f t="shared" si="263"/>
        <v>0</v>
      </c>
      <c r="BQ419" s="35">
        <f t="shared" si="264"/>
        <v>0</v>
      </c>
      <c r="BR419" s="35">
        <f t="shared" si="265"/>
        <v>0</v>
      </c>
      <c r="BS419" s="35">
        <f t="shared" si="266"/>
        <v>0</v>
      </c>
      <c r="BT419" s="43">
        <f t="shared" si="267"/>
        <v>0</v>
      </c>
    </row>
    <row r="420" spans="1:72">
      <c r="A420" s="9"/>
      <c r="B420" s="34"/>
      <c r="C420" s="34"/>
      <c r="D420" s="1805"/>
      <c r="E420" s="35">
        <f t="shared" si="239"/>
        <v>0</v>
      </c>
      <c r="F420" s="36"/>
      <c r="G420" s="37">
        <f t="shared" si="240"/>
        <v>0</v>
      </c>
      <c r="H420" s="38">
        <f t="shared" si="241"/>
        <v>0</v>
      </c>
      <c r="I420" s="39"/>
      <c r="J420" s="39"/>
      <c r="K420" s="39"/>
      <c r="L420" s="39"/>
      <c r="M420" s="39"/>
      <c r="N420" s="39"/>
      <c r="O420" s="39"/>
      <c r="P420" s="39"/>
      <c r="Q420" s="39"/>
      <c r="R420" s="39"/>
      <c r="S420" s="39"/>
      <c r="T420" s="39"/>
      <c r="U420" s="39"/>
      <c r="V420" s="39"/>
      <c r="W420" s="39"/>
      <c r="X420" s="39"/>
      <c r="Y420" s="39"/>
      <c r="Z420" s="39"/>
      <c r="AA420" s="39"/>
      <c r="AB420" s="39"/>
      <c r="AC420" s="35">
        <f t="shared" si="242"/>
        <v>0</v>
      </c>
      <c r="AD420" s="40"/>
      <c r="AE420" s="40"/>
      <c r="AF420" s="40"/>
      <c r="AG420" s="40"/>
      <c r="AH420" s="40"/>
      <c r="AI420" s="40"/>
      <c r="AJ420" s="40"/>
      <c r="AK420" s="40"/>
      <c r="AL420" s="40"/>
      <c r="AM420" s="40"/>
      <c r="AN420" s="40"/>
      <c r="AO420" s="40"/>
      <c r="AP420" s="40"/>
      <c r="AQ420" s="40"/>
      <c r="AR420" s="40"/>
      <c r="AS420" s="40"/>
      <c r="AT420" s="41"/>
      <c r="AU420" s="1806"/>
      <c r="AV420" s="1517">
        <f t="shared" si="243"/>
        <v>0</v>
      </c>
      <c r="AW420" s="1517">
        <f t="shared" si="244"/>
        <v>0</v>
      </c>
      <c r="AX420" s="1517">
        <f t="shared" si="245"/>
        <v>0</v>
      </c>
      <c r="AY420" s="42">
        <f t="shared" si="246"/>
        <v>0</v>
      </c>
      <c r="AZ420" s="35">
        <f t="shared" si="247"/>
        <v>0</v>
      </c>
      <c r="BA420" s="35">
        <f t="shared" si="248"/>
        <v>0</v>
      </c>
      <c r="BB420" s="35">
        <f t="shared" si="249"/>
        <v>0</v>
      </c>
      <c r="BC420" s="35">
        <f t="shared" si="250"/>
        <v>0</v>
      </c>
      <c r="BD420" s="35">
        <f t="shared" si="251"/>
        <v>0</v>
      </c>
      <c r="BE420" s="35">
        <f t="shared" si="252"/>
        <v>0</v>
      </c>
      <c r="BF420" s="35">
        <f t="shared" si="253"/>
        <v>0</v>
      </c>
      <c r="BG420" s="35">
        <f t="shared" si="254"/>
        <v>0</v>
      </c>
      <c r="BH420" s="35">
        <f t="shared" si="255"/>
        <v>0</v>
      </c>
      <c r="BI420" s="35">
        <f t="shared" si="256"/>
        <v>0</v>
      </c>
      <c r="BJ420" s="35">
        <f t="shared" si="257"/>
        <v>0</v>
      </c>
      <c r="BK420" s="35">
        <f t="shared" si="258"/>
        <v>0</v>
      </c>
      <c r="BL420" s="35">
        <f t="shared" si="259"/>
        <v>0</v>
      </c>
      <c r="BM420" s="35">
        <f t="shared" si="260"/>
        <v>0</v>
      </c>
      <c r="BN420" s="35">
        <f t="shared" si="261"/>
        <v>0</v>
      </c>
      <c r="BO420" s="35">
        <f t="shared" si="262"/>
        <v>0</v>
      </c>
      <c r="BP420" s="35">
        <f t="shared" si="263"/>
        <v>0</v>
      </c>
      <c r="BQ420" s="35">
        <f t="shared" si="264"/>
        <v>0</v>
      </c>
      <c r="BR420" s="35">
        <f t="shared" si="265"/>
        <v>0</v>
      </c>
      <c r="BS420" s="35">
        <f t="shared" si="266"/>
        <v>0</v>
      </c>
      <c r="BT420" s="43">
        <f t="shared" si="267"/>
        <v>0</v>
      </c>
    </row>
    <row r="421" spans="1:72">
      <c r="A421" s="9"/>
      <c r="B421" s="34"/>
      <c r="C421" s="34"/>
      <c r="D421" s="1805"/>
      <c r="E421" s="35">
        <f t="shared" si="239"/>
        <v>0</v>
      </c>
      <c r="F421" s="36"/>
      <c r="G421" s="37">
        <f t="shared" si="240"/>
        <v>0</v>
      </c>
      <c r="H421" s="38">
        <f t="shared" si="241"/>
        <v>0</v>
      </c>
      <c r="I421" s="39"/>
      <c r="J421" s="39"/>
      <c r="K421" s="39"/>
      <c r="L421" s="39"/>
      <c r="M421" s="39"/>
      <c r="N421" s="39"/>
      <c r="O421" s="39"/>
      <c r="P421" s="39"/>
      <c r="Q421" s="39"/>
      <c r="R421" s="39"/>
      <c r="S421" s="39"/>
      <c r="T421" s="39"/>
      <c r="U421" s="39"/>
      <c r="V421" s="39"/>
      <c r="W421" s="39"/>
      <c r="X421" s="39"/>
      <c r="Y421" s="39"/>
      <c r="Z421" s="39"/>
      <c r="AA421" s="39"/>
      <c r="AB421" s="39"/>
      <c r="AC421" s="35">
        <f t="shared" si="242"/>
        <v>0</v>
      </c>
      <c r="AD421" s="40"/>
      <c r="AE421" s="40"/>
      <c r="AF421" s="40"/>
      <c r="AG421" s="40"/>
      <c r="AH421" s="40"/>
      <c r="AI421" s="40"/>
      <c r="AJ421" s="40"/>
      <c r="AK421" s="40"/>
      <c r="AL421" s="40"/>
      <c r="AM421" s="40"/>
      <c r="AN421" s="40"/>
      <c r="AO421" s="40"/>
      <c r="AP421" s="40"/>
      <c r="AQ421" s="40"/>
      <c r="AR421" s="40"/>
      <c r="AS421" s="40"/>
      <c r="AT421" s="41"/>
      <c r="AU421" s="1806"/>
      <c r="AV421" s="1517">
        <f t="shared" si="243"/>
        <v>0</v>
      </c>
      <c r="AW421" s="1517">
        <f t="shared" si="244"/>
        <v>0</v>
      </c>
      <c r="AX421" s="1517">
        <f t="shared" si="245"/>
        <v>0</v>
      </c>
      <c r="AY421" s="42">
        <f t="shared" si="246"/>
        <v>0</v>
      </c>
      <c r="AZ421" s="35">
        <f t="shared" si="247"/>
        <v>0</v>
      </c>
      <c r="BA421" s="35">
        <f t="shared" si="248"/>
        <v>0</v>
      </c>
      <c r="BB421" s="35">
        <f t="shared" si="249"/>
        <v>0</v>
      </c>
      <c r="BC421" s="35">
        <f t="shared" si="250"/>
        <v>0</v>
      </c>
      <c r="BD421" s="35">
        <f t="shared" si="251"/>
        <v>0</v>
      </c>
      <c r="BE421" s="35">
        <f t="shared" si="252"/>
        <v>0</v>
      </c>
      <c r="BF421" s="35">
        <f t="shared" si="253"/>
        <v>0</v>
      </c>
      <c r="BG421" s="35">
        <f t="shared" si="254"/>
        <v>0</v>
      </c>
      <c r="BH421" s="35">
        <f t="shared" si="255"/>
        <v>0</v>
      </c>
      <c r="BI421" s="35">
        <f t="shared" si="256"/>
        <v>0</v>
      </c>
      <c r="BJ421" s="35">
        <f t="shared" si="257"/>
        <v>0</v>
      </c>
      <c r="BK421" s="35">
        <f t="shared" si="258"/>
        <v>0</v>
      </c>
      <c r="BL421" s="35">
        <f t="shared" si="259"/>
        <v>0</v>
      </c>
      <c r="BM421" s="35">
        <f t="shared" si="260"/>
        <v>0</v>
      </c>
      <c r="BN421" s="35">
        <f t="shared" si="261"/>
        <v>0</v>
      </c>
      <c r="BO421" s="35">
        <f t="shared" si="262"/>
        <v>0</v>
      </c>
      <c r="BP421" s="35">
        <f t="shared" si="263"/>
        <v>0</v>
      </c>
      <c r="BQ421" s="35">
        <f t="shared" si="264"/>
        <v>0</v>
      </c>
      <c r="BR421" s="35">
        <f t="shared" si="265"/>
        <v>0</v>
      </c>
      <c r="BS421" s="35">
        <f t="shared" si="266"/>
        <v>0</v>
      </c>
      <c r="BT421" s="43">
        <f t="shared" si="267"/>
        <v>0</v>
      </c>
    </row>
    <row r="422" spans="1:72">
      <c r="A422" s="9"/>
      <c r="B422" s="34"/>
      <c r="C422" s="34"/>
      <c r="D422" s="1805"/>
      <c r="E422" s="35">
        <f t="shared" si="239"/>
        <v>0</v>
      </c>
      <c r="F422" s="36"/>
      <c r="G422" s="37">
        <f t="shared" si="240"/>
        <v>0</v>
      </c>
      <c r="H422" s="38">
        <f t="shared" si="241"/>
        <v>0</v>
      </c>
      <c r="I422" s="39"/>
      <c r="J422" s="39"/>
      <c r="K422" s="39"/>
      <c r="L422" s="39"/>
      <c r="M422" s="39"/>
      <c r="N422" s="39"/>
      <c r="O422" s="39"/>
      <c r="P422" s="39"/>
      <c r="Q422" s="39"/>
      <c r="R422" s="39"/>
      <c r="S422" s="39"/>
      <c r="T422" s="39"/>
      <c r="U422" s="39"/>
      <c r="V422" s="39"/>
      <c r="W422" s="39"/>
      <c r="X422" s="39"/>
      <c r="Y422" s="39"/>
      <c r="Z422" s="39"/>
      <c r="AA422" s="39"/>
      <c r="AB422" s="39"/>
      <c r="AC422" s="35">
        <f t="shared" si="242"/>
        <v>0</v>
      </c>
      <c r="AD422" s="40"/>
      <c r="AE422" s="40"/>
      <c r="AF422" s="40"/>
      <c r="AG422" s="40"/>
      <c r="AH422" s="40"/>
      <c r="AI422" s="40"/>
      <c r="AJ422" s="40"/>
      <c r="AK422" s="40"/>
      <c r="AL422" s="40"/>
      <c r="AM422" s="40"/>
      <c r="AN422" s="40"/>
      <c r="AO422" s="40"/>
      <c r="AP422" s="40"/>
      <c r="AQ422" s="40"/>
      <c r="AR422" s="40"/>
      <c r="AS422" s="40"/>
      <c r="AT422" s="41"/>
      <c r="AU422" s="1806"/>
      <c r="AV422" s="1517">
        <f t="shared" si="243"/>
        <v>0</v>
      </c>
      <c r="AW422" s="1517">
        <f t="shared" si="244"/>
        <v>0</v>
      </c>
      <c r="AX422" s="1517">
        <f t="shared" si="245"/>
        <v>0</v>
      </c>
      <c r="AY422" s="42">
        <f t="shared" si="246"/>
        <v>0</v>
      </c>
      <c r="AZ422" s="35">
        <f t="shared" si="247"/>
        <v>0</v>
      </c>
      <c r="BA422" s="35">
        <f t="shared" si="248"/>
        <v>0</v>
      </c>
      <c r="BB422" s="35">
        <f t="shared" si="249"/>
        <v>0</v>
      </c>
      <c r="BC422" s="35">
        <f t="shared" si="250"/>
        <v>0</v>
      </c>
      <c r="BD422" s="35">
        <f t="shared" si="251"/>
        <v>0</v>
      </c>
      <c r="BE422" s="35">
        <f t="shared" si="252"/>
        <v>0</v>
      </c>
      <c r="BF422" s="35">
        <f t="shared" si="253"/>
        <v>0</v>
      </c>
      <c r="BG422" s="35">
        <f t="shared" si="254"/>
        <v>0</v>
      </c>
      <c r="BH422" s="35">
        <f t="shared" si="255"/>
        <v>0</v>
      </c>
      <c r="BI422" s="35">
        <f t="shared" si="256"/>
        <v>0</v>
      </c>
      <c r="BJ422" s="35">
        <f t="shared" si="257"/>
        <v>0</v>
      </c>
      <c r="BK422" s="35">
        <f t="shared" si="258"/>
        <v>0</v>
      </c>
      <c r="BL422" s="35">
        <f t="shared" si="259"/>
        <v>0</v>
      </c>
      <c r="BM422" s="35">
        <f t="shared" si="260"/>
        <v>0</v>
      </c>
      <c r="BN422" s="35">
        <f t="shared" si="261"/>
        <v>0</v>
      </c>
      <c r="BO422" s="35">
        <f t="shared" si="262"/>
        <v>0</v>
      </c>
      <c r="BP422" s="35">
        <f t="shared" si="263"/>
        <v>0</v>
      </c>
      <c r="BQ422" s="35">
        <f t="shared" si="264"/>
        <v>0</v>
      </c>
      <c r="BR422" s="35">
        <f t="shared" si="265"/>
        <v>0</v>
      </c>
      <c r="BS422" s="35">
        <f t="shared" si="266"/>
        <v>0</v>
      </c>
      <c r="BT422" s="43">
        <f t="shared" si="267"/>
        <v>0</v>
      </c>
    </row>
    <row r="423" spans="1:72">
      <c r="A423" s="9"/>
      <c r="B423" s="34"/>
      <c r="C423" s="34"/>
      <c r="D423" s="1805"/>
      <c r="E423" s="35">
        <f t="shared" si="239"/>
        <v>0</v>
      </c>
      <c r="F423" s="36"/>
      <c r="G423" s="37">
        <f t="shared" si="240"/>
        <v>0</v>
      </c>
      <c r="H423" s="38">
        <f t="shared" si="241"/>
        <v>0</v>
      </c>
      <c r="I423" s="39"/>
      <c r="J423" s="39"/>
      <c r="K423" s="39"/>
      <c r="L423" s="39"/>
      <c r="M423" s="39"/>
      <c r="N423" s="39"/>
      <c r="O423" s="39"/>
      <c r="P423" s="39"/>
      <c r="Q423" s="39"/>
      <c r="R423" s="39"/>
      <c r="S423" s="39"/>
      <c r="T423" s="39"/>
      <c r="U423" s="39"/>
      <c r="V423" s="39"/>
      <c r="W423" s="39"/>
      <c r="X423" s="39"/>
      <c r="Y423" s="39"/>
      <c r="Z423" s="39"/>
      <c r="AA423" s="39"/>
      <c r="AB423" s="39"/>
      <c r="AC423" s="35">
        <f t="shared" si="242"/>
        <v>0</v>
      </c>
      <c r="AD423" s="40"/>
      <c r="AE423" s="40"/>
      <c r="AF423" s="40"/>
      <c r="AG423" s="40"/>
      <c r="AH423" s="40"/>
      <c r="AI423" s="40"/>
      <c r="AJ423" s="40"/>
      <c r="AK423" s="40"/>
      <c r="AL423" s="40"/>
      <c r="AM423" s="40"/>
      <c r="AN423" s="40"/>
      <c r="AO423" s="40"/>
      <c r="AP423" s="40"/>
      <c r="AQ423" s="40"/>
      <c r="AR423" s="40"/>
      <c r="AS423" s="40"/>
      <c r="AT423" s="41"/>
      <c r="AU423" s="1806"/>
      <c r="AV423" s="1517">
        <f t="shared" si="243"/>
        <v>0</v>
      </c>
      <c r="AW423" s="1517">
        <f t="shared" si="244"/>
        <v>0</v>
      </c>
      <c r="AX423" s="1517">
        <f t="shared" si="245"/>
        <v>0</v>
      </c>
      <c r="AY423" s="42">
        <f t="shared" si="246"/>
        <v>0</v>
      </c>
      <c r="AZ423" s="35">
        <f t="shared" si="247"/>
        <v>0</v>
      </c>
      <c r="BA423" s="35">
        <f t="shared" si="248"/>
        <v>0</v>
      </c>
      <c r="BB423" s="35">
        <f t="shared" si="249"/>
        <v>0</v>
      </c>
      <c r="BC423" s="35">
        <f t="shared" si="250"/>
        <v>0</v>
      </c>
      <c r="BD423" s="35">
        <f t="shared" si="251"/>
        <v>0</v>
      </c>
      <c r="BE423" s="35">
        <f t="shared" si="252"/>
        <v>0</v>
      </c>
      <c r="BF423" s="35">
        <f t="shared" si="253"/>
        <v>0</v>
      </c>
      <c r="BG423" s="35">
        <f t="shared" si="254"/>
        <v>0</v>
      </c>
      <c r="BH423" s="35">
        <f t="shared" si="255"/>
        <v>0</v>
      </c>
      <c r="BI423" s="35">
        <f t="shared" si="256"/>
        <v>0</v>
      </c>
      <c r="BJ423" s="35">
        <f t="shared" si="257"/>
        <v>0</v>
      </c>
      <c r="BK423" s="35">
        <f t="shared" si="258"/>
        <v>0</v>
      </c>
      <c r="BL423" s="35">
        <f t="shared" si="259"/>
        <v>0</v>
      </c>
      <c r="BM423" s="35">
        <f t="shared" si="260"/>
        <v>0</v>
      </c>
      <c r="BN423" s="35">
        <f t="shared" si="261"/>
        <v>0</v>
      </c>
      <c r="BO423" s="35">
        <f t="shared" si="262"/>
        <v>0</v>
      </c>
      <c r="BP423" s="35">
        <f t="shared" si="263"/>
        <v>0</v>
      </c>
      <c r="BQ423" s="35">
        <f t="shared" si="264"/>
        <v>0</v>
      </c>
      <c r="BR423" s="35">
        <f t="shared" si="265"/>
        <v>0</v>
      </c>
      <c r="BS423" s="35">
        <f t="shared" si="266"/>
        <v>0</v>
      </c>
      <c r="BT423" s="43">
        <f t="shared" si="267"/>
        <v>0</v>
      </c>
    </row>
    <row r="424" spans="1:72">
      <c r="A424" s="9"/>
      <c r="B424" s="34"/>
      <c r="C424" s="34"/>
      <c r="D424" s="1805"/>
      <c r="E424" s="35">
        <f t="shared" si="239"/>
        <v>0</v>
      </c>
      <c r="F424" s="36"/>
      <c r="G424" s="37">
        <f t="shared" si="240"/>
        <v>0</v>
      </c>
      <c r="H424" s="38">
        <f t="shared" si="241"/>
        <v>0</v>
      </c>
      <c r="I424" s="39"/>
      <c r="J424" s="39"/>
      <c r="K424" s="39"/>
      <c r="L424" s="39"/>
      <c r="M424" s="39"/>
      <c r="N424" s="39"/>
      <c r="O424" s="39"/>
      <c r="P424" s="39"/>
      <c r="Q424" s="39"/>
      <c r="R424" s="39"/>
      <c r="S424" s="39"/>
      <c r="T424" s="39"/>
      <c r="U424" s="39"/>
      <c r="V424" s="39"/>
      <c r="W424" s="39"/>
      <c r="X424" s="39"/>
      <c r="Y424" s="39"/>
      <c r="Z424" s="39"/>
      <c r="AA424" s="39"/>
      <c r="AB424" s="39"/>
      <c r="AC424" s="35">
        <f t="shared" si="242"/>
        <v>0</v>
      </c>
      <c r="AD424" s="40"/>
      <c r="AE424" s="40"/>
      <c r="AF424" s="40"/>
      <c r="AG424" s="40"/>
      <c r="AH424" s="40"/>
      <c r="AI424" s="40"/>
      <c r="AJ424" s="40"/>
      <c r="AK424" s="40"/>
      <c r="AL424" s="40"/>
      <c r="AM424" s="40"/>
      <c r="AN424" s="40"/>
      <c r="AO424" s="40"/>
      <c r="AP424" s="40"/>
      <c r="AQ424" s="40"/>
      <c r="AR424" s="40"/>
      <c r="AS424" s="40"/>
      <c r="AT424" s="41"/>
      <c r="AU424" s="1806"/>
      <c r="AV424" s="1517">
        <f t="shared" si="243"/>
        <v>0</v>
      </c>
      <c r="AW424" s="1517">
        <f t="shared" si="244"/>
        <v>0</v>
      </c>
      <c r="AX424" s="1517">
        <f t="shared" si="245"/>
        <v>0</v>
      </c>
      <c r="AY424" s="42">
        <f t="shared" si="246"/>
        <v>0</v>
      </c>
      <c r="AZ424" s="35">
        <f t="shared" si="247"/>
        <v>0</v>
      </c>
      <c r="BA424" s="35">
        <f t="shared" si="248"/>
        <v>0</v>
      </c>
      <c r="BB424" s="35">
        <f t="shared" si="249"/>
        <v>0</v>
      </c>
      <c r="BC424" s="35">
        <f t="shared" si="250"/>
        <v>0</v>
      </c>
      <c r="BD424" s="35">
        <f t="shared" si="251"/>
        <v>0</v>
      </c>
      <c r="BE424" s="35">
        <f t="shared" si="252"/>
        <v>0</v>
      </c>
      <c r="BF424" s="35">
        <f t="shared" si="253"/>
        <v>0</v>
      </c>
      <c r="BG424" s="35">
        <f t="shared" si="254"/>
        <v>0</v>
      </c>
      <c r="BH424" s="35">
        <f t="shared" si="255"/>
        <v>0</v>
      </c>
      <c r="BI424" s="35">
        <f t="shared" si="256"/>
        <v>0</v>
      </c>
      <c r="BJ424" s="35">
        <f t="shared" si="257"/>
        <v>0</v>
      </c>
      <c r="BK424" s="35">
        <f t="shared" si="258"/>
        <v>0</v>
      </c>
      <c r="BL424" s="35">
        <f t="shared" si="259"/>
        <v>0</v>
      </c>
      <c r="BM424" s="35">
        <f t="shared" si="260"/>
        <v>0</v>
      </c>
      <c r="BN424" s="35">
        <f t="shared" si="261"/>
        <v>0</v>
      </c>
      <c r="BO424" s="35">
        <f t="shared" si="262"/>
        <v>0</v>
      </c>
      <c r="BP424" s="35">
        <f t="shared" si="263"/>
        <v>0</v>
      </c>
      <c r="BQ424" s="35">
        <f t="shared" si="264"/>
        <v>0</v>
      </c>
      <c r="BR424" s="35">
        <f t="shared" si="265"/>
        <v>0</v>
      </c>
      <c r="BS424" s="35">
        <f t="shared" si="266"/>
        <v>0</v>
      </c>
      <c r="BT424" s="43">
        <f t="shared" si="267"/>
        <v>0</v>
      </c>
    </row>
    <row r="425" spans="1:72">
      <c r="A425" s="9"/>
      <c r="B425" s="34"/>
      <c r="C425" s="34"/>
      <c r="D425" s="1805"/>
      <c r="E425" s="35">
        <f t="shared" si="239"/>
        <v>0</v>
      </c>
      <c r="F425" s="36"/>
      <c r="G425" s="37">
        <f t="shared" si="240"/>
        <v>0</v>
      </c>
      <c r="H425" s="38">
        <f t="shared" si="241"/>
        <v>0</v>
      </c>
      <c r="I425" s="39"/>
      <c r="J425" s="39"/>
      <c r="K425" s="39"/>
      <c r="L425" s="39"/>
      <c r="M425" s="39"/>
      <c r="N425" s="39"/>
      <c r="O425" s="39"/>
      <c r="P425" s="39"/>
      <c r="Q425" s="39"/>
      <c r="R425" s="39"/>
      <c r="S425" s="39"/>
      <c r="T425" s="39"/>
      <c r="U425" s="39"/>
      <c r="V425" s="39"/>
      <c r="W425" s="39"/>
      <c r="X425" s="39"/>
      <c r="Y425" s="39"/>
      <c r="Z425" s="39"/>
      <c r="AA425" s="39"/>
      <c r="AB425" s="39"/>
      <c r="AC425" s="35">
        <f t="shared" si="242"/>
        <v>0</v>
      </c>
      <c r="AD425" s="40"/>
      <c r="AE425" s="40"/>
      <c r="AF425" s="40"/>
      <c r="AG425" s="40"/>
      <c r="AH425" s="40"/>
      <c r="AI425" s="40"/>
      <c r="AJ425" s="40"/>
      <c r="AK425" s="40"/>
      <c r="AL425" s="40"/>
      <c r="AM425" s="40"/>
      <c r="AN425" s="40"/>
      <c r="AO425" s="40"/>
      <c r="AP425" s="40"/>
      <c r="AQ425" s="40"/>
      <c r="AR425" s="40"/>
      <c r="AS425" s="40"/>
      <c r="AT425" s="41"/>
      <c r="AU425" s="1806"/>
      <c r="AV425" s="1517">
        <f t="shared" si="243"/>
        <v>0</v>
      </c>
      <c r="AW425" s="1517">
        <f t="shared" si="244"/>
        <v>0</v>
      </c>
      <c r="AX425" s="1517">
        <f t="shared" si="245"/>
        <v>0</v>
      </c>
      <c r="AY425" s="42">
        <f t="shared" si="246"/>
        <v>0</v>
      </c>
      <c r="AZ425" s="35">
        <f t="shared" si="247"/>
        <v>0</v>
      </c>
      <c r="BA425" s="35">
        <f t="shared" si="248"/>
        <v>0</v>
      </c>
      <c r="BB425" s="35">
        <f t="shared" si="249"/>
        <v>0</v>
      </c>
      <c r="BC425" s="35">
        <f t="shared" si="250"/>
        <v>0</v>
      </c>
      <c r="BD425" s="35">
        <f t="shared" si="251"/>
        <v>0</v>
      </c>
      <c r="BE425" s="35">
        <f t="shared" si="252"/>
        <v>0</v>
      </c>
      <c r="BF425" s="35">
        <f t="shared" si="253"/>
        <v>0</v>
      </c>
      <c r="BG425" s="35">
        <f t="shared" si="254"/>
        <v>0</v>
      </c>
      <c r="BH425" s="35">
        <f t="shared" si="255"/>
        <v>0</v>
      </c>
      <c r="BI425" s="35">
        <f t="shared" si="256"/>
        <v>0</v>
      </c>
      <c r="BJ425" s="35">
        <f t="shared" si="257"/>
        <v>0</v>
      </c>
      <c r="BK425" s="35">
        <f t="shared" si="258"/>
        <v>0</v>
      </c>
      <c r="BL425" s="35">
        <f t="shared" si="259"/>
        <v>0</v>
      </c>
      <c r="BM425" s="35">
        <f t="shared" si="260"/>
        <v>0</v>
      </c>
      <c r="BN425" s="35">
        <f t="shared" si="261"/>
        <v>0</v>
      </c>
      <c r="BO425" s="35">
        <f t="shared" si="262"/>
        <v>0</v>
      </c>
      <c r="BP425" s="35">
        <f t="shared" si="263"/>
        <v>0</v>
      </c>
      <c r="BQ425" s="35">
        <f t="shared" si="264"/>
        <v>0</v>
      </c>
      <c r="BR425" s="35">
        <f t="shared" si="265"/>
        <v>0</v>
      </c>
      <c r="BS425" s="35">
        <f t="shared" si="266"/>
        <v>0</v>
      </c>
      <c r="BT425" s="43">
        <f t="shared" si="267"/>
        <v>0</v>
      </c>
    </row>
    <row r="426" spans="1:72">
      <c r="A426" s="9"/>
      <c r="B426" s="34"/>
      <c r="C426" s="34"/>
      <c r="D426" s="1805"/>
      <c r="E426" s="35">
        <f t="shared" si="239"/>
        <v>0</v>
      </c>
      <c r="F426" s="36"/>
      <c r="G426" s="37">
        <f t="shared" si="240"/>
        <v>0</v>
      </c>
      <c r="H426" s="38">
        <f t="shared" si="241"/>
        <v>0</v>
      </c>
      <c r="I426" s="39"/>
      <c r="J426" s="39"/>
      <c r="K426" s="39"/>
      <c r="L426" s="39"/>
      <c r="M426" s="39"/>
      <c r="N426" s="39"/>
      <c r="O426" s="39"/>
      <c r="P426" s="39"/>
      <c r="Q426" s="39"/>
      <c r="R426" s="39"/>
      <c r="S426" s="39"/>
      <c r="T426" s="39"/>
      <c r="U426" s="39"/>
      <c r="V426" s="39"/>
      <c r="W426" s="39"/>
      <c r="X426" s="39"/>
      <c r="Y426" s="39"/>
      <c r="Z426" s="39"/>
      <c r="AA426" s="39"/>
      <c r="AB426" s="39"/>
      <c r="AC426" s="35">
        <f t="shared" si="242"/>
        <v>0</v>
      </c>
      <c r="AD426" s="40"/>
      <c r="AE426" s="40"/>
      <c r="AF426" s="40"/>
      <c r="AG426" s="40"/>
      <c r="AH426" s="40"/>
      <c r="AI426" s="40"/>
      <c r="AJ426" s="40"/>
      <c r="AK426" s="40"/>
      <c r="AL426" s="40"/>
      <c r="AM426" s="40"/>
      <c r="AN426" s="40"/>
      <c r="AO426" s="40"/>
      <c r="AP426" s="40"/>
      <c r="AQ426" s="40"/>
      <c r="AR426" s="40"/>
      <c r="AS426" s="40"/>
      <c r="AT426" s="41"/>
      <c r="AU426" s="1806"/>
      <c r="AV426" s="1517">
        <f t="shared" si="243"/>
        <v>0</v>
      </c>
      <c r="AW426" s="1517">
        <f t="shared" si="244"/>
        <v>0</v>
      </c>
      <c r="AX426" s="1517">
        <f t="shared" si="245"/>
        <v>0</v>
      </c>
      <c r="AY426" s="42">
        <f t="shared" si="246"/>
        <v>0</v>
      </c>
      <c r="AZ426" s="35">
        <f t="shared" si="247"/>
        <v>0</v>
      </c>
      <c r="BA426" s="35">
        <f t="shared" si="248"/>
        <v>0</v>
      </c>
      <c r="BB426" s="35">
        <f t="shared" si="249"/>
        <v>0</v>
      </c>
      <c r="BC426" s="35">
        <f t="shared" si="250"/>
        <v>0</v>
      </c>
      <c r="BD426" s="35">
        <f t="shared" si="251"/>
        <v>0</v>
      </c>
      <c r="BE426" s="35">
        <f t="shared" si="252"/>
        <v>0</v>
      </c>
      <c r="BF426" s="35">
        <f t="shared" si="253"/>
        <v>0</v>
      </c>
      <c r="BG426" s="35">
        <f t="shared" si="254"/>
        <v>0</v>
      </c>
      <c r="BH426" s="35">
        <f t="shared" si="255"/>
        <v>0</v>
      </c>
      <c r="BI426" s="35">
        <f t="shared" si="256"/>
        <v>0</v>
      </c>
      <c r="BJ426" s="35">
        <f t="shared" si="257"/>
        <v>0</v>
      </c>
      <c r="BK426" s="35">
        <f t="shared" si="258"/>
        <v>0</v>
      </c>
      <c r="BL426" s="35">
        <f t="shared" si="259"/>
        <v>0</v>
      </c>
      <c r="BM426" s="35">
        <f t="shared" si="260"/>
        <v>0</v>
      </c>
      <c r="BN426" s="35">
        <f t="shared" si="261"/>
        <v>0</v>
      </c>
      <c r="BO426" s="35">
        <f t="shared" si="262"/>
        <v>0</v>
      </c>
      <c r="BP426" s="35">
        <f t="shared" si="263"/>
        <v>0</v>
      </c>
      <c r="BQ426" s="35">
        <f t="shared" si="264"/>
        <v>0</v>
      </c>
      <c r="BR426" s="35">
        <f t="shared" si="265"/>
        <v>0</v>
      </c>
      <c r="BS426" s="35">
        <f t="shared" si="266"/>
        <v>0</v>
      </c>
      <c r="BT426" s="43">
        <f t="shared" si="267"/>
        <v>0</v>
      </c>
    </row>
    <row r="427" spans="1:72">
      <c r="A427" s="9"/>
      <c r="B427" s="34"/>
      <c r="C427" s="34"/>
      <c r="D427" s="1805"/>
      <c r="E427" s="35">
        <f t="shared" si="239"/>
        <v>0</v>
      </c>
      <c r="F427" s="36"/>
      <c r="G427" s="37">
        <f t="shared" si="240"/>
        <v>0</v>
      </c>
      <c r="H427" s="38">
        <f t="shared" si="241"/>
        <v>0</v>
      </c>
      <c r="I427" s="39"/>
      <c r="J427" s="39"/>
      <c r="K427" s="39"/>
      <c r="L427" s="39"/>
      <c r="M427" s="39"/>
      <c r="N427" s="39"/>
      <c r="O427" s="39"/>
      <c r="P427" s="39"/>
      <c r="Q427" s="39"/>
      <c r="R427" s="39"/>
      <c r="S427" s="39"/>
      <c r="T427" s="39"/>
      <c r="U427" s="39"/>
      <c r="V427" s="39"/>
      <c r="W427" s="39"/>
      <c r="X427" s="39"/>
      <c r="Y427" s="39"/>
      <c r="Z427" s="39"/>
      <c r="AA427" s="39"/>
      <c r="AB427" s="39"/>
      <c r="AC427" s="35">
        <f t="shared" si="242"/>
        <v>0</v>
      </c>
      <c r="AD427" s="40"/>
      <c r="AE427" s="40"/>
      <c r="AF427" s="40"/>
      <c r="AG427" s="40"/>
      <c r="AH427" s="40"/>
      <c r="AI427" s="40"/>
      <c r="AJ427" s="40"/>
      <c r="AK427" s="40"/>
      <c r="AL427" s="40"/>
      <c r="AM427" s="40"/>
      <c r="AN427" s="40"/>
      <c r="AO427" s="40"/>
      <c r="AP427" s="40"/>
      <c r="AQ427" s="40"/>
      <c r="AR427" s="40"/>
      <c r="AS427" s="40"/>
      <c r="AT427" s="41"/>
      <c r="AU427" s="1806"/>
      <c r="AV427" s="1517">
        <f t="shared" si="243"/>
        <v>0</v>
      </c>
      <c r="AW427" s="1517">
        <f t="shared" si="244"/>
        <v>0</v>
      </c>
      <c r="AX427" s="1517">
        <f t="shared" si="245"/>
        <v>0</v>
      </c>
      <c r="AY427" s="42">
        <f t="shared" si="246"/>
        <v>0</v>
      </c>
      <c r="AZ427" s="35">
        <f t="shared" si="247"/>
        <v>0</v>
      </c>
      <c r="BA427" s="35">
        <f t="shared" si="248"/>
        <v>0</v>
      </c>
      <c r="BB427" s="35">
        <f t="shared" si="249"/>
        <v>0</v>
      </c>
      <c r="BC427" s="35">
        <f t="shared" si="250"/>
        <v>0</v>
      </c>
      <c r="BD427" s="35">
        <f t="shared" si="251"/>
        <v>0</v>
      </c>
      <c r="BE427" s="35">
        <f t="shared" si="252"/>
        <v>0</v>
      </c>
      <c r="BF427" s="35">
        <f t="shared" si="253"/>
        <v>0</v>
      </c>
      <c r="BG427" s="35">
        <f t="shared" si="254"/>
        <v>0</v>
      </c>
      <c r="BH427" s="35">
        <f t="shared" si="255"/>
        <v>0</v>
      </c>
      <c r="BI427" s="35">
        <f t="shared" si="256"/>
        <v>0</v>
      </c>
      <c r="BJ427" s="35">
        <f t="shared" si="257"/>
        <v>0</v>
      </c>
      <c r="BK427" s="35">
        <f t="shared" si="258"/>
        <v>0</v>
      </c>
      <c r="BL427" s="35">
        <f t="shared" si="259"/>
        <v>0</v>
      </c>
      <c r="BM427" s="35">
        <f t="shared" si="260"/>
        <v>0</v>
      </c>
      <c r="BN427" s="35">
        <f t="shared" si="261"/>
        <v>0</v>
      </c>
      <c r="BO427" s="35">
        <f t="shared" si="262"/>
        <v>0</v>
      </c>
      <c r="BP427" s="35">
        <f t="shared" si="263"/>
        <v>0</v>
      </c>
      <c r="BQ427" s="35">
        <f t="shared" si="264"/>
        <v>0</v>
      </c>
      <c r="BR427" s="35">
        <f t="shared" si="265"/>
        <v>0</v>
      </c>
      <c r="BS427" s="35">
        <f t="shared" si="266"/>
        <v>0</v>
      </c>
      <c r="BT427" s="43">
        <f t="shared" si="267"/>
        <v>0</v>
      </c>
    </row>
    <row r="428" spans="1:72">
      <c r="A428" s="9"/>
      <c r="B428" s="34"/>
      <c r="C428" s="34"/>
      <c r="D428" s="1805"/>
      <c r="E428" s="35">
        <f t="shared" si="239"/>
        <v>0</v>
      </c>
      <c r="F428" s="36"/>
      <c r="G428" s="37">
        <f t="shared" si="240"/>
        <v>0</v>
      </c>
      <c r="H428" s="38">
        <f t="shared" si="241"/>
        <v>0</v>
      </c>
      <c r="I428" s="39"/>
      <c r="J428" s="39"/>
      <c r="K428" s="39"/>
      <c r="L428" s="39"/>
      <c r="M428" s="39"/>
      <c r="N428" s="39"/>
      <c r="O428" s="39"/>
      <c r="P428" s="39"/>
      <c r="Q428" s="39"/>
      <c r="R428" s="39"/>
      <c r="S428" s="39"/>
      <c r="T428" s="39"/>
      <c r="U428" s="39"/>
      <c r="V428" s="39"/>
      <c r="W428" s="39"/>
      <c r="X428" s="39"/>
      <c r="Y428" s="39"/>
      <c r="Z428" s="39"/>
      <c r="AA428" s="39"/>
      <c r="AB428" s="39"/>
      <c r="AC428" s="35">
        <f t="shared" si="242"/>
        <v>0</v>
      </c>
      <c r="AD428" s="40"/>
      <c r="AE428" s="40"/>
      <c r="AF428" s="40"/>
      <c r="AG428" s="40"/>
      <c r="AH428" s="40"/>
      <c r="AI428" s="40"/>
      <c r="AJ428" s="40"/>
      <c r="AK428" s="40"/>
      <c r="AL428" s="40"/>
      <c r="AM428" s="40"/>
      <c r="AN428" s="40"/>
      <c r="AO428" s="40"/>
      <c r="AP428" s="40"/>
      <c r="AQ428" s="40"/>
      <c r="AR428" s="40"/>
      <c r="AS428" s="40"/>
      <c r="AT428" s="41"/>
      <c r="AU428" s="1806"/>
      <c r="AV428" s="1517">
        <f t="shared" si="243"/>
        <v>0</v>
      </c>
      <c r="AW428" s="1517">
        <f t="shared" si="244"/>
        <v>0</v>
      </c>
      <c r="AX428" s="1517">
        <f t="shared" si="245"/>
        <v>0</v>
      </c>
      <c r="AY428" s="42">
        <f t="shared" si="246"/>
        <v>0</v>
      </c>
      <c r="AZ428" s="35">
        <f t="shared" si="247"/>
        <v>0</v>
      </c>
      <c r="BA428" s="35">
        <f t="shared" si="248"/>
        <v>0</v>
      </c>
      <c r="BB428" s="35">
        <f t="shared" si="249"/>
        <v>0</v>
      </c>
      <c r="BC428" s="35">
        <f t="shared" si="250"/>
        <v>0</v>
      </c>
      <c r="BD428" s="35">
        <f t="shared" si="251"/>
        <v>0</v>
      </c>
      <c r="BE428" s="35">
        <f t="shared" si="252"/>
        <v>0</v>
      </c>
      <c r="BF428" s="35">
        <f t="shared" si="253"/>
        <v>0</v>
      </c>
      <c r="BG428" s="35">
        <f t="shared" si="254"/>
        <v>0</v>
      </c>
      <c r="BH428" s="35">
        <f t="shared" si="255"/>
        <v>0</v>
      </c>
      <c r="BI428" s="35">
        <f t="shared" si="256"/>
        <v>0</v>
      </c>
      <c r="BJ428" s="35">
        <f t="shared" si="257"/>
        <v>0</v>
      </c>
      <c r="BK428" s="35">
        <f t="shared" si="258"/>
        <v>0</v>
      </c>
      <c r="BL428" s="35">
        <f t="shared" si="259"/>
        <v>0</v>
      </c>
      <c r="BM428" s="35">
        <f t="shared" si="260"/>
        <v>0</v>
      </c>
      <c r="BN428" s="35">
        <f t="shared" si="261"/>
        <v>0</v>
      </c>
      <c r="BO428" s="35">
        <f t="shared" si="262"/>
        <v>0</v>
      </c>
      <c r="BP428" s="35">
        <f t="shared" si="263"/>
        <v>0</v>
      </c>
      <c r="BQ428" s="35">
        <f t="shared" si="264"/>
        <v>0</v>
      </c>
      <c r="BR428" s="35">
        <f t="shared" si="265"/>
        <v>0</v>
      </c>
      <c r="BS428" s="35">
        <f t="shared" si="266"/>
        <v>0</v>
      </c>
      <c r="BT428" s="43">
        <f t="shared" si="267"/>
        <v>0</v>
      </c>
    </row>
    <row r="429" spans="1:72">
      <c r="A429" s="9"/>
      <c r="B429" s="34"/>
      <c r="C429" s="34"/>
      <c r="D429" s="1805"/>
      <c r="E429" s="35">
        <f t="shared" si="239"/>
        <v>0</v>
      </c>
      <c r="F429" s="36"/>
      <c r="G429" s="37">
        <f t="shared" si="240"/>
        <v>0</v>
      </c>
      <c r="H429" s="38">
        <f t="shared" si="241"/>
        <v>0</v>
      </c>
      <c r="I429" s="39"/>
      <c r="J429" s="39"/>
      <c r="K429" s="39"/>
      <c r="L429" s="39"/>
      <c r="M429" s="39"/>
      <c r="N429" s="39"/>
      <c r="O429" s="39"/>
      <c r="P429" s="39"/>
      <c r="Q429" s="39"/>
      <c r="R429" s="39"/>
      <c r="S429" s="39"/>
      <c r="T429" s="39"/>
      <c r="U429" s="39"/>
      <c r="V429" s="39"/>
      <c r="W429" s="39"/>
      <c r="X429" s="39"/>
      <c r="Y429" s="39"/>
      <c r="Z429" s="39"/>
      <c r="AA429" s="39"/>
      <c r="AB429" s="39"/>
      <c r="AC429" s="35">
        <f t="shared" si="242"/>
        <v>0</v>
      </c>
      <c r="AD429" s="40"/>
      <c r="AE429" s="40"/>
      <c r="AF429" s="40"/>
      <c r="AG429" s="40"/>
      <c r="AH429" s="40"/>
      <c r="AI429" s="40"/>
      <c r="AJ429" s="40"/>
      <c r="AK429" s="40"/>
      <c r="AL429" s="40"/>
      <c r="AM429" s="40"/>
      <c r="AN429" s="40"/>
      <c r="AO429" s="40"/>
      <c r="AP429" s="40"/>
      <c r="AQ429" s="40"/>
      <c r="AR429" s="40"/>
      <c r="AS429" s="40"/>
      <c r="AT429" s="41"/>
      <c r="AU429" s="1806"/>
      <c r="AV429" s="1517">
        <f t="shared" si="243"/>
        <v>0</v>
      </c>
      <c r="AW429" s="1517">
        <f t="shared" si="244"/>
        <v>0</v>
      </c>
      <c r="AX429" s="1517">
        <f t="shared" si="245"/>
        <v>0</v>
      </c>
      <c r="AY429" s="42">
        <f t="shared" si="246"/>
        <v>0</v>
      </c>
      <c r="AZ429" s="35">
        <f t="shared" si="247"/>
        <v>0</v>
      </c>
      <c r="BA429" s="35">
        <f t="shared" si="248"/>
        <v>0</v>
      </c>
      <c r="BB429" s="35">
        <f t="shared" si="249"/>
        <v>0</v>
      </c>
      <c r="BC429" s="35">
        <f t="shared" si="250"/>
        <v>0</v>
      </c>
      <c r="BD429" s="35">
        <f t="shared" si="251"/>
        <v>0</v>
      </c>
      <c r="BE429" s="35">
        <f t="shared" si="252"/>
        <v>0</v>
      </c>
      <c r="BF429" s="35">
        <f t="shared" si="253"/>
        <v>0</v>
      </c>
      <c r="BG429" s="35">
        <f t="shared" si="254"/>
        <v>0</v>
      </c>
      <c r="BH429" s="35">
        <f t="shared" si="255"/>
        <v>0</v>
      </c>
      <c r="BI429" s="35">
        <f t="shared" si="256"/>
        <v>0</v>
      </c>
      <c r="BJ429" s="35">
        <f t="shared" si="257"/>
        <v>0</v>
      </c>
      <c r="BK429" s="35">
        <f t="shared" si="258"/>
        <v>0</v>
      </c>
      <c r="BL429" s="35">
        <f t="shared" si="259"/>
        <v>0</v>
      </c>
      <c r="BM429" s="35">
        <f t="shared" si="260"/>
        <v>0</v>
      </c>
      <c r="BN429" s="35">
        <f t="shared" si="261"/>
        <v>0</v>
      </c>
      <c r="BO429" s="35">
        <f t="shared" si="262"/>
        <v>0</v>
      </c>
      <c r="BP429" s="35">
        <f t="shared" si="263"/>
        <v>0</v>
      </c>
      <c r="BQ429" s="35">
        <f t="shared" si="264"/>
        <v>0</v>
      </c>
      <c r="BR429" s="35">
        <f t="shared" si="265"/>
        <v>0</v>
      </c>
      <c r="BS429" s="35">
        <f t="shared" si="266"/>
        <v>0</v>
      </c>
      <c r="BT429" s="43">
        <f t="shared" si="267"/>
        <v>0</v>
      </c>
    </row>
    <row r="430" spans="1:72">
      <c r="A430" s="9"/>
      <c r="B430" s="34"/>
      <c r="C430" s="34"/>
      <c r="D430" s="1805"/>
      <c r="E430" s="35">
        <f t="shared" si="239"/>
        <v>0</v>
      </c>
      <c r="F430" s="36"/>
      <c r="G430" s="37">
        <f t="shared" si="240"/>
        <v>0</v>
      </c>
      <c r="H430" s="38">
        <f t="shared" si="241"/>
        <v>0</v>
      </c>
      <c r="I430" s="39"/>
      <c r="J430" s="39"/>
      <c r="K430" s="39"/>
      <c r="L430" s="39"/>
      <c r="M430" s="39"/>
      <c r="N430" s="39"/>
      <c r="O430" s="39"/>
      <c r="P430" s="39"/>
      <c r="Q430" s="39"/>
      <c r="R430" s="39"/>
      <c r="S430" s="39"/>
      <c r="T430" s="39"/>
      <c r="U430" s="39"/>
      <c r="V430" s="39"/>
      <c r="W430" s="39"/>
      <c r="X430" s="39"/>
      <c r="Y430" s="39"/>
      <c r="Z430" s="39"/>
      <c r="AA430" s="39"/>
      <c r="AB430" s="39"/>
      <c r="AC430" s="35">
        <f t="shared" si="242"/>
        <v>0</v>
      </c>
      <c r="AD430" s="40"/>
      <c r="AE430" s="40"/>
      <c r="AF430" s="40"/>
      <c r="AG430" s="40"/>
      <c r="AH430" s="40"/>
      <c r="AI430" s="40"/>
      <c r="AJ430" s="40"/>
      <c r="AK430" s="40"/>
      <c r="AL430" s="40"/>
      <c r="AM430" s="40"/>
      <c r="AN430" s="40"/>
      <c r="AO430" s="40"/>
      <c r="AP430" s="40"/>
      <c r="AQ430" s="40"/>
      <c r="AR430" s="40"/>
      <c r="AS430" s="40"/>
      <c r="AT430" s="41"/>
      <c r="AU430" s="1806"/>
      <c r="AV430" s="1517">
        <f t="shared" si="243"/>
        <v>0</v>
      </c>
      <c r="AW430" s="1517">
        <f t="shared" si="244"/>
        <v>0</v>
      </c>
      <c r="AX430" s="1517">
        <f t="shared" si="245"/>
        <v>0</v>
      </c>
      <c r="AY430" s="42">
        <f t="shared" si="246"/>
        <v>0</v>
      </c>
      <c r="AZ430" s="35">
        <f t="shared" si="247"/>
        <v>0</v>
      </c>
      <c r="BA430" s="35">
        <f t="shared" si="248"/>
        <v>0</v>
      </c>
      <c r="BB430" s="35">
        <f t="shared" si="249"/>
        <v>0</v>
      </c>
      <c r="BC430" s="35">
        <f t="shared" si="250"/>
        <v>0</v>
      </c>
      <c r="BD430" s="35">
        <f t="shared" si="251"/>
        <v>0</v>
      </c>
      <c r="BE430" s="35">
        <f t="shared" si="252"/>
        <v>0</v>
      </c>
      <c r="BF430" s="35">
        <f t="shared" si="253"/>
        <v>0</v>
      </c>
      <c r="BG430" s="35">
        <f t="shared" si="254"/>
        <v>0</v>
      </c>
      <c r="BH430" s="35">
        <f t="shared" si="255"/>
        <v>0</v>
      </c>
      <c r="BI430" s="35">
        <f t="shared" si="256"/>
        <v>0</v>
      </c>
      <c r="BJ430" s="35">
        <f t="shared" si="257"/>
        <v>0</v>
      </c>
      <c r="BK430" s="35">
        <f t="shared" si="258"/>
        <v>0</v>
      </c>
      <c r="BL430" s="35">
        <f t="shared" si="259"/>
        <v>0</v>
      </c>
      <c r="BM430" s="35">
        <f t="shared" si="260"/>
        <v>0</v>
      </c>
      <c r="BN430" s="35">
        <f t="shared" si="261"/>
        <v>0</v>
      </c>
      <c r="BO430" s="35">
        <f t="shared" si="262"/>
        <v>0</v>
      </c>
      <c r="BP430" s="35">
        <f t="shared" si="263"/>
        <v>0</v>
      </c>
      <c r="BQ430" s="35">
        <f t="shared" si="264"/>
        <v>0</v>
      </c>
      <c r="BR430" s="35">
        <f t="shared" si="265"/>
        <v>0</v>
      </c>
      <c r="BS430" s="35">
        <f t="shared" si="266"/>
        <v>0</v>
      </c>
      <c r="BT430" s="43">
        <f t="shared" si="267"/>
        <v>0</v>
      </c>
    </row>
    <row r="431" spans="1:72">
      <c r="A431" s="9"/>
      <c r="B431" s="34"/>
      <c r="C431" s="34"/>
      <c r="D431" s="1805"/>
      <c r="E431" s="35">
        <f t="shared" si="239"/>
        <v>0</v>
      </c>
      <c r="F431" s="36"/>
      <c r="G431" s="37">
        <f t="shared" si="240"/>
        <v>0</v>
      </c>
      <c r="H431" s="38">
        <f t="shared" si="241"/>
        <v>0</v>
      </c>
      <c r="I431" s="39"/>
      <c r="J431" s="39"/>
      <c r="K431" s="39"/>
      <c r="L431" s="39"/>
      <c r="M431" s="39"/>
      <c r="N431" s="39"/>
      <c r="O431" s="39"/>
      <c r="P431" s="39"/>
      <c r="Q431" s="39"/>
      <c r="R431" s="39"/>
      <c r="S431" s="39"/>
      <c r="T431" s="39"/>
      <c r="U431" s="39"/>
      <c r="V431" s="39"/>
      <c r="W431" s="39"/>
      <c r="X431" s="39"/>
      <c r="Y431" s="39"/>
      <c r="Z431" s="39"/>
      <c r="AA431" s="39"/>
      <c r="AB431" s="39"/>
      <c r="AC431" s="35">
        <f t="shared" si="242"/>
        <v>0</v>
      </c>
      <c r="AD431" s="40"/>
      <c r="AE431" s="40"/>
      <c r="AF431" s="40"/>
      <c r="AG431" s="40"/>
      <c r="AH431" s="40"/>
      <c r="AI431" s="40"/>
      <c r="AJ431" s="40"/>
      <c r="AK431" s="40"/>
      <c r="AL431" s="40"/>
      <c r="AM431" s="40"/>
      <c r="AN431" s="40"/>
      <c r="AO431" s="40"/>
      <c r="AP431" s="40"/>
      <c r="AQ431" s="40"/>
      <c r="AR431" s="40"/>
      <c r="AS431" s="40"/>
      <c r="AT431" s="41"/>
      <c r="AU431" s="1806"/>
      <c r="AV431" s="1517">
        <f t="shared" si="243"/>
        <v>0</v>
      </c>
      <c r="AW431" s="1517">
        <f t="shared" si="244"/>
        <v>0</v>
      </c>
      <c r="AX431" s="1517">
        <f t="shared" si="245"/>
        <v>0</v>
      </c>
      <c r="AY431" s="42">
        <f t="shared" si="246"/>
        <v>0</v>
      </c>
      <c r="AZ431" s="35">
        <f t="shared" si="247"/>
        <v>0</v>
      </c>
      <c r="BA431" s="35">
        <f t="shared" si="248"/>
        <v>0</v>
      </c>
      <c r="BB431" s="35">
        <f t="shared" si="249"/>
        <v>0</v>
      </c>
      <c r="BC431" s="35">
        <f t="shared" si="250"/>
        <v>0</v>
      </c>
      <c r="BD431" s="35">
        <f t="shared" si="251"/>
        <v>0</v>
      </c>
      <c r="BE431" s="35">
        <f t="shared" si="252"/>
        <v>0</v>
      </c>
      <c r="BF431" s="35">
        <f t="shared" si="253"/>
        <v>0</v>
      </c>
      <c r="BG431" s="35">
        <f t="shared" si="254"/>
        <v>0</v>
      </c>
      <c r="BH431" s="35">
        <f t="shared" si="255"/>
        <v>0</v>
      </c>
      <c r="BI431" s="35">
        <f t="shared" si="256"/>
        <v>0</v>
      </c>
      <c r="BJ431" s="35">
        <f t="shared" si="257"/>
        <v>0</v>
      </c>
      <c r="BK431" s="35">
        <f t="shared" si="258"/>
        <v>0</v>
      </c>
      <c r="BL431" s="35">
        <f t="shared" si="259"/>
        <v>0</v>
      </c>
      <c r="BM431" s="35">
        <f t="shared" si="260"/>
        <v>0</v>
      </c>
      <c r="BN431" s="35">
        <f t="shared" si="261"/>
        <v>0</v>
      </c>
      <c r="BO431" s="35">
        <f t="shared" si="262"/>
        <v>0</v>
      </c>
      <c r="BP431" s="35">
        <f t="shared" si="263"/>
        <v>0</v>
      </c>
      <c r="BQ431" s="35">
        <f t="shared" si="264"/>
        <v>0</v>
      </c>
      <c r="BR431" s="35">
        <f t="shared" si="265"/>
        <v>0</v>
      </c>
      <c r="BS431" s="35">
        <f t="shared" si="266"/>
        <v>0</v>
      </c>
      <c r="BT431" s="43">
        <f t="shared" si="267"/>
        <v>0</v>
      </c>
    </row>
    <row r="432" spans="1:72">
      <c r="A432" s="9"/>
      <c r="B432" s="34"/>
      <c r="C432" s="34"/>
      <c r="D432" s="1805"/>
      <c r="E432" s="35">
        <f t="shared" si="239"/>
        <v>0</v>
      </c>
      <c r="F432" s="36"/>
      <c r="G432" s="37">
        <f t="shared" si="240"/>
        <v>0</v>
      </c>
      <c r="H432" s="38">
        <f t="shared" si="241"/>
        <v>0</v>
      </c>
      <c r="I432" s="39"/>
      <c r="J432" s="39"/>
      <c r="K432" s="39"/>
      <c r="L432" s="39"/>
      <c r="M432" s="39"/>
      <c r="N432" s="39"/>
      <c r="O432" s="39"/>
      <c r="P432" s="39"/>
      <c r="Q432" s="39"/>
      <c r="R432" s="39"/>
      <c r="S432" s="39"/>
      <c r="T432" s="39"/>
      <c r="U432" s="39"/>
      <c r="V432" s="39"/>
      <c r="W432" s="39"/>
      <c r="X432" s="39"/>
      <c r="Y432" s="39"/>
      <c r="Z432" s="39"/>
      <c r="AA432" s="39"/>
      <c r="AB432" s="39"/>
      <c r="AC432" s="35">
        <f t="shared" si="242"/>
        <v>0</v>
      </c>
      <c r="AD432" s="40"/>
      <c r="AE432" s="40"/>
      <c r="AF432" s="40"/>
      <c r="AG432" s="40"/>
      <c r="AH432" s="40"/>
      <c r="AI432" s="40"/>
      <c r="AJ432" s="40"/>
      <c r="AK432" s="40"/>
      <c r="AL432" s="40"/>
      <c r="AM432" s="40"/>
      <c r="AN432" s="40"/>
      <c r="AO432" s="40"/>
      <c r="AP432" s="40"/>
      <c r="AQ432" s="40"/>
      <c r="AR432" s="40"/>
      <c r="AS432" s="40"/>
      <c r="AT432" s="41"/>
      <c r="AU432" s="1806"/>
      <c r="AV432" s="1517">
        <f t="shared" si="243"/>
        <v>0</v>
      </c>
      <c r="AW432" s="1517">
        <f t="shared" si="244"/>
        <v>0</v>
      </c>
      <c r="AX432" s="1517">
        <f t="shared" si="245"/>
        <v>0</v>
      </c>
      <c r="AY432" s="42">
        <f t="shared" si="246"/>
        <v>0</v>
      </c>
      <c r="AZ432" s="35">
        <f t="shared" si="247"/>
        <v>0</v>
      </c>
      <c r="BA432" s="35">
        <f t="shared" si="248"/>
        <v>0</v>
      </c>
      <c r="BB432" s="35">
        <f t="shared" si="249"/>
        <v>0</v>
      </c>
      <c r="BC432" s="35">
        <f t="shared" si="250"/>
        <v>0</v>
      </c>
      <c r="BD432" s="35">
        <f t="shared" si="251"/>
        <v>0</v>
      </c>
      <c r="BE432" s="35">
        <f t="shared" si="252"/>
        <v>0</v>
      </c>
      <c r="BF432" s="35">
        <f t="shared" si="253"/>
        <v>0</v>
      </c>
      <c r="BG432" s="35">
        <f t="shared" si="254"/>
        <v>0</v>
      </c>
      <c r="BH432" s="35">
        <f t="shared" si="255"/>
        <v>0</v>
      </c>
      <c r="BI432" s="35">
        <f t="shared" si="256"/>
        <v>0</v>
      </c>
      <c r="BJ432" s="35">
        <f t="shared" si="257"/>
        <v>0</v>
      </c>
      <c r="BK432" s="35">
        <f t="shared" si="258"/>
        <v>0</v>
      </c>
      <c r="BL432" s="35">
        <f t="shared" si="259"/>
        <v>0</v>
      </c>
      <c r="BM432" s="35">
        <f t="shared" si="260"/>
        <v>0</v>
      </c>
      <c r="BN432" s="35">
        <f t="shared" si="261"/>
        <v>0</v>
      </c>
      <c r="BO432" s="35">
        <f t="shared" si="262"/>
        <v>0</v>
      </c>
      <c r="BP432" s="35">
        <f t="shared" si="263"/>
        <v>0</v>
      </c>
      <c r="BQ432" s="35">
        <f t="shared" si="264"/>
        <v>0</v>
      </c>
      <c r="BR432" s="35">
        <f t="shared" si="265"/>
        <v>0</v>
      </c>
      <c r="BS432" s="35">
        <f t="shared" si="266"/>
        <v>0</v>
      </c>
      <c r="BT432" s="43">
        <f t="shared" si="267"/>
        <v>0</v>
      </c>
    </row>
    <row r="433" spans="1:72">
      <c r="A433" s="9"/>
      <c r="B433" s="34"/>
      <c r="C433" s="34"/>
      <c r="D433" s="1805"/>
      <c r="E433" s="35">
        <f t="shared" si="239"/>
        <v>0</v>
      </c>
      <c r="F433" s="36"/>
      <c r="G433" s="37">
        <f t="shared" si="240"/>
        <v>0</v>
      </c>
      <c r="H433" s="38">
        <f t="shared" si="241"/>
        <v>0</v>
      </c>
      <c r="I433" s="39"/>
      <c r="J433" s="39"/>
      <c r="K433" s="39"/>
      <c r="L433" s="39"/>
      <c r="M433" s="39"/>
      <c r="N433" s="39"/>
      <c r="O433" s="39"/>
      <c r="P433" s="39"/>
      <c r="Q433" s="39"/>
      <c r="R433" s="39"/>
      <c r="S433" s="39"/>
      <c r="T433" s="39"/>
      <c r="U433" s="39"/>
      <c r="V433" s="39"/>
      <c r="W433" s="39"/>
      <c r="X433" s="39"/>
      <c r="Y433" s="39"/>
      <c r="Z433" s="39"/>
      <c r="AA433" s="39"/>
      <c r="AB433" s="39"/>
      <c r="AC433" s="35">
        <f t="shared" si="242"/>
        <v>0</v>
      </c>
      <c r="AD433" s="40"/>
      <c r="AE433" s="40"/>
      <c r="AF433" s="40"/>
      <c r="AG433" s="40"/>
      <c r="AH433" s="40"/>
      <c r="AI433" s="40"/>
      <c r="AJ433" s="40"/>
      <c r="AK433" s="40"/>
      <c r="AL433" s="40"/>
      <c r="AM433" s="40"/>
      <c r="AN433" s="40"/>
      <c r="AO433" s="40"/>
      <c r="AP433" s="40"/>
      <c r="AQ433" s="40"/>
      <c r="AR433" s="40"/>
      <c r="AS433" s="40"/>
      <c r="AT433" s="41"/>
      <c r="AU433" s="1806"/>
      <c r="AV433" s="1517">
        <f t="shared" si="243"/>
        <v>0</v>
      </c>
      <c r="AW433" s="1517">
        <f t="shared" si="244"/>
        <v>0</v>
      </c>
      <c r="AX433" s="1517">
        <f t="shared" si="245"/>
        <v>0</v>
      </c>
      <c r="AY433" s="42">
        <f t="shared" si="246"/>
        <v>0</v>
      </c>
      <c r="AZ433" s="35">
        <f t="shared" si="247"/>
        <v>0</v>
      </c>
      <c r="BA433" s="35">
        <f t="shared" si="248"/>
        <v>0</v>
      </c>
      <c r="BB433" s="35">
        <f t="shared" si="249"/>
        <v>0</v>
      </c>
      <c r="BC433" s="35">
        <f t="shared" si="250"/>
        <v>0</v>
      </c>
      <c r="BD433" s="35">
        <f t="shared" si="251"/>
        <v>0</v>
      </c>
      <c r="BE433" s="35">
        <f t="shared" si="252"/>
        <v>0</v>
      </c>
      <c r="BF433" s="35">
        <f t="shared" si="253"/>
        <v>0</v>
      </c>
      <c r="BG433" s="35">
        <f t="shared" si="254"/>
        <v>0</v>
      </c>
      <c r="BH433" s="35">
        <f t="shared" si="255"/>
        <v>0</v>
      </c>
      <c r="BI433" s="35">
        <f t="shared" si="256"/>
        <v>0</v>
      </c>
      <c r="BJ433" s="35">
        <f t="shared" si="257"/>
        <v>0</v>
      </c>
      <c r="BK433" s="35">
        <f t="shared" si="258"/>
        <v>0</v>
      </c>
      <c r="BL433" s="35">
        <f t="shared" si="259"/>
        <v>0</v>
      </c>
      <c r="BM433" s="35">
        <f t="shared" si="260"/>
        <v>0</v>
      </c>
      <c r="BN433" s="35">
        <f t="shared" si="261"/>
        <v>0</v>
      </c>
      <c r="BO433" s="35">
        <f t="shared" si="262"/>
        <v>0</v>
      </c>
      <c r="BP433" s="35">
        <f t="shared" si="263"/>
        <v>0</v>
      </c>
      <c r="BQ433" s="35">
        <f t="shared" si="264"/>
        <v>0</v>
      </c>
      <c r="BR433" s="35">
        <f t="shared" si="265"/>
        <v>0</v>
      </c>
      <c r="BS433" s="35">
        <f t="shared" si="266"/>
        <v>0</v>
      </c>
      <c r="BT433" s="43">
        <f t="shared" si="267"/>
        <v>0</v>
      </c>
    </row>
    <row r="434" spans="1:72">
      <c r="A434" s="9"/>
      <c r="B434" s="34"/>
      <c r="C434" s="34"/>
      <c r="D434" s="1805"/>
      <c r="E434" s="35">
        <f t="shared" si="239"/>
        <v>0</v>
      </c>
      <c r="F434" s="36"/>
      <c r="G434" s="37">
        <f t="shared" si="240"/>
        <v>0</v>
      </c>
      <c r="H434" s="38">
        <f t="shared" si="241"/>
        <v>0</v>
      </c>
      <c r="I434" s="39"/>
      <c r="J434" s="39"/>
      <c r="K434" s="39"/>
      <c r="L434" s="39"/>
      <c r="M434" s="39"/>
      <c r="N434" s="39"/>
      <c r="O434" s="39"/>
      <c r="P434" s="39"/>
      <c r="Q434" s="39"/>
      <c r="R434" s="39"/>
      <c r="S434" s="39"/>
      <c r="T434" s="39"/>
      <c r="U434" s="39"/>
      <c r="V434" s="39"/>
      <c r="W434" s="39"/>
      <c r="X434" s="39"/>
      <c r="Y434" s="39"/>
      <c r="Z434" s="39"/>
      <c r="AA434" s="39"/>
      <c r="AB434" s="39"/>
      <c r="AC434" s="35">
        <f t="shared" si="242"/>
        <v>0</v>
      </c>
      <c r="AD434" s="40"/>
      <c r="AE434" s="40"/>
      <c r="AF434" s="40"/>
      <c r="AG434" s="40"/>
      <c r="AH434" s="40"/>
      <c r="AI434" s="40"/>
      <c r="AJ434" s="40"/>
      <c r="AK434" s="40"/>
      <c r="AL434" s="40"/>
      <c r="AM434" s="40"/>
      <c r="AN434" s="40"/>
      <c r="AO434" s="40"/>
      <c r="AP434" s="40"/>
      <c r="AQ434" s="40"/>
      <c r="AR434" s="40"/>
      <c r="AS434" s="40"/>
      <c r="AT434" s="41"/>
      <c r="AU434" s="1806"/>
      <c r="AV434" s="1517">
        <f t="shared" si="243"/>
        <v>0</v>
      </c>
      <c r="AW434" s="1517">
        <f t="shared" si="244"/>
        <v>0</v>
      </c>
      <c r="AX434" s="1517">
        <f t="shared" si="245"/>
        <v>0</v>
      </c>
      <c r="AY434" s="42">
        <f t="shared" si="246"/>
        <v>0</v>
      </c>
      <c r="AZ434" s="35">
        <f t="shared" si="247"/>
        <v>0</v>
      </c>
      <c r="BA434" s="35">
        <f t="shared" si="248"/>
        <v>0</v>
      </c>
      <c r="BB434" s="35">
        <f t="shared" si="249"/>
        <v>0</v>
      </c>
      <c r="BC434" s="35">
        <f t="shared" si="250"/>
        <v>0</v>
      </c>
      <c r="BD434" s="35">
        <f t="shared" si="251"/>
        <v>0</v>
      </c>
      <c r="BE434" s="35">
        <f t="shared" si="252"/>
        <v>0</v>
      </c>
      <c r="BF434" s="35">
        <f t="shared" si="253"/>
        <v>0</v>
      </c>
      <c r="BG434" s="35">
        <f t="shared" si="254"/>
        <v>0</v>
      </c>
      <c r="BH434" s="35">
        <f t="shared" si="255"/>
        <v>0</v>
      </c>
      <c r="BI434" s="35">
        <f t="shared" si="256"/>
        <v>0</v>
      </c>
      <c r="BJ434" s="35">
        <f t="shared" si="257"/>
        <v>0</v>
      </c>
      <c r="BK434" s="35">
        <f t="shared" si="258"/>
        <v>0</v>
      </c>
      <c r="BL434" s="35">
        <f t="shared" si="259"/>
        <v>0</v>
      </c>
      <c r="BM434" s="35">
        <f t="shared" si="260"/>
        <v>0</v>
      </c>
      <c r="BN434" s="35">
        <f t="shared" si="261"/>
        <v>0</v>
      </c>
      <c r="BO434" s="35">
        <f t="shared" si="262"/>
        <v>0</v>
      </c>
      <c r="BP434" s="35">
        <f t="shared" si="263"/>
        <v>0</v>
      </c>
      <c r="BQ434" s="35">
        <f t="shared" si="264"/>
        <v>0</v>
      </c>
      <c r="BR434" s="35">
        <f t="shared" si="265"/>
        <v>0</v>
      </c>
      <c r="BS434" s="35">
        <f t="shared" si="266"/>
        <v>0</v>
      </c>
      <c r="BT434" s="43">
        <f t="shared" si="267"/>
        <v>0</v>
      </c>
    </row>
    <row r="435" spans="1:72">
      <c r="A435" s="9"/>
      <c r="B435" s="34"/>
      <c r="C435" s="34"/>
      <c r="D435" s="1805"/>
      <c r="E435" s="35">
        <f t="shared" si="239"/>
        <v>0</v>
      </c>
      <c r="F435" s="36"/>
      <c r="G435" s="37">
        <f t="shared" si="240"/>
        <v>0</v>
      </c>
      <c r="H435" s="38">
        <f t="shared" si="241"/>
        <v>0</v>
      </c>
      <c r="I435" s="39"/>
      <c r="J435" s="39"/>
      <c r="K435" s="39"/>
      <c r="L435" s="39"/>
      <c r="M435" s="39"/>
      <c r="N435" s="39"/>
      <c r="O435" s="39"/>
      <c r="P435" s="39"/>
      <c r="Q435" s="39"/>
      <c r="R435" s="39"/>
      <c r="S435" s="39"/>
      <c r="T435" s="39"/>
      <c r="U435" s="39"/>
      <c r="V435" s="39"/>
      <c r="W435" s="39"/>
      <c r="X435" s="39"/>
      <c r="Y435" s="39"/>
      <c r="Z435" s="39"/>
      <c r="AA435" s="39"/>
      <c r="AB435" s="39"/>
      <c r="AC435" s="35">
        <f t="shared" si="242"/>
        <v>0</v>
      </c>
      <c r="AD435" s="40"/>
      <c r="AE435" s="40"/>
      <c r="AF435" s="40"/>
      <c r="AG435" s="40"/>
      <c r="AH435" s="40"/>
      <c r="AI435" s="40"/>
      <c r="AJ435" s="40"/>
      <c r="AK435" s="40"/>
      <c r="AL435" s="40"/>
      <c r="AM435" s="40"/>
      <c r="AN435" s="40"/>
      <c r="AO435" s="40"/>
      <c r="AP435" s="40"/>
      <c r="AQ435" s="40"/>
      <c r="AR435" s="40"/>
      <c r="AS435" s="40"/>
      <c r="AT435" s="41"/>
      <c r="AU435" s="1806"/>
      <c r="AV435" s="1517">
        <f t="shared" si="243"/>
        <v>0</v>
      </c>
      <c r="AW435" s="1517">
        <f t="shared" si="244"/>
        <v>0</v>
      </c>
      <c r="AX435" s="1517">
        <f t="shared" si="245"/>
        <v>0</v>
      </c>
      <c r="AY435" s="42">
        <f t="shared" si="246"/>
        <v>0</v>
      </c>
      <c r="AZ435" s="35">
        <f t="shared" si="247"/>
        <v>0</v>
      </c>
      <c r="BA435" s="35">
        <f t="shared" si="248"/>
        <v>0</v>
      </c>
      <c r="BB435" s="35">
        <f t="shared" si="249"/>
        <v>0</v>
      </c>
      <c r="BC435" s="35">
        <f t="shared" si="250"/>
        <v>0</v>
      </c>
      <c r="BD435" s="35">
        <f t="shared" si="251"/>
        <v>0</v>
      </c>
      <c r="BE435" s="35">
        <f t="shared" si="252"/>
        <v>0</v>
      </c>
      <c r="BF435" s="35">
        <f t="shared" si="253"/>
        <v>0</v>
      </c>
      <c r="BG435" s="35">
        <f t="shared" si="254"/>
        <v>0</v>
      </c>
      <c r="BH435" s="35">
        <f t="shared" si="255"/>
        <v>0</v>
      </c>
      <c r="BI435" s="35">
        <f t="shared" si="256"/>
        <v>0</v>
      </c>
      <c r="BJ435" s="35">
        <f t="shared" si="257"/>
        <v>0</v>
      </c>
      <c r="BK435" s="35">
        <f t="shared" si="258"/>
        <v>0</v>
      </c>
      <c r="BL435" s="35">
        <f t="shared" si="259"/>
        <v>0</v>
      </c>
      <c r="BM435" s="35">
        <f t="shared" si="260"/>
        <v>0</v>
      </c>
      <c r="BN435" s="35">
        <f t="shared" si="261"/>
        <v>0</v>
      </c>
      <c r="BO435" s="35">
        <f t="shared" si="262"/>
        <v>0</v>
      </c>
      <c r="BP435" s="35">
        <f t="shared" si="263"/>
        <v>0</v>
      </c>
      <c r="BQ435" s="35">
        <f t="shared" si="264"/>
        <v>0</v>
      </c>
      <c r="BR435" s="35">
        <f t="shared" si="265"/>
        <v>0</v>
      </c>
      <c r="BS435" s="35">
        <f t="shared" si="266"/>
        <v>0</v>
      </c>
      <c r="BT435" s="43">
        <f t="shared" si="267"/>
        <v>0</v>
      </c>
    </row>
    <row r="436" spans="1:72">
      <c r="A436" s="9"/>
      <c r="B436" s="34"/>
      <c r="C436" s="34"/>
      <c r="D436" s="1805"/>
      <c r="E436" s="35">
        <f t="shared" si="239"/>
        <v>0</v>
      </c>
      <c r="F436" s="36"/>
      <c r="G436" s="37">
        <f t="shared" si="240"/>
        <v>0</v>
      </c>
      <c r="H436" s="38">
        <f t="shared" si="241"/>
        <v>0</v>
      </c>
      <c r="I436" s="39"/>
      <c r="J436" s="39"/>
      <c r="K436" s="39"/>
      <c r="L436" s="39"/>
      <c r="M436" s="39"/>
      <c r="N436" s="39"/>
      <c r="O436" s="39"/>
      <c r="P436" s="39"/>
      <c r="Q436" s="39"/>
      <c r="R436" s="39"/>
      <c r="S436" s="39"/>
      <c r="T436" s="39"/>
      <c r="U436" s="39"/>
      <c r="V436" s="39"/>
      <c r="W436" s="39"/>
      <c r="X436" s="39"/>
      <c r="Y436" s="39"/>
      <c r="Z436" s="39"/>
      <c r="AA436" s="39"/>
      <c r="AB436" s="39"/>
      <c r="AC436" s="35">
        <f t="shared" si="242"/>
        <v>0</v>
      </c>
      <c r="AD436" s="40"/>
      <c r="AE436" s="40"/>
      <c r="AF436" s="40"/>
      <c r="AG436" s="40"/>
      <c r="AH436" s="40"/>
      <c r="AI436" s="40"/>
      <c r="AJ436" s="40"/>
      <c r="AK436" s="40"/>
      <c r="AL436" s="40"/>
      <c r="AM436" s="40"/>
      <c r="AN436" s="40"/>
      <c r="AO436" s="40"/>
      <c r="AP436" s="40"/>
      <c r="AQ436" s="40"/>
      <c r="AR436" s="40"/>
      <c r="AS436" s="40"/>
      <c r="AT436" s="41"/>
      <c r="AU436" s="1806"/>
      <c r="AV436" s="1517">
        <f t="shared" si="243"/>
        <v>0</v>
      </c>
      <c r="AW436" s="1517">
        <f t="shared" si="244"/>
        <v>0</v>
      </c>
      <c r="AX436" s="1517">
        <f t="shared" si="245"/>
        <v>0</v>
      </c>
      <c r="AY436" s="42">
        <f t="shared" si="246"/>
        <v>0</v>
      </c>
      <c r="AZ436" s="35">
        <f t="shared" si="247"/>
        <v>0</v>
      </c>
      <c r="BA436" s="35">
        <f t="shared" si="248"/>
        <v>0</v>
      </c>
      <c r="BB436" s="35">
        <f t="shared" si="249"/>
        <v>0</v>
      </c>
      <c r="BC436" s="35">
        <f t="shared" si="250"/>
        <v>0</v>
      </c>
      <c r="BD436" s="35">
        <f t="shared" si="251"/>
        <v>0</v>
      </c>
      <c r="BE436" s="35">
        <f t="shared" si="252"/>
        <v>0</v>
      </c>
      <c r="BF436" s="35">
        <f t="shared" si="253"/>
        <v>0</v>
      </c>
      <c r="BG436" s="35">
        <f t="shared" si="254"/>
        <v>0</v>
      </c>
      <c r="BH436" s="35">
        <f t="shared" si="255"/>
        <v>0</v>
      </c>
      <c r="BI436" s="35">
        <f t="shared" si="256"/>
        <v>0</v>
      </c>
      <c r="BJ436" s="35">
        <f t="shared" si="257"/>
        <v>0</v>
      </c>
      <c r="BK436" s="35">
        <f t="shared" si="258"/>
        <v>0</v>
      </c>
      <c r="BL436" s="35">
        <f t="shared" si="259"/>
        <v>0</v>
      </c>
      <c r="BM436" s="35">
        <f t="shared" si="260"/>
        <v>0</v>
      </c>
      <c r="BN436" s="35">
        <f t="shared" si="261"/>
        <v>0</v>
      </c>
      <c r="BO436" s="35">
        <f t="shared" si="262"/>
        <v>0</v>
      </c>
      <c r="BP436" s="35">
        <f t="shared" si="263"/>
        <v>0</v>
      </c>
      <c r="BQ436" s="35">
        <f t="shared" si="264"/>
        <v>0</v>
      </c>
      <c r="BR436" s="35">
        <f t="shared" si="265"/>
        <v>0</v>
      </c>
      <c r="BS436" s="35">
        <f t="shared" si="266"/>
        <v>0</v>
      </c>
      <c r="BT436" s="43">
        <f t="shared" si="267"/>
        <v>0</v>
      </c>
    </row>
    <row r="437" spans="1:72">
      <c r="A437" s="9"/>
      <c r="B437" s="34"/>
      <c r="C437" s="34"/>
      <c r="D437" s="1805"/>
      <c r="E437" s="35">
        <f t="shared" si="239"/>
        <v>0</v>
      </c>
      <c r="F437" s="36"/>
      <c r="G437" s="37">
        <f t="shared" si="240"/>
        <v>0</v>
      </c>
      <c r="H437" s="38">
        <f t="shared" si="241"/>
        <v>0</v>
      </c>
      <c r="I437" s="39"/>
      <c r="J437" s="39"/>
      <c r="K437" s="39"/>
      <c r="L437" s="39"/>
      <c r="M437" s="39"/>
      <c r="N437" s="39"/>
      <c r="O437" s="39"/>
      <c r="P437" s="39"/>
      <c r="Q437" s="39"/>
      <c r="R437" s="39"/>
      <c r="S437" s="39"/>
      <c r="T437" s="39"/>
      <c r="U437" s="39"/>
      <c r="V437" s="39"/>
      <c r="W437" s="39"/>
      <c r="X437" s="39"/>
      <c r="Y437" s="39"/>
      <c r="Z437" s="39"/>
      <c r="AA437" s="39"/>
      <c r="AB437" s="39"/>
      <c r="AC437" s="35">
        <f t="shared" si="242"/>
        <v>0</v>
      </c>
      <c r="AD437" s="40"/>
      <c r="AE437" s="40"/>
      <c r="AF437" s="40"/>
      <c r="AG437" s="40"/>
      <c r="AH437" s="40"/>
      <c r="AI437" s="40"/>
      <c r="AJ437" s="40"/>
      <c r="AK437" s="40"/>
      <c r="AL437" s="40"/>
      <c r="AM437" s="40"/>
      <c r="AN437" s="40"/>
      <c r="AO437" s="40"/>
      <c r="AP437" s="40"/>
      <c r="AQ437" s="40"/>
      <c r="AR437" s="40"/>
      <c r="AS437" s="40"/>
      <c r="AT437" s="41"/>
      <c r="AU437" s="1806"/>
      <c r="AV437" s="1517">
        <f t="shared" si="243"/>
        <v>0</v>
      </c>
      <c r="AW437" s="1517">
        <f t="shared" si="244"/>
        <v>0</v>
      </c>
      <c r="AX437" s="1517">
        <f t="shared" si="245"/>
        <v>0</v>
      </c>
      <c r="AY437" s="42">
        <f t="shared" si="246"/>
        <v>0</v>
      </c>
      <c r="AZ437" s="35">
        <f t="shared" si="247"/>
        <v>0</v>
      </c>
      <c r="BA437" s="35">
        <f t="shared" si="248"/>
        <v>0</v>
      </c>
      <c r="BB437" s="35">
        <f t="shared" si="249"/>
        <v>0</v>
      </c>
      <c r="BC437" s="35">
        <f t="shared" si="250"/>
        <v>0</v>
      </c>
      <c r="BD437" s="35">
        <f t="shared" si="251"/>
        <v>0</v>
      </c>
      <c r="BE437" s="35">
        <f t="shared" si="252"/>
        <v>0</v>
      </c>
      <c r="BF437" s="35">
        <f t="shared" si="253"/>
        <v>0</v>
      </c>
      <c r="BG437" s="35">
        <f t="shared" si="254"/>
        <v>0</v>
      </c>
      <c r="BH437" s="35">
        <f t="shared" si="255"/>
        <v>0</v>
      </c>
      <c r="BI437" s="35">
        <f t="shared" si="256"/>
        <v>0</v>
      </c>
      <c r="BJ437" s="35">
        <f t="shared" si="257"/>
        <v>0</v>
      </c>
      <c r="BK437" s="35">
        <f t="shared" si="258"/>
        <v>0</v>
      </c>
      <c r="BL437" s="35">
        <f t="shared" si="259"/>
        <v>0</v>
      </c>
      <c r="BM437" s="35">
        <f t="shared" si="260"/>
        <v>0</v>
      </c>
      <c r="BN437" s="35">
        <f t="shared" si="261"/>
        <v>0</v>
      </c>
      <c r="BO437" s="35">
        <f t="shared" si="262"/>
        <v>0</v>
      </c>
      <c r="BP437" s="35">
        <f t="shared" si="263"/>
        <v>0</v>
      </c>
      <c r="BQ437" s="35">
        <f t="shared" si="264"/>
        <v>0</v>
      </c>
      <c r="BR437" s="35">
        <f t="shared" si="265"/>
        <v>0</v>
      </c>
      <c r="BS437" s="35">
        <f t="shared" si="266"/>
        <v>0</v>
      </c>
      <c r="BT437" s="43">
        <f t="shared" si="267"/>
        <v>0</v>
      </c>
    </row>
    <row r="438" spans="1:72">
      <c r="A438" s="9"/>
      <c r="B438" s="34"/>
      <c r="C438" s="34"/>
      <c r="D438" s="1805"/>
      <c r="E438" s="35">
        <f t="shared" si="239"/>
        <v>0</v>
      </c>
      <c r="F438" s="36"/>
      <c r="G438" s="37">
        <f t="shared" si="240"/>
        <v>0</v>
      </c>
      <c r="H438" s="38">
        <f t="shared" si="241"/>
        <v>0</v>
      </c>
      <c r="I438" s="39"/>
      <c r="J438" s="39"/>
      <c r="K438" s="39"/>
      <c r="L438" s="39"/>
      <c r="M438" s="39"/>
      <c r="N438" s="39"/>
      <c r="O438" s="39"/>
      <c r="P438" s="39"/>
      <c r="Q438" s="39"/>
      <c r="R438" s="39"/>
      <c r="S438" s="39"/>
      <c r="T438" s="39"/>
      <c r="U438" s="39"/>
      <c r="V438" s="39"/>
      <c r="W438" s="39"/>
      <c r="X438" s="39"/>
      <c r="Y438" s="39"/>
      <c r="Z438" s="39"/>
      <c r="AA438" s="39"/>
      <c r="AB438" s="39"/>
      <c r="AC438" s="35">
        <f t="shared" si="242"/>
        <v>0</v>
      </c>
      <c r="AD438" s="40"/>
      <c r="AE438" s="40"/>
      <c r="AF438" s="40"/>
      <c r="AG438" s="40"/>
      <c r="AH438" s="40"/>
      <c r="AI438" s="40"/>
      <c r="AJ438" s="40"/>
      <c r="AK438" s="40"/>
      <c r="AL438" s="40"/>
      <c r="AM438" s="40"/>
      <c r="AN438" s="40"/>
      <c r="AO438" s="40"/>
      <c r="AP438" s="40"/>
      <c r="AQ438" s="40"/>
      <c r="AR438" s="40"/>
      <c r="AS438" s="40"/>
      <c r="AT438" s="41"/>
      <c r="AU438" s="1806"/>
      <c r="AV438" s="1517">
        <f t="shared" si="243"/>
        <v>0</v>
      </c>
      <c r="AW438" s="1517">
        <f t="shared" si="244"/>
        <v>0</v>
      </c>
      <c r="AX438" s="1517">
        <f t="shared" si="245"/>
        <v>0</v>
      </c>
      <c r="AY438" s="42">
        <f t="shared" si="246"/>
        <v>0</v>
      </c>
      <c r="AZ438" s="35">
        <f t="shared" si="247"/>
        <v>0</v>
      </c>
      <c r="BA438" s="35">
        <f t="shared" si="248"/>
        <v>0</v>
      </c>
      <c r="BB438" s="35">
        <f t="shared" si="249"/>
        <v>0</v>
      </c>
      <c r="BC438" s="35">
        <f t="shared" si="250"/>
        <v>0</v>
      </c>
      <c r="BD438" s="35">
        <f t="shared" si="251"/>
        <v>0</v>
      </c>
      <c r="BE438" s="35">
        <f t="shared" si="252"/>
        <v>0</v>
      </c>
      <c r="BF438" s="35">
        <f t="shared" si="253"/>
        <v>0</v>
      </c>
      <c r="BG438" s="35">
        <f t="shared" si="254"/>
        <v>0</v>
      </c>
      <c r="BH438" s="35">
        <f t="shared" si="255"/>
        <v>0</v>
      </c>
      <c r="BI438" s="35">
        <f t="shared" si="256"/>
        <v>0</v>
      </c>
      <c r="BJ438" s="35">
        <f t="shared" si="257"/>
        <v>0</v>
      </c>
      <c r="BK438" s="35">
        <f t="shared" si="258"/>
        <v>0</v>
      </c>
      <c r="BL438" s="35">
        <f t="shared" si="259"/>
        <v>0</v>
      </c>
      <c r="BM438" s="35">
        <f t="shared" si="260"/>
        <v>0</v>
      </c>
      <c r="BN438" s="35">
        <f t="shared" si="261"/>
        <v>0</v>
      </c>
      <c r="BO438" s="35">
        <f t="shared" si="262"/>
        <v>0</v>
      </c>
      <c r="BP438" s="35">
        <f t="shared" si="263"/>
        <v>0</v>
      </c>
      <c r="BQ438" s="35">
        <f t="shared" si="264"/>
        <v>0</v>
      </c>
      <c r="BR438" s="35">
        <f t="shared" si="265"/>
        <v>0</v>
      </c>
      <c r="BS438" s="35">
        <f t="shared" si="266"/>
        <v>0</v>
      </c>
      <c r="BT438" s="43">
        <f t="shared" si="267"/>
        <v>0</v>
      </c>
    </row>
    <row r="439" spans="1:72">
      <c r="A439" s="9"/>
      <c r="B439" s="34"/>
      <c r="C439" s="34"/>
      <c r="D439" s="1805"/>
      <c r="E439" s="35">
        <f t="shared" si="239"/>
        <v>0</v>
      </c>
      <c r="F439" s="36"/>
      <c r="G439" s="37">
        <f t="shared" si="240"/>
        <v>0</v>
      </c>
      <c r="H439" s="38">
        <f t="shared" si="241"/>
        <v>0</v>
      </c>
      <c r="I439" s="39"/>
      <c r="J439" s="39"/>
      <c r="K439" s="39"/>
      <c r="L439" s="39"/>
      <c r="M439" s="39"/>
      <c r="N439" s="39"/>
      <c r="O439" s="39"/>
      <c r="P439" s="39"/>
      <c r="Q439" s="39"/>
      <c r="R439" s="39"/>
      <c r="S439" s="39"/>
      <c r="T439" s="39"/>
      <c r="U439" s="39"/>
      <c r="V439" s="39"/>
      <c r="W439" s="39"/>
      <c r="X439" s="39"/>
      <c r="Y439" s="39"/>
      <c r="Z439" s="39"/>
      <c r="AA439" s="39"/>
      <c r="AB439" s="39"/>
      <c r="AC439" s="35">
        <f t="shared" si="242"/>
        <v>0</v>
      </c>
      <c r="AD439" s="40"/>
      <c r="AE439" s="40"/>
      <c r="AF439" s="40"/>
      <c r="AG439" s="40"/>
      <c r="AH439" s="40"/>
      <c r="AI439" s="40"/>
      <c r="AJ439" s="40"/>
      <c r="AK439" s="40"/>
      <c r="AL439" s="40"/>
      <c r="AM439" s="40"/>
      <c r="AN439" s="40"/>
      <c r="AO439" s="40"/>
      <c r="AP439" s="40"/>
      <c r="AQ439" s="40"/>
      <c r="AR439" s="40"/>
      <c r="AS439" s="40"/>
      <c r="AT439" s="41"/>
      <c r="AU439" s="1806"/>
      <c r="AV439" s="1517">
        <f t="shared" si="243"/>
        <v>0</v>
      </c>
      <c r="AW439" s="1517">
        <f t="shared" si="244"/>
        <v>0</v>
      </c>
      <c r="AX439" s="1517">
        <f t="shared" si="245"/>
        <v>0</v>
      </c>
      <c r="AY439" s="42">
        <f t="shared" si="246"/>
        <v>0</v>
      </c>
      <c r="AZ439" s="35">
        <f t="shared" si="247"/>
        <v>0</v>
      </c>
      <c r="BA439" s="35">
        <f t="shared" si="248"/>
        <v>0</v>
      </c>
      <c r="BB439" s="35">
        <f t="shared" si="249"/>
        <v>0</v>
      </c>
      <c r="BC439" s="35">
        <f t="shared" si="250"/>
        <v>0</v>
      </c>
      <c r="BD439" s="35">
        <f t="shared" si="251"/>
        <v>0</v>
      </c>
      <c r="BE439" s="35">
        <f t="shared" si="252"/>
        <v>0</v>
      </c>
      <c r="BF439" s="35">
        <f t="shared" si="253"/>
        <v>0</v>
      </c>
      <c r="BG439" s="35">
        <f t="shared" si="254"/>
        <v>0</v>
      </c>
      <c r="BH439" s="35">
        <f t="shared" si="255"/>
        <v>0</v>
      </c>
      <c r="BI439" s="35">
        <f t="shared" si="256"/>
        <v>0</v>
      </c>
      <c r="BJ439" s="35">
        <f t="shared" si="257"/>
        <v>0</v>
      </c>
      <c r="BK439" s="35">
        <f t="shared" si="258"/>
        <v>0</v>
      </c>
      <c r="BL439" s="35">
        <f t="shared" si="259"/>
        <v>0</v>
      </c>
      <c r="BM439" s="35">
        <f t="shared" si="260"/>
        <v>0</v>
      </c>
      <c r="BN439" s="35">
        <f t="shared" si="261"/>
        <v>0</v>
      </c>
      <c r="BO439" s="35">
        <f t="shared" si="262"/>
        <v>0</v>
      </c>
      <c r="BP439" s="35">
        <f t="shared" si="263"/>
        <v>0</v>
      </c>
      <c r="BQ439" s="35">
        <f t="shared" si="264"/>
        <v>0</v>
      </c>
      <c r="BR439" s="35">
        <f t="shared" si="265"/>
        <v>0</v>
      </c>
      <c r="BS439" s="35">
        <f t="shared" si="266"/>
        <v>0</v>
      </c>
      <c r="BT439" s="43">
        <f t="shared" si="267"/>
        <v>0</v>
      </c>
    </row>
    <row r="440" spans="1:72">
      <c r="A440" s="9"/>
      <c r="B440" s="34"/>
      <c r="C440" s="34"/>
      <c r="D440" s="1805"/>
      <c r="E440" s="35">
        <f t="shared" si="239"/>
        <v>0</v>
      </c>
      <c r="F440" s="36"/>
      <c r="G440" s="37">
        <f t="shared" si="240"/>
        <v>0</v>
      </c>
      <c r="H440" s="38">
        <f t="shared" si="241"/>
        <v>0</v>
      </c>
      <c r="I440" s="39"/>
      <c r="J440" s="39"/>
      <c r="K440" s="39"/>
      <c r="L440" s="39"/>
      <c r="M440" s="39"/>
      <c r="N440" s="39"/>
      <c r="O440" s="39"/>
      <c r="P440" s="39"/>
      <c r="Q440" s="39"/>
      <c r="R440" s="39"/>
      <c r="S440" s="39"/>
      <c r="T440" s="39"/>
      <c r="U440" s="39"/>
      <c r="V440" s="39"/>
      <c r="W440" s="39"/>
      <c r="X440" s="39"/>
      <c r="Y440" s="39"/>
      <c r="Z440" s="39"/>
      <c r="AA440" s="39"/>
      <c r="AB440" s="39"/>
      <c r="AC440" s="35">
        <f t="shared" si="242"/>
        <v>0</v>
      </c>
      <c r="AD440" s="40"/>
      <c r="AE440" s="40"/>
      <c r="AF440" s="40"/>
      <c r="AG440" s="40"/>
      <c r="AH440" s="40"/>
      <c r="AI440" s="40"/>
      <c r="AJ440" s="40"/>
      <c r="AK440" s="40"/>
      <c r="AL440" s="40"/>
      <c r="AM440" s="40"/>
      <c r="AN440" s="40"/>
      <c r="AO440" s="40"/>
      <c r="AP440" s="40"/>
      <c r="AQ440" s="40"/>
      <c r="AR440" s="40"/>
      <c r="AS440" s="40"/>
      <c r="AT440" s="41"/>
      <c r="AU440" s="1806"/>
      <c r="AV440" s="1517">
        <f t="shared" si="243"/>
        <v>0</v>
      </c>
      <c r="AW440" s="1517">
        <f t="shared" si="244"/>
        <v>0</v>
      </c>
      <c r="AX440" s="1517">
        <f t="shared" si="245"/>
        <v>0</v>
      </c>
      <c r="AY440" s="42">
        <f t="shared" si="246"/>
        <v>0</v>
      </c>
      <c r="AZ440" s="35">
        <f t="shared" si="247"/>
        <v>0</v>
      </c>
      <c r="BA440" s="35">
        <f t="shared" si="248"/>
        <v>0</v>
      </c>
      <c r="BB440" s="35">
        <f t="shared" si="249"/>
        <v>0</v>
      </c>
      <c r="BC440" s="35">
        <f t="shared" si="250"/>
        <v>0</v>
      </c>
      <c r="BD440" s="35">
        <f t="shared" si="251"/>
        <v>0</v>
      </c>
      <c r="BE440" s="35">
        <f t="shared" si="252"/>
        <v>0</v>
      </c>
      <c r="BF440" s="35">
        <f t="shared" si="253"/>
        <v>0</v>
      </c>
      <c r="BG440" s="35">
        <f t="shared" si="254"/>
        <v>0</v>
      </c>
      <c r="BH440" s="35">
        <f t="shared" si="255"/>
        <v>0</v>
      </c>
      <c r="BI440" s="35">
        <f t="shared" si="256"/>
        <v>0</v>
      </c>
      <c r="BJ440" s="35">
        <f t="shared" si="257"/>
        <v>0</v>
      </c>
      <c r="BK440" s="35">
        <f t="shared" si="258"/>
        <v>0</v>
      </c>
      <c r="BL440" s="35">
        <f t="shared" si="259"/>
        <v>0</v>
      </c>
      <c r="BM440" s="35">
        <f t="shared" si="260"/>
        <v>0</v>
      </c>
      <c r="BN440" s="35">
        <f t="shared" si="261"/>
        <v>0</v>
      </c>
      <c r="BO440" s="35">
        <f t="shared" si="262"/>
        <v>0</v>
      </c>
      <c r="BP440" s="35">
        <f t="shared" si="263"/>
        <v>0</v>
      </c>
      <c r="BQ440" s="35">
        <f t="shared" si="264"/>
        <v>0</v>
      </c>
      <c r="BR440" s="35">
        <f t="shared" si="265"/>
        <v>0</v>
      </c>
      <c r="BS440" s="35">
        <f t="shared" si="266"/>
        <v>0</v>
      </c>
      <c r="BT440" s="43">
        <f t="shared" si="267"/>
        <v>0</v>
      </c>
    </row>
    <row r="441" spans="1:72">
      <c r="A441" s="9"/>
      <c r="B441" s="34"/>
      <c r="C441" s="34"/>
      <c r="D441" s="1805"/>
      <c r="E441" s="35">
        <f t="shared" si="239"/>
        <v>0</v>
      </c>
      <c r="F441" s="36"/>
      <c r="G441" s="37">
        <f t="shared" si="240"/>
        <v>0</v>
      </c>
      <c r="H441" s="38">
        <f t="shared" si="241"/>
        <v>0</v>
      </c>
      <c r="I441" s="39"/>
      <c r="J441" s="39"/>
      <c r="K441" s="39"/>
      <c r="L441" s="39"/>
      <c r="M441" s="39"/>
      <c r="N441" s="39"/>
      <c r="O441" s="39"/>
      <c r="P441" s="39"/>
      <c r="Q441" s="39"/>
      <c r="R441" s="39"/>
      <c r="S441" s="39"/>
      <c r="T441" s="39"/>
      <c r="U441" s="39"/>
      <c r="V441" s="39"/>
      <c r="W441" s="39"/>
      <c r="X441" s="39"/>
      <c r="Y441" s="39"/>
      <c r="Z441" s="39"/>
      <c r="AA441" s="39"/>
      <c r="AB441" s="39"/>
      <c r="AC441" s="35">
        <f t="shared" si="242"/>
        <v>0</v>
      </c>
      <c r="AD441" s="40"/>
      <c r="AE441" s="40"/>
      <c r="AF441" s="40"/>
      <c r="AG441" s="40"/>
      <c r="AH441" s="40"/>
      <c r="AI441" s="40"/>
      <c r="AJ441" s="40"/>
      <c r="AK441" s="40"/>
      <c r="AL441" s="40"/>
      <c r="AM441" s="40"/>
      <c r="AN441" s="40"/>
      <c r="AO441" s="40"/>
      <c r="AP441" s="40"/>
      <c r="AQ441" s="40"/>
      <c r="AR441" s="40"/>
      <c r="AS441" s="40"/>
      <c r="AT441" s="41"/>
      <c r="AU441" s="1806"/>
      <c r="AV441" s="1517">
        <f t="shared" si="243"/>
        <v>0</v>
      </c>
      <c r="AW441" s="1517">
        <f t="shared" si="244"/>
        <v>0</v>
      </c>
      <c r="AX441" s="1517">
        <f t="shared" si="245"/>
        <v>0</v>
      </c>
      <c r="AY441" s="42">
        <f t="shared" si="246"/>
        <v>0</v>
      </c>
      <c r="AZ441" s="35">
        <f t="shared" si="247"/>
        <v>0</v>
      </c>
      <c r="BA441" s="35">
        <f t="shared" si="248"/>
        <v>0</v>
      </c>
      <c r="BB441" s="35">
        <f t="shared" si="249"/>
        <v>0</v>
      </c>
      <c r="BC441" s="35">
        <f t="shared" si="250"/>
        <v>0</v>
      </c>
      <c r="BD441" s="35">
        <f t="shared" si="251"/>
        <v>0</v>
      </c>
      <c r="BE441" s="35">
        <f t="shared" si="252"/>
        <v>0</v>
      </c>
      <c r="BF441" s="35">
        <f t="shared" si="253"/>
        <v>0</v>
      </c>
      <c r="BG441" s="35">
        <f t="shared" si="254"/>
        <v>0</v>
      </c>
      <c r="BH441" s="35">
        <f t="shared" si="255"/>
        <v>0</v>
      </c>
      <c r="BI441" s="35">
        <f t="shared" si="256"/>
        <v>0</v>
      </c>
      <c r="BJ441" s="35">
        <f t="shared" si="257"/>
        <v>0</v>
      </c>
      <c r="BK441" s="35">
        <f t="shared" si="258"/>
        <v>0</v>
      </c>
      <c r="BL441" s="35">
        <f t="shared" si="259"/>
        <v>0</v>
      </c>
      <c r="BM441" s="35">
        <f t="shared" si="260"/>
        <v>0</v>
      </c>
      <c r="BN441" s="35">
        <f t="shared" si="261"/>
        <v>0</v>
      </c>
      <c r="BO441" s="35">
        <f t="shared" si="262"/>
        <v>0</v>
      </c>
      <c r="BP441" s="35">
        <f t="shared" si="263"/>
        <v>0</v>
      </c>
      <c r="BQ441" s="35">
        <f t="shared" si="264"/>
        <v>0</v>
      </c>
      <c r="BR441" s="35">
        <f t="shared" si="265"/>
        <v>0</v>
      </c>
      <c r="BS441" s="35">
        <f t="shared" si="266"/>
        <v>0</v>
      </c>
      <c r="BT441" s="43">
        <f t="shared" si="267"/>
        <v>0</v>
      </c>
    </row>
    <row r="442" spans="1:72">
      <c r="A442" s="9"/>
      <c r="B442" s="34"/>
      <c r="C442" s="34"/>
      <c r="D442" s="1805"/>
      <c r="E442" s="35">
        <f t="shared" si="239"/>
        <v>0</v>
      </c>
      <c r="F442" s="36"/>
      <c r="G442" s="37">
        <f t="shared" si="240"/>
        <v>0</v>
      </c>
      <c r="H442" s="38">
        <f t="shared" si="241"/>
        <v>0</v>
      </c>
      <c r="I442" s="39"/>
      <c r="J442" s="39"/>
      <c r="K442" s="39"/>
      <c r="L442" s="39"/>
      <c r="M442" s="39"/>
      <c r="N442" s="39"/>
      <c r="O442" s="39"/>
      <c r="P442" s="39"/>
      <c r="Q442" s="39"/>
      <c r="R442" s="39"/>
      <c r="S442" s="39"/>
      <c r="T442" s="39"/>
      <c r="U442" s="39"/>
      <c r="V442" s="39"/>
      <c r="W442" s="39"/>
      <c r="X442" s="39"/>
      <c r="Y442" s="39"/>
      <c r="Z442" s="39"/>
      <c r="AA442" s="39"/>
      <c r="AB442" s="39"/>
      <c r="AC442" s="35">
        <f t="shared" si="242"/>
        <v>0</v>
      </c>
      <c r="AD442" s="40"/>
      <c r="AE442" s="40"/>
      <c r="AF442" s="40"/>
      <c r="AG442" s="40"/>
      <c r="AH442" s="40"/>
      <c r="AI442" s="40"/>
      <c r="AJ442" s="40"/>
      <c r="AK442" s="40"/>
      <c r="AL442" s="40"/>
      <c r="AM442" s="40"/>
      <c r="AN442" s="40"/>
      <c r="AO442" s="40"/>
      <c r="AP442" s="40"/>
      <c r="AQ442" s="40"/>
      <c r="AR442" s="40"/>
      <c r="AS442" s="40"/>
      <c r="AT442" s="41"/>
      <c r="AU442" s="1806"/>
      <c r="AV442" s="1517">
        <f t="shared" si="243"/>
        <v>0</v>
      </c>
      <c r="AW442" s="1517">
        <f t="shared" si="244"/>
        <v>0</v>
      </c>
      <c r="AX442" s="1517">
        <f t="shared" si="245"/>
        <v>0</v>
      </c>
      <c r="AY442" s="42">
        <f t="shared" si="246"/>
        <v>0</v>
      </c>
      <c r="AZ442" s="35">
        <f t="shared" si="247"/>
        <v>0</v>
      </c>
      <c r="BA442" s="35">
        <f t="shared" si="248"/>
        <v>0</v>
      </c>
      <c r="BB442" s="35">
        <f t="shared" si="249"/>
        <v>0</v>
      </c>
      <c r="BC442" s="35">
        <f t="shared" si="250"/>
        <v>0</v>
      </c>
      <c r="BD442" s="35">
        <f t="shared" si="251"/>
        <v>0</v>
      </c>
      <c r="BE442" s="35">
        <f t="shared" si="252"/>
        <v>0</v>
      </c>
      <c r="BF442" s="35">
        <f t="shared" si="253"/>
        <v>0</v>
      </c>
      <c r="BG442" s="35">
        <f t="shared" si="254"/>
        <v>0</v>
      </c>
      <c r="BH442" s="35">
        <f t="shared" si="255"/>
        <v>0</v>
      </c>
      <c r="BI442" s="35">
        <f t="shared" si="256"/>
        <v>0</v>
      </c>
      <c r="BJ442" s="35">
        <f t="shared" si="257"/>
        <v>0</v>
      </c>
      <c r="BK442" s="35">
        <f t="shared" si="258"/>
        <v>0</v>
      </c>
      <c r="BL442" s="35">
        <f t="shared" si="259"/>
        <v>0</v>
      </c>
      <c r="BM442" s="35">
        <f t="shared" si="260"/>
        <v>0</v>
      </c>
      <c r="BN442" s="35">
        <f t="shared" si="261"/>
        <v>0</v>
      </c>
      <c r="BO442" s="35">
        <f t="shared" si="262"/>
        <v>0</v>
      </c>
      <c r="BP442" s="35">
        <f t="shared" si="263"/>
        <v>0</v>
      </c>
      <c r="BQ442" s="35">
        <f t="shared" si="264"/>
        <v>0</v>
      </c>
      <c r="BR442" s="35">
        <f t="shared" si="265"/>
        <v>0</v>
      </c>
      <c r="BS442" s="35">
        <f t="shared" si="266"/>
        <v>0</v>
      </c>
      <c r="BT442" s="43">
        <f t="shared" si="267"/>
        <v>0</v>
      </c>
    </row>
    <row r="443" spans="1:72">
      <c r="A443" s="9"/>
      <c r="B443" s="34"/>
      <c r="C443" s="34"/>
      <c r="D443" s="1805"/>
      <c r="E443" s="35">
        <f t="shared" si="239"/>
        <v>0</v>
      </c>
      <c r="F443" s="36"/>
      <c r="G443" s="37">
        <f t="shared" si="240"/>
        <v>0</v>
      </c>
      <c r="H443" s="38">
        <f t="shared" si="241"/>
        <v>0</v>
      </c>
      <c r="I443" s="39"/>
      <c r="J443" s="39"/>
      <c r="K443" s="39"/>
      <c r="L443" s="39"/>
      <c r="M443" s="39"/>
      <c r="N443" s="39"/>
      <c r="O443" s="39"/>
      <c r="P443" s="39"/>
      <c r="Q443" s="39"/>
      <c r="R443" s="39"/>
      <c r="S443" s="39"/>
      <c r="T443" s="39"/>
      <c r="U443" s="39"/>
      <c r="V443" s="39"/>
      <c r="W443" s="39"/>
      <c r="X443" s="39"/>
      <c r="Y443" s="39"/>
      <c r="Z443" s="39"/>
      <c r="AA443" s="39"/>
      <c r="AB443" s="39"/>
      <c r="AC443" s="35">
        <f t="shared" si="242"/>
        <v>0</v>
      </c>
      <c r="AD443" s="40"/>
      <c r="AE443" s="40"/>
      <c r="AF443" s="40"/>
      <c r="AG443" s="40"/>
      <c r="AH443" s="40"/>
      <c r="AI443" s="40"/>
      <c r="AJ443" s="40"/>
      <c r="AK443" s="40"/>
      <c r="AL443" s="40"/>
      <c r="AM443" s="40"/>
      <c r="AN443" s="40"/>
      <c r="AO443" s="40"/>
      <c r="AP443" s="40"/>
      <c r="AQ443" s="40"/>
      <c r="AR443" s="40"/>
      <c r="AS443" s="40"/>
      <c r="AT443" s="41"/>
      <c r="AU443" s="1806"/>
      <c r="AV443" s="1517">
        <f t="shared" si="243"/>
        <v>0</v>
      </c>
      <c r="AW443" s="1517">
        <f t="shared" si="244"/>
        <v>0</v>
      </c>
      <c r="AX443" s="1517">
        <f t="shared" si="245"/>
        <v>0</v>
      </c>
      <c r="AY443" s="42">
        <f t="shared" si="246"/>
        <v>0</v>
      </c>
      <c r="AZ443" s="35">
        <f t="shared" si="247"/>
        <v>0</v>
      </c>
      <c r="BA443" s="35">
        <f t="shared" si="248"/>
        <v>0</v>
      </c>
      <c r="BB443" s="35">
        <f t="shared" si="249"/>
        <v>0</v>
      </c>
      <c r="BC443" s="35">
        <f t="shared" si="250"/>
        <v>0</v>
      </c>
      <c r="BD443" s="35">
        <f t="shared" si="251"/>
        <v>0</v>
      </c>
      <c r="BE443" s="35">
        <f t="shared" si="252"/>
        <v>0</v>
      </c>
      <c r="BF443" s="35">
        <f t="shared" si="253"/>
        <v>0</v>
      </c>
      <c r="BG443" s="35">
        <f t="shared" si="254"/>
        <v>0</v>
      </c>
      <c r="BH443" s="35">
        <f t="shared" si="255"/>
        <v>0</v>
      </c>
      <c r="BI443" s="35">
        <f t="shared" si="256"/>
        <v>0</v>
      </c>
      <c r="BJ443" s="35">
        <f t="shared" si="257"/>
        <v>0</v>
      </c>
      <c r="BK443" s="35">
        <f t="shared" si="258"/>
        <v>0</v>
      </c>
      <c r="BL443" s="35">
        <f t="shared" si="259"/>
        <v>0</v>
      </c>
      <c r="BM443" s="35">
        <f t="shared" si="260"/>
        <v>0</v>
      </c>
      <c r="BN443" s="35">
        <f t="shared" si="261"/>
        <v>0</v>
      </c>
      <c r="BO443" s="35">
        <f t="shared" si="262"/>
        <v>0</v>
      </c>
      <c r="BP443" s="35">
        <f t="shared" si="263"/>
        <v>0</v>
      </c>
      <c r="BQ443" s="35">
        <f t="shared" si="264"/>
        <v>0</v>
      </c>
      <c r="BR443" s="35">
        <f t="shared" si="265"/>
        <v>0</v>
      </c>
      <c r="BS443" s="35">
        <f t="shared" si="266"/>
        <v>0</v>
      </c>
      <c r="BT443" s="43">
        <f t="shared" si="267"/>
        <v>0</v>
      </c>
    </row>
    <row r="444" spans="1:72">
      <c r="A444" s="9"/>
      <c r="B444" s="34"/>
      <c r="C444" s="34"/>
      <c r="D444" s="1805"/>
      <c r="E444" s="35">
        <f t="shared" si="239"/>
        <v>0</v>
      </c>
      <c r="F444" s="36"/>
      <c r="G444" s="37">
        <f t="shared" si="240"/>
        <v>0</v>
      </c>
      <c r="H444" s="38">
        <f t="shared" si="241"/>
        <v>0</v>
      </c>
      <c r="I444" s="39"/>
      <c r="J444" s="39"/>
      <c r="K444" s="39"/>
      <c r="L444" s="39"/>
      <c r="M444" s="39"/>
      <c r="N444" s="39"/>
      <c r="O444" s="39"/>
      <c r="P444" s="39"/>
      <c r="Q444" s="39"/>
      <c r="R444" s="39"/>
      <c r="S444" s="39"/>
      <c r="T444" s="39"/>
      <c r="U444" s="39"/>
      <c r="V444" s="39"/>
      <c r="W444" s="39"/>
      <c r="X444" s="39"/>
      <c r="Y444" s="39"/>
      <c r="Z444" s="39"/>
      <c r="AA444" s="39"/>
      <c r="AB444" s="39"/>
      <c r="AC444" s="35">
        <f t="shared" si="242"/>
        <v>0</v>
      </c>
      <c r="AD444" s="40"/>
      <c r="AE444" s="40"/>
      <c r="AF444" s="40"/>
      <c r="AG444" s="40"/>
      <c r="AH444" s="40"/>
      <c r="AI444" s="40"/>
      <c r="AJ444" s="40"/>
      <c r="AK444" s="40"/>
      <c r="AL444" s="40"/>
      <c r="AM444" s="40"/>
      <c r="AN444" s="40"/>
      <c r="AO444" s="40"/>
      <c r="AP444" s="40"/>
      <c r="AQ444" s="40"/>
      <c r="AR444" s="40"/>
      <c r="AS444" s="40"/>
      <c r="AT444" s="41"/>
      <c r="AU444" s="1806"/>
      <c r="AV444" s="1517">
        <f t="shared" si="243"/>
        <v>0</v>
      </c>
      <c r="AW444" s="1517">
        <f t="shared" si="244"/>
        <v>0</v>
      </c>
      <c r="AX444" s="1517">
        <f t="shared" si="245"/>
        <v>0</v>
      </c>
      <c r="AY444" s="42">
        <f t="shared" si="246"/>
        <v>0</v>
      </c>
      <c r="AZ444" s="35">
        <f t="shared" si="247"/>
        <v>0</v>
      </c>
      <c r="BA444" s="35">
        <f t="shared" si="248"/>
        <v>0</v>
      </c>
      <c r="BB444" s="35">
        <f t="shared" si="249"/>
        <v>0</v>
      </c>
      <c r="BC444" s="35">
        <f t="shared" si="250"/>
        <v>0</v>
      </c>
      <c r="BD444" s="35">
        <f t="shared" si="251"/>
        <v>0</v>
      </c>
      <c r="BE444" s="35">
        <f t="shared" si="252"/>
        <v>0</v>
      </c>
      <c r="BF444" s="35">
        <f t="shared" si="253"/>
        <v>0</v>
      </c>
      <c r="BG444" s="35">
        <f t="shared" si="254"/>
        <v>0</v>
      </c>
      <c r="BH444" s="35">
        <f t="shared" si="255"/>
        <v>0</v>
      </c>
      <c r="BI444" s="35">
        <f t="shared" si="256"/>
        <v>0</v>
      </c>
      <c r="BJ444" s="35">
        <f t="shared" si="257"/>
        <v>0</v>
      </c>
      <c r="BK444" s="35">
        <f t="shared" si="258"/>
        <v>0</v>
      </c>
      <c r="BL444" s="35">
        <f t="shared" si="259"/>
        <v>0</v>
      </c>
      <c r="BM444" s="35">
        <f t="shared" si="260"/>
        <v>0</v>
      </c>
      <c r="BN444" s="35">
        <f t="shared" si="261"/>
        <v>0</v>
      </c>
      <c r="BO444" s="35">
        <f t="shared" si="262"/>
        <v>0</v>
      </c>
      <c r="BP444" s="35">
        <f t="shared" si="263"/>
        <v>0</v>
      </c>
      <c r="BQ444" s="35">
        <f t="shared" si="264"/>
        <v>0</v>
      </c>
      <c r="BR444" s="35">
        <f t="shared" si="265"/>
        <v>0</v>
      </c>
      <c r="BS444" s="35">
        <f t="shared" si="266"/>
        <v>0</v>
      </c>
      <c r="BT444" s="43">
        <f t="shared" si="267"/>
        <v>0</v>
      </c>
    </row>
    <row r="445" spans="1:72">
      <c r="A445" s="9"/>
      <c r="B445" s="34"/>
      <c r="C445" s="34"/>
      <c r="D445" s="1805"/>
      <c r="E445" s="35">
        <f t="shared" si="239"/>
        <v>0</v>
      </c>
      <c r="F445" s="36"/>
      <c r="G445" s="37">
        <f t="shared" si="240"/>
        <v>0</v>
      </c>
      <c r="H445" s="38">
        <f t="shared" si="241"/>
        <v>0</v>
      </c>
      <c r="I445" s="39"/>
      <c r="J445" s="39"/>
      <c r="K445" s="39"/>
      <c r="L445" s="39"/>
      <c r="M445" s="39"/>
      <c r="N445" s="39"/>
      <c r="O445" s="39"/>
      <c r="P445" s="39"/>
      <c r="Q445" s="39"/>
      <c r="R445" s="39"/>
      <c r="S445" s="39"/>
      <c r="T445" s="39"/>
      <c r="U445" s="39"/>
      <c r="V445" s="39"/>
      <c r="W445" s="39"/>
      <c r="X445" s="39"/>
      <c r="Y445" s="39"/>
      <c r="Z445" s="39"/>
      <c r="AA445" s="39"/>
      <c r="AB445" s="39"/>
      <c r="AC445" s="35">
        <f t="shared" si="242"/>
        <v>0</v>
      </c>
      <c r="AD445" s="40"/>
      <c r="AE445" s="40"/>
      <c r="AF445" s="40"/>
      <c r="AG445" s="40"/>
      <c r="AH445" s="40"/>
      <c r="AI445" s="40"/>
      <c r="AJ445" s="40"/>
      <c r="AK445" s="40"/>
      <c r="AL445" s="40"/>
      <c r="AM445" s="40"/>
      <c r="AN445" s="40"/>
      <c r="AO445" s="40"/>
      <c r="AP445" s="40"/>
      <c r="AQ445" s="40"/>
      <c r="AR445" s="40"/>
      <c r="AS445" s="40"/>
      <c r="AT445" s="41"/>
      <c r="AU445" s="1806"/>
      <c r="AV445" s="1517">
        <f t="shared" si="243"/>
        <v>0</v>
      </c>
      <c r="AW445" s="1517">
        <f t="shared" si="244"/>
        <v>0</v>
      </c>
      <c r="AX445" s="1517">
        <f t="shared" si="245"/>
        <v>0</v>
      </c>
      <c r="AY445" s="42">
        <f t="shared" si="246"/>
        <v>0</v>
      </c>
      <c r="AZ445" s="35">
        <f t="shared" si="247"/>
        <v>0</v>
      </c>
      <c r="BA445" s="35">
        <f t="shared" si="248"/>
        <v>0</v>
      </c>
      <c r="BB445" s="35">
        <f t="shared" si="249"/>
        <v>0</v>
      </c>
      <c r="BC445" s="35">
        <f t="shared" si="250"/>
        <v>0</v>
      </c>
      <c r="BD445" s="35">
        <f t="shared" si="251"/>
        <v>0</v>
      </c>
      <c r="BE445" s="35">
        <f t="shared" si="252"/>
        <v>0</v>
      </c>
      <c r="BF445" s="35">
        <f t="shared" si="253"/>
        <v>0</v>
      </c>
      <c r="BG445" s="35">
        <f t="shared" si="254"/>
        <v>0</v>
      </c>
      <c r="BH445" s="35">
        <f t="shared" si="255"/>
        <v>0</v>
      </c>
      <c r="BI445" s="35">
        <f t="shared" si="256"/>
        <v>0</v>
      </c>
      <c r="BJ445" s="35">
        <f t="shared" si="257"/>
        <v>0</v>
      </c>
      <c r="BK445" s="35">
        <f t="shared" si="258"/>
        <v>0</v>
      </c>
      <c r="BL445" s="35">
        <f t="shared" si="259"/>
        <v>0</v>
      </c>
      <c r="BM445" s="35">
        <f t="shared" si="260"/>
        <v>0</v>
      </c>
      <c r="BN445" s="35">
        <f t="shared" si="261"/>
        <v>0</v>
      </c>
      <c r="BO445" s="35">
        <f t="shared" si="262"/>
        <v>0</v>
      </c>
      <c r="BP445" s="35">
        <f t="shared" si="263"/>
        <v>0</v>
      </c>
      <c r="BQ445" s="35">
        <f t="shared" si="264"/>
        <v>0</v>
      </c>
      <c r="BR445" s="35">
        <f t="shared" si="265"/>
        <v>0</v>
      </c>
      <c r="BS445" s="35">
        <f t="shared" si="266"/>
        <v>0</v>
      </c>
      <c r="BT445" s="43">
        <f t="shared" si="267"/>
        <v>0</v>
      </c>
    </row>
    <row r="446" spans="1:72">
      <c r="A446" s="9"/>
      <c r="B446" s="34"/>
      <c r="C446" s="34"/>
      <c r="D446" s="1805"/>
      <c r="E446" s="35">
        <f t="shared" si="239"/>
        <v>0</v>
      </c>
      <c r="F446" s="36"/>
      <c r="G446" s="37">
        <f t="shared" si="240"/>
        <v>0</v>
      </c>
      <c r="H446" s="38">
        <f t="shared" si="241"/>
        <v>0</v>
      </c>
      <c r="I446" s="39"/>
      <c r="J446" s="39"/>
      <c r="K446" s="39"/>
      <c r="L446" s="39"/>
      <c r="M446" s="39"/>
      <c r="N446" s="39"/>
      <c r="O446" s="39"/>
      <c r="P446" s="39"/>
      <c r="Q446" s="39"/>
      <c r="R446" s="39"/>
      <c r="S446" s="39"/>
      <c r="T446" s="39"/>
      <c r="U446" s="39"/>
      <c r="V446" s="39"/>
      <c r="W446" s="39"/>
      <c r="X446" s="39"/>
      <c r="Y446" s="39"/>
      <c r="Z446" s="39"/>
      <c r="AA446" s="39"/>
      <c r="AB446" s="39"/>
      <c r="AC446" s="35">
        <f t="shared" si="242"/>
        <v>0</v>
      </c>
      <c r="AD446" s="40"/>
      <c r="AE446" s="40"/>
      <c r="AF446" s="40"/>
      <c r="AG446" s="40"/>
      <c r="AH446" s="40"/>
      <c r="AI446" s="40"/>
      <c r="AJ446" s="40"/>
      <c r="AK446" s="40"/>
      <c r="AL446" s="40"/>
      <c r="AM446" s="40"/>
      <c r="AN446" s="40"/>
      <c r="AO446" s="40"/>
      <c r="AP446" s="40"/>
      <c r="AQ446" s="40"/>
      <c r="AR446" s="40"/>
      <c r="AS446" s="40"/>
      <c r="AT446" s="41"/>
      <c r="AU446" s="1806"/>
      <c r="AV446" s="1517">
        <f t="shared" si="243"/>
        <v>0</v>
      </c>
      <c r="AW446" s="1517">
        <f t="shared" si="244"/>
        <v>0</v>
      </c>
      <c r="AX446" s="1517">
        <f t="shared" si="245"/>
        <v>0</v>
      </c>
      <c r="AY446" s="42">
        <f t="shared" si="246"/>
        <v>0</v>
      </c>
      <c r="AZ446" s="35">
        <f t="shared" si="247"/>
        <v>0</v>
      </c>
      <c r="BA446" s="35">
        <f t="shared" si="248"/>
        <v>0</v>
      </c>
      <c r="BB446" s="35">
        <f t="shared" si="249"/>
        <v>0</v>
      </c>
      <c r="BC446" s="35">
        <f t="shared" si="250"/>
        <v>0</v>
      </c>
      <c r="BD446" s="35">
        <f t="shared" si="251"/>
        <v>0</v>
      </c>
      <c r="BE446" s="35">
        <f t="shared" si="252"/>
        <v>0</v>
      </c>
      <c r="BF446" s="35">
        <f t="shared" si="253"/>
        <v>0</v>
      </c>
      <c r="BG446" s="35">
        <f t="shared" si="254"/>
        <v>0</v>
      </c>
      <c r="BH446" s="35">
        <f t="shared" si="255"/>
        <v>0</v>
      </c>
      <c r="BI446" s="35">
        <f t="shared" si="256"/>
        <v>0</v>
      </c>
      <c r="BJ446" s="35">
        <f t="shared" si="257"/>
        <v>0</v>
      </c>
      <c r="BK446" s="35">
        <f t="shared" si="258"/>
        <v>0</v>
      </c>
      <c r="BL446" s="35">
        <f t="shared" si="259"/>
        <v>0</v>
      </c>
      <c r="BM446" s="35">
        <f t="shared" si="260"/>
        <v>0</v>
      </c>
      <c r="BN446" s="35">
        <f t="shared" si="261"/>
        <v>0</v>
      </c>
      <c r="BO446" s="35">
        <f t="shared" si="262"/>
        <v>0</v>
      </c>
      <c r="BP446" s="35">
        <f t="shared" si="263"/>
        <v>0</v>
      </c>
      <c r="BQ446" s="35">
        <f t="shared" si="264"/>
        <v>0</v>
      </c>
      <c r="BR446" s="35">
        <f t="shared" si="265"/>
        <v>0</v>
      </c>
      <c r="BS446" s="35">
        <f t="shared" si="266"/>
        <v>0</v>
      </c>
      <c r="BT446" s="43">
        <f t="shared" si="267"/>
        <v>0</v>
      </c>
    </row>
    <row r="447" spans="1:72">
      <c r="A447" s="9"/>
      <c r="B447" s="34"/>
      <c r="C447" s="34"/>
      <c r="D447" s="1805"/>
      <c r="E447" s="35">
        <f t="shared" si="239"/>
        <v>0</v>
      </c>
      <c r="F447" s="36"/>
      <c r="G447" s="37">
        <f t="shared" si="240"/>
        <v>0</v>
      </c>
      <c r="H447" s="38">
        <f t="shared" si="241"/>
        <v>0</v>
      </c>
      <c r="I447" s="39"/>
      <c r="J447" s="39"/>
      <c r="K447" s="39"/>
      <c r="L447" s="39"/>
      <c r="M447" s="39"/>
      <c r="N447" s="39"/>
      <c r="O447" s="39"/>
      <c r="P447" s="39"/>
      <c r="Q447" s="39"/>
      <c r="R447" s="39"/>
      <c r="S447" s="39"/>
      <c r="T447" s="39"/>
      <c r="U447" s="39"/>
      <c r="V447" s="39"/>
      <c r="W447" s="39"/>
      <c r="X447" s="39"/>
      <c r="Y447" s="39"/>
      <c r="Z447" s="39"/>
      <c r="AA447" s="39"/>
      <c r="AB447" s="39"/>
      <c r="AC447" s="35">
        <f t="shared" si="242"/>
        <v>0</v>
      </c>
      <c r="AD447" s="40"/>
      <c r="AE447" s="40"/>
      <c r="AF447" s="40"/>
      <c r="AG447" s="40"/>
      <c r="AH447" s="40"/>
      <c r="AI447" s="40"/>
      <c r="AJ447" s="40"/>
      <c r="AK447" s="40"/>
      <c r="AL447" s="40"/>
      <c r="AM447" s="40"/>
      <c r="AN447" s="40"/>
      <c r="AO447" s="40"/>
      <c r="AP447" s="40"/>
      <c r="AQ447" s="40"/>
      <c r="AR447" s="40"/>
      <c r="AS447" s="40"/>
      <c r="AT447" s="41"/>
      <c r="AU447" s="1806"/>
      <c r="AV447" s="1517">
        <f t="shared" si="243"/>
        <v>0</v>
      </c>
      <c r="AW447" s="1517">
        <f t="shared" si="244"/>
        <v>0</v>
      </c>
      <c r="AX447" s="1517">
        <f t="shared" si="245"/>
        <v>0</v>
      </c>
      <c r="AY447" s="42">
        <f t="shared" si="246"/>
        <v>0</v>
      </c>
      <c r="AZ447" s="35">
        <f t="shared" si="247"/>
        <v>0</v>
      </c>
      <c r="BA447" s="35">
        <f t="shared" si="248"/>
        <v>0</v>
      </c>
      <c r="BB447" s="35">
        <f t="shared" si="249"/>
        <v>0</v>
      </c>
      <c r="BC447" s="35">
        <f t="shared" si="250"/>
        <v>0</v>
      </c>
      <c r="BD447" s="35">
        <f t="shared" si="251"/>
        <v>0</v>
      </c>
      <c r="BE447" s="35">
        <f t="shared" si="252"/>
        <v>0</v>
      </c>
      <c r="BF447" s="35">
        <f t="shared" si="253"/>
        <v>0</v>
      </c>
      <c r="BG447" s="35">
        <f t="shared" si="254"/>
        <v>0</v>
      </c>
      <c r="BH447" s="35">
        <f t="shared" si="255"/>
        <v>0</v>
      </c>
      <c r="BI447" s="35">
        <f t="shared" si="256"/>
        <v>0</v>
      </c>
      <c r="BJ447" s="35">
        <f t="shared" si="257"/>
        <v>0</v>
      </c>
      <c r="BK447" s="35">
        <f t="shared" si="258"/>
        <v>0</v>
      </c>
      <c r="BL447" s="35">
        <f t="shared" si="259"/>
        <v>0</v>
      </c>
      <c r="BM447" s="35">
        <f t="shared" si="260"/>
        <v>0</v>
      </c>
      <c r="BN447" s="35">
        <f t="shared" si="261"/>
        <v>0</v>
      </c>
      <c r="BO447" s="35">
        <f t="shared" si="262"/>
        <v>0</v>
      </c>
      <c r="BP447" s="35">
        <f t="shared" si="263"/>
        <v>0</v>
      </c>
      <c r="BQ447" s="35">
        <f t="shared" si="264"/>
        <v>0</v>
      </c>
      <c r="BR447" s="35">
        <f t="shared" si="265"/>
        <v>0</v>
      </c>
      <c r="BS447" s="35">
        <f t="shared" si="266"/>
        <v>0</v>
      </c>
      <c r="BT447" s="43">
        <f t="shared" si="267"/>
        <v>0</v>
      </c>
    </row>
    <row r="448" spans="1:72">
      <c r="A448" s="9"/>
      <c r="B448" s="34"/>
      <c r="C448" s="34"/>
      <c r="D448" s="1805"/>
      <c r="E448" s="35">
        <f t="shared" si="239"/>
        <v>0</v>
      </c>
      <c r="F448" s="36"/>
      <c r="G448" s="37">
        <f t="shared" si="240"/>
        <v>0</v>
      </c>
      <c r="H448" s="38">
        <f t="shared" si="241"/>
        <v>0</v>
      </c>
      <c r="I448" s="39"/>
      <c r="J448" s="39"/>
      <c r="K448" s="39"/>
      <c r="L448" s="39"/>
      <c r="M448" s="39"/>
      <c r="N448" s="39"/>
      <c r="O448" s="39"/>
      <c r="P448" s="39"/>
      <c r="Q448" s="39"/>
      <c r="R448" s="39"/>
      <c r="S448" s="39"/>
      <c r="T448" s="39"/>
      <c r="U448" s="39"/>
      <c r="V448" s="39"/>
      <c r="W448" s="39"/>
      <c r="X448" s="39"/>
      <c r="Y448" s="39"/>
      <c r="Z448" s="39"/>
      <c r="AA448" s="39"/>
      <c r="AB448" s="39"/>
      <c r="AC448" s="35">
        <f t="shared" si="242"/>
        <v>0</v>
      </c>
      <c r="AD448" s="40"/>
      <c r="AE448" s="40"/>
      <c r="AF448" s="40"/>
      <c r="AG448" s="40"/>
      <c r="AH448" s="40"/>
      <c r="AI448" s="40"/>
      <c r="AJ448" s="40"/>
      <c r="AK448" s="40"/>
      <c r="AL448" s="40"/>
      <c r="AM448" s="40"/>
      <c r="AN448" s="40"/>
      <c r="AO448" s="40"/>
      <c r="AP448" s="40"/>
      <c r="AQ448" s="40"/>
      <c r="AR448" s="40"/>
      <c r="AS448" s="40"/>
      <c r="AT448" s="41"/>
      <c r="AU448" s="1806"/>
      <c r="AV448" s="1517">
        <f t="shared" si="243"/>
        <v>0</v>
      </c>
      <c r="AW448" s="1517">
        <f t="shared" si="244"/>
        <v>0</v>
      </c>
      <c r="AX448" s="1517">
        <f t="shared" si="245"/>
        <v>0</v>
      </c>
      <c r="AY448" s="42">
        <f t="shared" si="246"/>
        <v>0</v>
      </c>
      <c r="AZ448" s="35">
        <f t="shared" si="247"/>
        <v>0</v>
      </c>
      <c r="BA448" s="35">
        <f t="shared" si="248"/>
        <v>0</v>
      </c>
      <c r="BB448" s="35">
        <f t="shared" si="249"/>
        <v>0</v>
      </c>
      <c r="BC448" s="35">
        <f t="shared" si="250"/>
        <v>0</v>
      </c>
      <c r="BD448" s="35">
        <f t="shared" si="251"/>
        <v>0</v>
      </c>
      <c r="BE448" s="35">
        <f t="shared" si="252"/>
        <v>0</v>
      </c>
      <c r="BF448" s="35">
        <f t="shared" si="253"/>
        <v>0</v>
      </c>
      <c r="BG448" s="35">
        <f t="shared" si="254"/>
        <v>0</v>
      </c>
      <c r="BH448" s="35">
        <f t="shared" si="255"/>
        <v>0</v>
      </c>
      <c r="BI448" s="35">
        <f t="shared" si="256"/>
        <v>0</v>
      </c>
      <c r="BJ448" s="35">
        <f t="shared" si="257"/>
        <v>0</v>
      </c>
      <c r="BK448" s="35">
        <f t="shared" si="258"/>
        <v>0</v>
      </c>
      <c r="BL448" s="35">
        <f t="shared" si="259"/>
        <v>0</v>
      </c>
      <c r="BM448" s="35">
        <f t="shared" si="260"/>
        <v>0</v>
      </c>
      <c r="BN448" s="35">
        <f t="shared" si="261"/>
        <v>0</v>
      </c>
      <c r="BO448" s="35">
        <f t="shared" si="262"/>
        <v>0</v>
      </c>
      <c r="BP448" s="35">
        <f t="shared" si="263"/>
        <v>0</v>
      </c>
      <c r="BQ448" s="35">
        <f t="shared" si="264"/>
        <v>0</v>
      </c>
      <c r="BR448" s="35">
        <f t="shared" si="265"/>
        <v>0</v>
      </c>
      <c r="BS448" s="35">
        <f t="shared" si="266"/>
        <v>0</v>
      </c>
      <c r="BT448" s="43">
        <f t="shared" si="267"/>
        <v>0</v>
      </c>
    </row>
    <row r="449" spans="1:72">
      <c r="A449" s="9"/>
      <c r="B449" s="34"/>
      <c r="C449" s="34"/>
      <c r="D449" s="1805"/>
      <c r="E449" s="35">
        <f t="shared" si="239"/>
        <v>0</v>
      </c>
      <c r="F449" s="36"/>
      <c r="G449" s="37">
        <f t="shared" si="240"/>
        <v>0</v>
      </c>
      <c r="H449" s="38">
        <f t="shared" si="241"/>
        <v>0</v>
      </c>
      <c r="I449" s="39"/>
      <c r="J449" s="39"/>
      <c r="K449" s="39"/>
      <c r="L449" s="39"/>
      <c r="M449" s="39"/>
      <c r="N449" s="39"/>
      <c r="O449" s="39"/>
      <c r="P449" s="39"/>
      <c r="Q449" s="39"/>
      <c r="R449" s="39"/>
      <c r="S449" s="39"/>
      <c r="T449" s="39"/>
      <c r="U449" s="39"/>
      <c r="V449" s="39"/>
      <c r="W449" s="39"/>
      <c r="X449" s="39"/>
      <c r="Y449" s="39"/>
      <c r="Z449" s="39"/>
      <c r="AA449" s="39"/>
      <c r="AB449" s="39"/>
      <c r="AC449" s="35">
        <f t="shared" si="242"/>
        <v>0</v>
      </c>
      <c r="AD449" s="40"/>
      <c r="AE449" s="40"/>
      <c r="AF449" s="40"/>
      <c r="AG449" s="40"/>
      <c r="AH449" s="40"/>
      <c r="AI449" s="40"/>
      <c r="AJ449" s="40"/>
      <c r="AK449" s="40"/>
      <c r="AL449" s="40"/>
      <c r="AM449" s="40"/>
      <c r="AN449" s="40"/>
      <c r="AO449" s="40"/>
      <c r="AP449" s="40"/>
      <c r="AQ449" s="40"/>
      <c r="AR449" s="40"/>
      <c r="AS449" s="40"/>
      <c r="AT449" s="41"/>
      <c r="AU449" s="1806"/>
      <c r="AV449" s="1517">
        <f t="shared" si="243"/>
        <v>0</v>
      </c>
      <c r="AW449" s="1517">
        <f t="shared" si="244"/>
        <v>0</v>
      </c>
      <c r="AX449" s="1517">
        <f t="shared" si="245"/>
        <v>0</v>
      </c>
      <c r="AY449" s="42">
        <f t="shared" si="246"/>
        <v>0</v>
      </c>
      <c r="AZ449" s="35">
        <f t="shared" si="247"/>
        <v>0</v>
      </c>
      <c r="BA449" s="35">
        <f t="shared" si="248"/>
        <v>0</v>
      </c>
      <c r="BB449" s="35">
        <f t="shared" si="249"/>
        <v>0</v>
      </c>
      <c r="BC449" s="35">
        <f t="shared" si="250"/>
        <v>0</v>
      </c>
      <c r="BD449" s="35">
        <f t="shared" si="251"/>
        <v>0</v>
      </c>
      <c r="BE449" s="35">
        <f t="shared" si="252"/>
        <v>0</v>
      </c>
      <c r="BF449" s="35">
        <f t="shared" si="253"/>
        <v>0</v>
      </c>
      <c r="BG449" s="35">
        <f t="shared" si="254"/>
        <v>0</v>
      </c>
      <c r="BH449" s="35">
        <f t="shared" si="255"/>
        <v>0</v>
      </c>
      <c r="BI449" s="35">
        <f t="shared" si="256"/>
        <v>0</v>
      </c>
      <c r="BJ449" s="35">
        <f t="shared" si="257"/>
        <v>0</v>
      </c>
      <c r="BK449" s="35">
        <f t="shared" si="258"/>
        <v>0</v>
      </c>
      <c r="BL449" s="35">
        <f t="shared" si="259"/>
        <v>0</v>
      </c>
      <c r="BM449" s="35">
        <f t="shared" si="260"/>
        <v>0</v>
      </c>
      <c r="BN449" s="35">
        <f t="shared" si="261"/>
        <v>0</v>
      </c>
      <c r="BO449" s="35">
        <f t="shared" si="262"/>
        <v>0</v>
      </c>
      <c r="BP449" s="35">
        <f t="shared" si="263"/>
        <v>0</v>
      </c>
      <c r="BQ449" s="35">
        <f t="shared" si="264"/>
        <v>0</v>
      </c>
      <c r="BR449" s="35">
        <f t="shared" si="265"/>
        <v>0</v>
      </c>
      <c r="BS449" s="35">
        <f t="shared" si="266"/>
        <v>0</v>
      </c>
      <c r="BT449" s="43">
        <f t="shared" si="267"/>
        <v>0</v>
      </c>
    </row>
    <row r="450" spans="1:72">
      <c r="A450" s="9"/>
      <c r="B450" s="34"/>
      <c r="C450" s="34"/>
      <c r="D450" s="1805"/>
      <c r="E450" s="35">
        <f t="shared" si="239"/>
        <v>0</v>
      </c>
      <c r="F450" s="36"/>
      <c r="G450" s="37">
        <f t="shared" si="240"/>
        <v>0</v>
      </c>
      <c r="H450" s="38">
        <f t="shared" si="241"/>
        <v>0</v>
      </c>
      <c r="I450" s="39"/>
      <c r="J450" s="39"/>
      <c r="K450" s="39"/>
      <c r="L450" s="39"/>
      <c r="M450" s="39"/>
      <c r="N450" s="39"/>
      <c r="O450" s="39"/>
      <c r="P450" s="39"/>
      <c r="Q450" s="39"/>
      <c r="R450" s="39"/>
      <c r="S450" s="39"/>
      <c r="T450" s="39"/>
      <c r="U450" s="39"/>
      <c r="V450" s="39"/>
      <c r="W450" s="39"/>
      <c r="X450" s="39"/>
      <c r="Y450" s="39"/>
      <c r="Z450" s="39"/>
      <c r="AA450" s="39"/>
      <c r="AB450" s="39"/>
      <c r="AC450" s="35">
        <f t="shared" si="242"/>
        <v>0</v>
      </c>
      <c r="AD450" s="40"/>
      <c r="AE450" s="40"/>
      <c r="AF450" s="40"/>
      <c r="AG450" s="40"/>
      <c r="AH450" s="40"/>
      <c r="AI450" s="40"/>
      <c r="AJ450" s="40"/>
      <c r="AK450" s="40"/>
      <c r="AL450" s="40"/>
      <c r="AM450" s="40"/>
      <c r="AN450" s="40"/>
      <c r="AO450" s="40"/>
      <c r="AP450" s="40"/>
      <c r="AQ450" s="40"/>
      <c r="AR450" s="40"/>
      <c r="AS450" s="40"/>
      <c r="AT450" s="41"/>
      <c r="AU450" s="1806"/>
      <c r="AV450" s="1517">
        <f t="shared" si="243"/>
        <v>0</v>
      </c>
      <c r="AW450" s="1517">
        <f t="shared" si="244"/>
        <v>0</v>
      </c>
      <c r="AX450" s="1517">
        <f t="shared" si="245"/>
        <v>0</v>
      </c>
      <c r="AY450" s="42">
        <f t="shared" si="246"/>
        <v>0</v>
      </c>
      <c r="AZ450" s="35">
        <f t="shared" si="247"/>
        <v>0</v>
      </c>
      <c r="BA450" s="35">
        <f t="shared" si="248"/>
        <v>0</v>
      </c>
      <c r="BB450" s="35">
        <f t="shared" si="249"/>
        <v>0</v>
      </c>
      <c r="BC450" s="35">
        <f t="shared" si="250"/>
        <v>0</v>
      </c>
      <c r="BD450" s="35">
        <f t="shared" si="251"/>
        <v>0</v>
      </c>
      <c r="BE450" s="35">
        <f t="shared" si="252"/>
        <v>0</v>
      </c>
      <c r="BF450" s="35">
        <f t="shared" si="253"/>
        <v>0</v>
      </c>
      <c r="BG450" s="35">
        <f t="shared" si="254"/>
        <v>0</v>
      </c>
      <c r="BH450" s="35">
        <f t="shared" si="255"/>
        <v>0</v>
      </c>
      <c r="BI450" s="35">
        <f t="shared" si="256"/>
        <v>0</v>
      </c>
      <c r="BJ450" s="35">
        <f t="shared" si="257"/>
        <v>0</v>
      </c>
      <c r="BK450" s="35">
        <f t="shared" si="258"/>
        <v>0</v>
      </c>
      <c r="BL450" s="35">
        <f t="shared" si="259"/>
        <v>0</v>
      </c>
      <c r="BM450" s="35">
        <f t="shared" si="260"/>
        <v>0</v>
      </c>
      <c r="BN450" s="35">
        <f t="shared" si="261"/>
        <v>0</v>
      </c>
      <c r="BO450" s="35">
        <f t="shared" si="262"/>
        <v>0</v>
      </c>
      <c r="BP450" s="35">
        <f t="shared" si="263"/>
        <v>0</v>
      </c>
      <c r="BQ450" s="35">
        <f t="shared" si="264"/>
        <v>0</v>
      </c>
      <c r="BR450" s="35">
        <f t="shared" si="265"/>
        <v>0</v>
      </c>
      <c r="BS450" s="35">
        <f t="shared" si="266"/>
        <v>0</v>
      </c>
      <c r="BT450" s="43">
        <f t="shared" si="267"/>
        <v>0</v>
      </c>
    </row>
    <row r="451" spans="1:72">
      <c r="A451" s="9"/>
      <c r="B451" s="34"/>
      <c r="C451" s="34"/>
      <c r="D451" s="1805"/>
      <c r="E451" s="35">
        <f t="shared" si="239"/>
        <v>0</v>
      </c>
      <c r="F451" s="36"/>
      <c r="G451" s="37">
        <f t="shared" si="240"/>
        <v>0</v>
      </c>
      <c r="H451" s="38">
        <f t="shared" si="241"/>
        <v>0</v>
      </c>
      <c r="I451" s="39"/>
      <c r="J451" s="39"/>
      <c r="K451" s="39"/>
      <c r="L451" s="39"/>
      <c r="M451" s="39"/>
      <c r="N451" s="39"/>
      <c r="O451" s="39"/>
      <c r="P451" s="39"/>
      <c r="Q451" s="39"/>
      <c r="R451" s="39"/>
      <c r="S451" s="39"/>
      <c r="T451" s="39"/>
      <c r="U451" s="39"/>
      <c r="V451" s="39"/>
      <c r="W451" s="39"/>
      <c r="X451" s="39"/>
      <c r="Y451" s="39"/>
      <c r="Z451" s="39"/>
      <c r="AA451" s="39"/>
      <c r="AB451" s="39"/>
      <c r="AC451" s="35">
        <f t="shared" si="242"/>
        <v>0</v>
      </c>
      <c r="AD451" s="40"/>
      <c r="AE451" s="40"/>
      <c r="AF451" s="40"/>
      <c r="AG451" s="40"/>
      <c r="AH451" s="40"/>
      <c r="AI451" s="40"/>
      <c r="AJ451" s="40"/>
      <c r="AK451" s="40"/>
      <c r="AL451" s="40"/>
      <c r="AM451" s="40"/>
      <c r="AN451" s="40"/>
      <c r="AO451" s="40"/>
      <c r="AP451" s="40"/>
      <c r="AQ451" s="40"/>
      <c r="AR451" s="40"/>
      <c r="AS451" s="40"/>
      <c r="AT451" s="41"/>
      <c r="AU451" s="1806"/>
      <c r="AV451" s="1517">
        <f t="shared" si="243"/>
        <v>0</v>
      </c>
      <c r="AW451" s="1517">
        <f t="shared" si="244"/>
        <v>0</v>
      </c>
      <c r="AX451" s="1517">
        <f t="shared" si="245"/>
        <v>0</v>
      </c>
      <c r="AY451" s="42">
        <f t="shared" si="246"/>
        <v>0</v>
      </c>
      <c r="AZ451" s="35">
        <f t="shared" si="247"/>
        <v>0</v>
      </c>
      <c r="BA451" s="35">
        <f t="shared" si="248"/>
        <v>0</v>
      </c>
      <c r="BB451" s="35">
        <f t="shared" si="249"/>
        <v>0</v>
      </c>
      <c r="BC451" s="35">
        <f t="shared" si="250"/>
        <v>0</v>
      </c>
      <c r="BD451" s="35">
        <f t="shared" si="251"/>
        <v>0</v>
      </c>
      <c r="BE451" s="35">
        <f t="shared" si="252"/>
        <v>0</v>
      </c>
      <c r="BF451" s="35">
        <f t="shared" si="253"/>
        <v>0</v>
      </c>
      <c r="BG451" s="35">
        <f t="shared" si="254"/>
        <v>0</v>
      </c>
      <c r="BH451" s="35">
        <f t="shared" si="255"/>
        <v>0</v>
      </c>
      <c r="BI451" s="35">
        <f t="shared" si="256"/>
        <v>0</v>
      </c>
      <c r="BJ451" s="35">
        <f t="shared" si="257"/>
        <v>0</v>
      </c>
      <c r="BK451" s="35">
        <f t="shared" si="258"/>
        <v>0</v>
      </c>
      <c r="BL451" s="35">
        <f t="shared" si="259"/>
        <v>0</v>
      </c>
      <c r="BM451" s="35">
        <f t="shared" si="260"/>
        <v>0</v>
      </c>
      <c r="BN451" s="35">
        <f t="shared" si="261"/>
        <v>0</v>
      </c>
      <c r="BO451" s="35">
        <f t="shared" si="262"/>
        <v>0</v>
      </c>
      <c r="BP451" s="35">
        <f t="shared" si="263"/>
        <v>0</v>
      </c>
      <c r="BQ451" s="35">
        <f t="shared" si="264"/>
        <v>0</v>
      </c>
      <c r="BR451" s="35">
        <f t="shared" si="265"/>
        <v>0</v>
      </c>
      <c r="BS451" s="35">
        <f t="shared" si="266"/>
        <v>0</v>
      </c>
      <c r="BT451" s="43">
        <f t="shared" si="267"/>
        <v>0</v>
      </c>
    </row>
    <row r="452" spans="1:72">
      <c r="A452" s="9"/>
      <c r="B452" s="34"/>
      <c r="C452" s="34"/>
      <c r="D452" s="1805"/>
      <c r="E452" s="35">
        <f t="shared" si="239"/>
        <v>0</v>
      </c>
      <c r="F452" s="36"/>
      <c r="G452" s="37">
        <f t="shared" si="240"/>
        <v>0</v>
      </c>
      <c r="H452" s="38">
        <f t="shared" si="241"/>
        <v>0</v>
      </c>
      <c r="I452" s="39"/>
      <c r="J452" s="39"/>
      <c r="K452" s="39"/>
      <c r="L452" s="39"/>
      <c r="M452" s="39"/>
      <c r="N452" s="39"/>
      <c r="O452" s="39"/>
      <c r="P452" s="39"/>
      <c r="Q452" s="39"/>
      <c r="R452" s="39"/>
      <c r="S452" s="39"/>
      <c r="T452" s="39"/>
      <c r="U452" s="39"/>
      <c r="V452" s="39"/>
      <c r="W452" s="39"/>
      <c r="X452" s="39"/>
      <c r="Y452" s="39"/>
      <c r="Z452" s="39"/>
      <c r="AA452" s="39"/>
      <c r="AB452" s="39"/>
      <c r="AC452" s="35">
        <f t="shared" si="242"/>
        <v>0</v>
      </c>
      <c r="AD452" s="40"/>
      <c r="AE452" s="40"/>
      <c r="AF452" s="40"/>
      <c r="AG452" s="40"/>
      <c r="AH452" s="40"/>
      <c r="AI452" s="40"/>
      <c r="AJ452" s="40"/>
      <c r="AK452" s="40"/>
      <c r="AL452" s="40"/>
      <c r="AM452" s="40"/>
      <c r="AN452" s="40"/>
      <c r="AO452" s="40"/>
      <c r="AP452" s="40"/>
      <c r="AQ452" s="40"/>
      <c r="AR452" s="40"/>
      <c r="AS452" s="40"/>
      <c r="AT452" s="41"/>
      <c r="AU452" s="1806"/>
      <c r="AV452" s="1517">
        <f t="shared" si="243"/>
        <v>0</v>
      </c>
      <c r="AW452" s="1517">
        <f t="shared" si="244"/>
        <v>0</v>
      </c>
      <c r="AX452" s="1517">
        <f t="shared" si="245"/>
        <v>0</v>
      </c>
      <c r="AY452" s="42">
        <f t="shared" si="246"/>
        <v>0</v>
      </c>
      <c r="AZ452" s="35">
        <f t="shared" si="247"/>
        <v>0</v>
      </c>
      <c r="BA452" s="35">
        <f t="shared" si="248"/>
        <v>0</v>
      </c>
      <c r="BB452" s="35">
        <f t="shared" si="249"/>
        <v>0</v>
      </c>
      <c r="BC452" s="35">
        <f t="shared" si="250"/>
        <v>0</v>
      </c>
      <c r="BD452" s="35">
        <f t="shared" si="251"/>
        <v>0</v>
      </c>
      <c r="BE452" s="35">
        <f t="shared" si="252"/>
        <v>0</v>
      </c>
      <c r="BF452" s="35">
        <f t="shared" si="253"/>
        <v>0</v>
      </c>
      <c r="BG452" s="35">
        <f t="shared" si="254"/>
        <v>0</v>
      </c>
      <c r="BH452" s="35">
        <f t="shared" si="255"/>
        <v>0</v>
      </c>
      <c r="BI452" s="35">
        <f t="shared" si="256"/>
        <v>0</v>
      </c>
      <c r="BJ452" s="35">
        <f t="shared" si="257"/>
        <v>0</v>
      </c>
      <c r="BK452" s="35">
        <f t="shared" si="258"/>
        <v>0</v>
      </c>
      <c r="BL452" s="35">
        <f t="shared" si="259"/>
        <v>0</v>
      </c>
      <c r="BM452" s="35">
        <f t="shared" si="260"/>
        <v>0</v>
      </c>
      <c r="BN452" s="35">
        <f t="shared" si="261"/>
        <v>0</v>
      </c>
      <c r="BO452" s="35">
        <f t="shared" si="262"/>
        <v>0</v>
      </c>
      <c r="BP452" s="35">
        <f t="shared" si="263"/>
        <v>0</v>
      </c>
      <c r="BQ452" s="35">
        <f t="shared" si="264"/>
        <v>0</v>
      </c>
      <c r="BR452" s="35">
        <f t="shared" si="265"/>
        <v>0</v>
      </c>
      <c r="BS452" s="35">
        <f t="shared" si="266"/>
        <v>0</v>
      </c>
      <c r="BT452" s="43">
        <f t="shared" si="267"/>
        <v>0</v>
      </c>
    </row>
    <row r="453" spans="1:72">
      <c r="A453" s="9"/>
      <c r="B453" s="34"/>
      <c r="C453" s="34"/>
      <c r="D453" s="1805"/>
      <c r="E453" s="35">
        <f t="shared" si="239"/>
        <v>0</v>
      </c>
      <c r="F453" s="36"/>
      <c r="G453" s="37">
        <f t="shared" si="240"/>
        <v>0</v>
      </c>
      <c r="H453" s="38">
        <f t="shared" si="241"/>
        <v>0</v>
      </c>
      <c r="I453" s="39"/>
      <c r="J453" s="39"/>
      <c r="K453" s="39"/>
      <c r="L453" s="39"/>
      <c r="M453" s="39"/>
      <c r="N453" s="39"/>
      <c r="O453" s="39"/>
      <c r="P453" s="39"/>
      <c r="Q453" s="39"/>
      <c r="R453" s="39"/>
      <c r="S453" s="39"/>
      <c r="T453" s="39"/>
      <c r="U453" s="39"/>
      <c r="V453" s="39"/>
      <c r="W453" s="39"/>
      <c r="X453" s="39"/>
      <c r="Y453" s="39"/>
      <c r="Z453" s="39"/>
      <c r="AA453" s="39"/>
      <c r="AB453" s="39"/>
      <c r="AC453" s="35">
        <f t="shared" si="242"/>
        <v>0</v>
      </c>
      <c r="AD453" s="40"/>
      <c r="AE453" s="40"/>
      <c r="AF453" s="40"/>
      <c r="AG453" s="40"/>
      <c r="AH453" s="40"/>
      <c r="AI453" s="40"/>
      <c r="AJ453" s="40"/>
      <c r="AK453" s="40"/>
      <c r="AL453" s="40"/>
      <c r="AM453" s="40"/>
      <c r="AN453" s="40"/>
      <c r="AO453" s="40"/>
      <c r="AP453" s="40"/>
      <c r="AQ453" s="40"/>
      <c r="AR453" s="40"/>
      <c r="AS453" s="40"/>
      <c r="AT453" s="41"/>
      <c r="AU453" s="1806"/>
      <c r="AV453" s="1517">
        <f t="shared" si="243"/>
        <v>0</v>
      </c>
      <c r="AW453" s="1517">
        <f t="shared" si="244"/>
        <v>0</v>
      </c>
      <c r="AX453" s="1517">
        <f t="shared" si="245"/>
        <v>0</v>
      </c>
      <c r="AY453" s="42">
        <f t="shared" si="246"/>
        <v>0</v>
      </c>
      <c r="AZ453" s="35">
        <f t="shared" si="247"/>
        <v>0</v>
      </c>
      <c r="BA453" s="35">
        <f t="shared" si="248"/>
        <v>0</v>
      </c>
      <c r="BB453" s="35">
        <f t="shared" si="249"/>
        <v>0</v>
      </c>
      <c r="BC453" s="35">
        <f t="shared" si="250"/>
        <v>0</v>
      </c>
      <c r="BD453" s="35">
        <f t="shared" si="251"/>
        <v>0</v>
      </c>
      <c r="BE453" s="35">
        <f t="shared" si="252"/>
        <v>0</v>
      </c>
      <c r="BF453" s="35">
        <f t="shared" si="253"/>
        <v>0</v>
      </c>
      <c r="BG453" s="35">
        <f t="shared" si="254"/>
        <v>0</v>
      </c>
      <c r="BH453" s="35">
        <f t="shared" si="255"/>
        <v>0</v>
      </c>
      <c r="BI453" s="35">
        <f t="shared" si="256"/>
        <v>0</v>
      </c>
      <c r="BJ453" s="35">
        <f t="shared" si="257"/>
        <v>0</v>
      </c>
      <c r="BK453" s="35">
        <f t="shared" si="258"/>
        <v>0</v>
      </c>
      <c r="BL453" s="35">
        <f t="shared" si="259"/>
        <v>0</v>
      </c>
      <c r="BM453" s="35">
        <f t="shared" si="260"/>
        <v>0</v>
      </c>
      <c r="BN453" s="35">
        <f t="shared" si="261"/>
        <v>0</v>
      </c>
      <c r="BO453" s="35">
        <f t="shared" si="262"/>
        <v>0</v>
      </c>
      <c r="BP453" s="35">
        <f t="shared" si="263"/>
        <v>0</v>
      </c>
      <c r="BQ453" s="35">
        <f t="shared" si="264"/>
        <v>0</v>
      </c>
      <c r="BR453" s="35">
        <f t="shared" si="265"/>
        <v>0</v>
      </c>
      <c r="BS453" s="35">
        <f t="shared" si="266"/>
        <v>0</v>
      </c>
      <c r="BT453" s="43">
        <f t="shared" si="267"/>
        <v>0</v>
      </c>
    </row>
    <row r="454" spans="1:72">
      <c r="A454" s="9"/>
      <c r="B454" s="34"/>
      <c r="C454" s="34"/>
      <c r="D454" s="1805"/>
      <c r="E454" s="35">
        <f t="shared" si="239"/>
        <v>0</v>
      </c>
      <c r="F454" s="36"/>
      <c r="G454" s="37">
        <f t="shared" si="240"/>
        <v>0</v>
      </c>
      <c r="H454" s="38">
        <f t="shared" si="241"/>
        <v>0</v>
      </c>
      <c r="I454" s="39"/>
      <c r="J454" s="39"/>
      <c r="K454" s="39"/>
      <c r="L454" s="39"/>
      <c r="M454" s="39"/>
      <c r="N454" s="39"/>
      <c r="O454" s="39"/>
      <c r="P454" s="39"/>
      <c r="Q454" s="39"/>
      <c r="R454" s="39"/>
      <c r="S454" s="39"/>
      <c r="T454" s="39"/>
      <c r="U454" s="39"/>
      <c r="V454" s="39"/>
      <c r="W454" s="39"/>
      <c r="X454" s="39"/>
      <c r="Y454" s="39"/>
      <c r="Z454" s="39"/>
      <c r="AA454" s="39"/>
      <c r="AB454" s="39"/>
      <c r="AC454" s="35">
        <f t="shared" si="242"/>
        <v>0</v>
      </c>
      <c r="AD454" s="40"/>
      <c r="AE454" s="40"/>
      <c r="AF454" s="40"/>
      <c r="AG454" s="40"/>
      <c r="AH454" s="40"/>
      <c r="AI454" s="40"/>
      <c r="AJ454" s="40"/>
      <c r="AK454" s="40"/>
      <c r="AL454" s="40"/>
      <c r="AM454" s="40"/>
      <c r="AN454" s="40"/>
      <c r="AO454" s="40"/>
      <c r="AP454" s="40"/>
      <c r="AQ454" s="40"/>
      <c r="AR454" s="40"/>
      <c r="AS454" s="40"/>
      <c r="AT454" s="41"/>
      <c r="AU454" s="1806"/>
      <c r="AV454" s="1517">
        <f t="shared" si="243"/>
        <v>0</v>
      </c>
      <c r="AW454" s="1517">
        <f t="shared" si="244"/>
        <v>0</v>
      </c>
      <c r="AX454" s="1517">
        <f t="shared" si="245"/>
        <v>0</v>
      </c>
      <c r="AY454" s="42">
        <f t="shared" si="246"/>
        <v>0</v>
      </c>
      <c r="AZ454" s="35">
        <f t="shared" si="247"/>
        <v>0</v>
      </c>
      <c r="BA454" s="35">
        <f t="shared" si="248"/>
        <v>0</v>
      </c>
      <c r="BB454" s="35">
        <f t="shared" si="249"/>
        <v>0</v>
      </c>
      <c r="BC454" s="35">
        <f t="shared" si="250"/>
        <v>0</v>
      </c>
      <c r="BD454" s="35">
        <f t="shared" si="251"/>
        <v>0</v>
      </c>
      <c r="BE454" s="35">
        <f t="shared" si="252"/>
        <v>0</v>
      </c>
      <c r="BF454" s="35">
        <f t="shared" si="253"/>
        <v>0</v>
      </c>
      <c r="BG454" s="35">
        <f t="shared" si="254"/>
        <v>0</v>
      </c>
      <c r="BH454" s="35">
        <f t="shared" si="255"/>
        <v>0</v>
      </c>
      <c r="BI454" s="35">
        <f t="shared" si="256"/>
        <v>0</v>
      </c>
      <c r="BJ454" s="35">
        <f t="shared" si="257"/>
        <v>0</v>
      </c>
      <c r="BK454" s="35">
        <f t="shared" si="258"/>
        <v>0</v>
      </c>
      <c r="BL454" s="35">
        <f t="shared" si="259"/>
        <v>0</v>
      </c>
      <c r="BM454" s="35">
        <f t="shared" si="260"/>
        <v>0</v>
      </c>
      <c r="BN454" s="35">
        <f t="shared" si="261"/>
        <v>0</v>
      </c>
      <c r="BO454" s="35">
        <f t="shared" si="262"/>
        <v>0</v>
      </c>
      <c r="BP454" s="35">
        <f t="shared" si="263"/>
        <v>0</v>
      </c>
      <c r="BQ454" s="35">
        <f t="shared" si="264"/>
        <v>0</v>
      </c>
      <c r="BR454" s="35">
        <f t="shared" si="265"/>
        <v>0</v>
      </c>
      <c r="BS454" s="35">
        <f t="shared" si="266"/>
        <v>0</v>
      </c>
      <c r="BT454" s="43">
        <f t="shared" si="267"/>
        <v>0</v>
      </c>
    </row>
    <row r="455" spans="1:72">
      <c r="A455" s="9"/>
      <c r="B455" s="34"/>
      <c r="C455" s="34"/>
      <c r="D455" s="1805"/>
      <c r="E455" s="35">
        <f t="shared" si="239"/>
        <v>0</v>
      </c>
      <c r="F455" s="36"/>
      <c r="G455" s="37">
        <f t="shared" si="240"/>
        <v>0</v>
      </c>
      <c r="H455" s="38">
        <f t="shared" si="241"/>
        <v>0</v>
      </c>
      <c r="I455" s="39"/>
      <c r="J455" s="39"/>
      <c r="K455" s="39"/>
      <c r="L455" s="39"/>
      <c r="M455" s="39"/>
      <c r="N455" s="39"/>
      <c r="O455" s="39"/>
      <c r="P455" s="39"/>
      <c r="Q455" s="39"/>
      <c r="R455" s="39"/>
      <c r="S455" s="39"/>
      <c r="T455" s="39"/>
      <c r="U455" s="39"/>
      <c r="V455" s="39"/>
      <c r="W455" s="39"/>
      <c r="X455" s="39"/>
      <c r="Y455" s="39"/>
      <c r="Z455" s="39"/>
      <c r="AA455" s="39"/>
      <c r="AB455" s="39"/>
      <c r="AC455" s="35">
        <f t="shared" si="242"/>
        <v>0</v>
      </c>
      <c r="AD455" s="40"/>
      <c r="AE455" s="40"/>
      <c r="AF455" s="40"/>
      <c r="AG455" s="40"/>
      <c r="AH455" s="40"/>
      <c r="AI455" s="40"/>
      <c r="AJ455" s="40"/>
      <c r="AK455" s="40"/>
      <c r="AL455" s="40"/>
      <c r="AM455" s="40"/>
      <c r="AN455" s="40"/>
      <c r="AO455" s="40"/>
      <c r="AP455" s="40"/>
      <c r="AQ455" s="40"/>
      <c r="AR455" s="40"/>
      <c r="AS455" s="40"/>
      <c r="AT455" s="41"/>
      <c r="AU455" s="1806"/>
      <c r="AV455" s="1517">
        <f t="shared" si="243"/>
        <v>0</v>
      </c>
      <c r="AW455" s="1517">
        <f t="shared" si="244"/>
        <v>0</v>
      </c>
      <c r="AX455" s="1517">
        <f t="shared" si="245"/>
        <v>0</v>
      </c>
      <c r="AY455" s="42">
        <f t="shared" si="246"/>
        <v>0</v>
      </c>
      <c r="AZ455" s="35">
        <f t="shared" si="247"/>
        <v>0</v>
      </c>
      <c r="BA455" s="35">
        <f t="shared" si="248"/>
        <v>0</v>
      </c>
      <c r="BB455" s="35">
        <f t="shared" si="249"/>
        <v>0</v>
      </c>
      <c r="BC455" s="35">
        <f t="shared" si="250"/>
        <v>0</v>
      </c>
      <c r="BD455" s="35">
        <f t="shared" si="251"/>
        <v>0</v>
      </c>
      <c r="BE455" s="35">
        <f t="shared" si="252"/>
        <v>0</v>
      </c>
      <c r="BF455" s="35">
        <f t="shared" si="253"/>
        <v>0</v>
      </c>
      <c r="BG455" s="35">
        <f t="shared" si="254"/>
        <v>0</v>
      </c>
      <c r="BH455" s="35">
        <f t="shared" si="255"/>
        <v>0</v>
      </c>
      <c r="BI455" s="35">
        <f t="shared" si="256"/>
        <v>0</v>
      </c>
      <c r="BJ455" s="35">
        <f t="shared" si="257"/>
        <v>0</v>
      </c>
      <c r="BK455" s="35">
        <f t="shared" si="258"/>
        <v>0</v>
      </c>
      <c r="BL455" s="35">
        <f t="shared" si="259"/>
        <v>0</v>
      </c>
      <c r="BM455" s="35">
        <f t="shared" si="260"/>
        <v>0</v>
      </c>
      <c r="BN455" s="35">
        <f t="shared" si="261"/>
        <v>0</v>
      </c>
      <c r="BO455" s="35">
        <f t="shared" si="262"/>
        <v>0</v>
      </c>
      <c r="BP455" s="35">
        <f t="shared" si="263"/>
        <v>0</v>
      </c>
      <c r="BQ455" s="35">
        <f t="shared" si="264"/>
        <v>0</v>
      </c>
      <c r="BR455" s="35">
        <f t="shared" si="265"/>
        <v>0</v>
      </c>
      <c r="BS455" s="35">
        <f t="shared" si="266"/>
        <v>0</v>
      </c>
      <c r="BT455" s="43">
        <f t="shared" si="267"/>
        <v>0</v>
      </c>
    </row>
    <row r="456" spans="1:72">
      <c r="A456" s="9"/>
      <c r="B456" s="34"/>
      <c r="C456" s="34"/>
      <c r="D456" s="1805"/>
      <c r="E456" s="35">
        <f t="shared" si="239"/>
        <v>0</v>
      </c>
      <c r="F456" s="36"/>
      <c r="G456" s="37">
        <f t="shared" si="240"/>
        <v>0</v>
      </c>
      <c r="H456" s="38">
        <f t="shared" si="241"/>
        <v>0</v>
      </c>
      <c r="I456" s="39"/>
      <c r="J456" s="39"/>
      <c r="K456" s="39"/>
      <c r="L456" s="39"/>
      <c r="M456" s="39"/>
      <c r="N456" s="39"/>
      <c r="O456" s="39"/>
      <c r="P456" s="39"/>
      <c r="Q456" s="39"/>
      <c r="R456" s="39"/>
      <c r="S456" s="39"/>
      <c r="T456" s="39"/>
      <c r="U456" s="39"/>
      <c r="V456" s="39"/>
      <c r="W456" s="39"/>
      <c r="X456" s="39"/>
      <c r="Y456" s="39"/>
      <c r="Z456" s="39"/>
      <c r="AA456" s="39"/>
      <c r="AB456" s="39"/>
      <c r="AC456" s="35">
        <f t="shared" si="242"/>
        <v>0</v>
      </c>
      <c r="AD456" s="40"/>
      <c r="AE456" s="40"/>
      <c r="AF456" s="40"/>
      <c r="AG456" s="40"/>
      <c r="AH456" s="40"/>
      <c r="AI456" s="40"/>
      <c r="AJ456" s="40"/>
      <c r="AK456" s="40"/>
      <c r="AL456" s="40"/>
      <c r="AM456" s="40"/>
      <c r="AN456" s="40"/>
      <c r="AO456" s="40"/>
      <c r="AP456" s="40"/>
      <c r="AQ456" s="40"/>
      <c r="AR456" s="40"/>
      <c r="AS456" s="40"/>
      <c r="AT456" s="41"/>
      <c r="AU456" s="1806"/>
      <c r="AV456" s="1517">
        <f t="shared" si="243"/>
        <v>0</v>
      </c>
      <c r="AW456" s="1517">
        <f t="shared" si="244"/>
        <v>0</v>
      </c>
      <c r="AX456" s="1517">
        <f t="shared" si="245"/>
        <v>0</v>
      </c>
      <c r="AY456" s="42">
        <f t="shared" si="246"/>
        <v>0</v>
      </c>
      <c r="AZ456" s="35">
        <f t="shared" si="247"/>
        <v>0</v>
      </c>
      <c r="BA456" s="35">
        <f t="shared" si="248"/>
        <v>0</v>
      </c>
      <c r="BB456" s="35">
        <f t="shared" si="249"/>
        <v>0</v>
      </c>
      <c r="BC456" s="35">
        <f t="shared" si="250"/>
        <v>0</v>
      </c>
      <c r="BD456" s="35">
        <f t="shared" si="251"/>
        <v>0</v>
      </c>
      <c r="BE456" s="35">
        <f t="shared" si="252"/>
        <v>0</v>
      </c>
      <c r="BF456" s="35">
        <f t="shared" si="253"/>
        <v>0</v>
      </c>
      <c r="BG456" s="35">
        <f t="shared" si="254"/>
        <v>0</v>
      </c>
      <c r="BH456" s="35">
        <f t="shared" si="255"/>
        <v>0</v>
      </c>
      <c r="BI456" s="35">
        <f t="shared" si="256"/>
        <v>0</v>
      </c>
      <c r="BJ456" s="35">
        <f t="shared" si="257"/>
        <v>0</v>
      </c>
      <c r="BK456" s="35">
        <f t="shared" si="258"/>
        <v>0</v>
      </c>
      <c r="BL456" s="35">
        <f t="shared" si="259"/>
        <v>0</v>
      </c>
      <c r="BM456" s="35">
        <f t="shared" si="260"/>
        <v>0</v>
      </c>
      <c r="BN456" s="35">
        <f t="shared" si="261"/>
        <v>0</v>
      </c>
      <c r="BO456" s="35">
        <f t="shared" si="262"/>
        <v>0</v>
      </c>
      <c r="BP456" s="35">
        <f t="shared" si="263"/>
        <v>0</v>
      </c>
      <c r="BQ456" s="35">
        <f t="shared" si="264"/>
        <v>0</v>
      </c>
      <c r="BR456" s="35">
        <f t="shared" si="265"/>
        <v>0</v>
      </c>
      <c r="BS456" s="35">
        <f t="shared" si="266"/>
        <v>0</v>
      </c>
      <c r="BT456" s="43">
        <f t="shared" si="267"/>
        <v>0</v>
      </c>
    </row>
    <row r="457" spans="1:72">
      <c r="A457" s="9"/>
      <c r="B457" s="34"/>
      <c r="C457" s="34"/>
      <c r="D457" s="1805"/>
      <c r="E457" s="35">
        <f t="shared" si="239"/>
        <v>0</v>
      </c>
      <c r="F457" s="36"/>
      <c r="G457" s="37">
        <f t="shared" si="240"/>
        <v>0</v>
      </c>
      <c r="H457" s="38">
        <f t="shared" si="241"/>
        <v>0</v>
      </c>
      <c r="I457" s="39"/>
      <c r="J457" s="39"/>
      <c r="K457" s="39"/>
      <c r="L457" s="39"/>
      <c r="M457" s="39"/>
      <c r="N457" s="39"/>
      <c r="O457" s="39"/>
      <c r="P457" s="39"/>
      <c r="Q457" s="39"/>
      <c r="R457" s="39"/>
      <c r="S457" s="39"/>
      <c r="T457" s="39"/>
      <c r="U457" s="39"/>
      <c r="V457" s="39"/>
      <c r="W457" s="39"/>
      <c r="X457" s="39"/>
      <c r="Y457" s="39"/>
      <c r="Z457" s="39"/>
      <c r="AA457" s="39"/>
      <c r="AB457" s="39"/>
      <c r="AC457" s="35">
        <f t="shared" si="242"/>
        <v>0</v>
      </c>
      <c r="AD457" s="40"/>
      <c r="AE457" s="40"/>
      <c r="AF457" s="40"/>
      <c r="AG457" s="40"/>
      <c r="AH457" s="40"/>
      <c r="AI457" s="40"/>
      <c r="AJ457" s="40"/>
      <c r="AK457" s="40"/>
      <c r="AL457" s="40"/>
      <c r="AM457" s="40"/>
      <c r="AN457" s="40"/>
      <c r="AO457" s="40"/>
      <c r="AP457" s="40"/>
      <c r="AQ457" s="40"/>
      <c r="AR457" s="40"/>
      <c r="AS457" s="40"/>
      <c r="AT457" s="41"/>
      <c r="AU457" s="1806"/>
      <c r="AV457" s="1517">
        <f t="shared" si="243"/>
        <v>0</v>
      </c>
      <c r="AW457" s="1517">
        <f t="shared" si="244"/>
        <v>0</v>
      </c>
      <c r="AX457" s="1517">
        <f t="shared" si="245"/>
        <v>0</v>
      </c>
      <c r="AY457" s="42">
        <f t="shared" si="246"/>
        <v>0</v>
      </c>
      <c r="AZ457" s="35">
        <f t="shared" si="247"/>
        <v>0</v>
      </c>
      <c r="BA457" s="35">
        <f t="shared" si="248"/>
        <v>0</v>
      </c>
      <c r="BB457" s="35">
        <f t="shared" si="249"/>
        <v>0</v>
      </c>
      <c r="BC457" s="35">
        <f t="shared" si="250"/>
        <v>0</v>
      </c>
      <c r="BD457" s="35">
        <f t="shared" si="251"/>
        <v>0</v>
      </c>
      <c r="BE457" s="35">
        <f t="shared" si="252"/>
        <v>0</v>
      </c>
      <c r="BF457" s="35">
        <f t="shared" si="253"/>
        <v>0</v>
      </c>
      <c r="BG457" s="35">
        <f t="shared" si="254"/>
        <v>0</v>
      </c>
      <c r="BH457" s="35">
        <f t="shared" si="255"/>
        <v>0</v>
      </c>
      <c r="BI457" s="35">
        <f t="shared" si="256"/>
        <v>0</v>
      </c>
      <c r="BJ457" s="35">
        <f t="shared" si="257"/>
        <v>0</v>
      </c>
      <c r="BK457" s="35">
        <f t="shared" si="258"/>
        <v>0</v>
      </c>
      <c r="BL457" s="35">
        <f t="shared" si="259"/>
        <v>0</v>
      </c>
      <c r="BM457" s="35">
        <f t="shared" si="260"/>
        <v>0</v>
      </c>
      <c r="BN457" s="35">
        <f t="shared" si="261"/>
        <v>0</v>
      </c>
      <c r="BO457" s="35">
        <f t="shared" si="262"/>
        <v>0</v>
      </c>
      <c r="BP457" s="35">
        <f t="shared" si="263"/>
        <v>0</v>
      </c>
      <c r="BQ457" s="35">
        <f t="shared" si="264"/>
        <v>0</v>
      </c>
      <c r="BR457" s="35">
        <f t="shared" si="265"/>
        <v>0</v>
      </c>
      <c r="BS457" s="35">
        <f t="shared" si="266"/>
        <v>0</v>
      </c>
      <c r="BT457" s="43">
        <f t="shared" si="267"/>
        <v>0</v>
      </c>
    </row>
    <row r="458" spans="1:72">
      <c r="A458" s="9"/>
      <c r="B458" s="34"/>
      <c r="C458" s="34"/>
      <c r="D458" s="1805"/>
      <c r="E458" s="35">
        <f t="shared" si="239"/>
        <v>0</v>
      </c>
      <c r="F458" s="36"/>
      <c r="G458" s="37">
        <f t="shared" si="240"/>
        <v>0</v>
      </c>
      <c r="H458" s="38">
        <f t="shared" si="241"/>
        <v>0</v>
      </c>
      <c r="I458" s="39"/>
      <c r="J458" s="39"/>
      <c r="K458" s="39"/>
      <c r="L458" s="39"/>
      <c r="M458" s="39"/>
      <c r="N458" s="39"/>
      <c r="O458" s="39"/>
      <c r="P458" s="39"/>
      <c r="Q458" s="39"/>
      <c r="R458" s="39"/>
      <c r="S458" s="39"/>
      <c r="T458" s="39"/>
      <c r="U458" s="39"/>
      <c r="V458" s="39"/>
      <c r="W458" s="39"/>
      <c r="X458" s="39"/>
      <c r="Y458" s="39"/>
      <c r="Z458" s="39"/>
      <c r="AA458" s="39"/>
      <c r="AB458" s="39"/>
      <c r="AC458" s="35">
        <f t="shared" si="242"/>
        <v>0</v>
      </c>
      <c r="AD458" s="40"/>
      <c r="AE458" s="40"/>
      <c r="AF458" s="40"/>
      <c r="AG458" s="40"/>
      <c r="AH458" s="40"/>
      <c r="AI458" s="40"/>
      <c r="AJ458" s="40"/>
      <c r="AK458" s="40"/>
      <c r="AL458" s="40"/>
      <c r="AM458" s="40"/>
      <c r="AN458" s="40"/>
      <c r="AO458" s="40"/>
      <c r="AP458" s="40"/>
      <c r="AQ458" s="40"/>
      <c r="AR458" s="40"/>
      <c r="AS458" s="40"/>
      <c r="AT458" s="41"/>
      <c r="AU458" s="1806"/>
      <c r="AV458" s="1517">
        <f t="shared" si="243"/>
        <v>0</v>
      </c>
      <c r="AW458" s="1517">
        <f t="shared" si="244"/>
        <v>0</v>
      </c>
      <c r="AX458" s="1517">
        <f t="shared" si="245"/>
        <v>0</v>
      </c>
      <c r="AY458" s="42">
        <f t="shared" si="246"/>
        <v>0</v>
      </c>
      <c r="AZ458" s="35">
        <f t="shared" si="247"/>
        <v>0</v>
      </c>
      <c r="BA458" s="35">
        <f t="shared" si="248"/>
        <v>0</v>
      </c>
      <c r="BB458" s="35">
        <f t="shared" si="249"/>
        <v>0</v>
      </c>
      <c r="BC458" s="35">
        <f t="shared" si="250"/>
        <v>0</v>
      </c>
      <c r="BD458" s="35">
        <f t="shared" si="251"/>
        <v>0</v>
      </c>
      <c r="BE458" s="35">
        <f t="shared" si="252"/>
        <v>0</v>
      </c>
      <c r="BF458" s="35">
        <f t="shared" si="253"/>
        <v>0</v>
      </c>
      <c r="BG458" s="35">
        <f t="shared" si="254"/>
        <v>0</v>
      </c>
      <c r="BH458" s="35">
        <f t="shared" si="255"/>
        <v>0</v>
      </c>
      <c r="BI458" s="35">
        <f t="shared" si="256"/>
        <v>0</v>
      </c>
      <c r="BJ458" s="35">
        <f t="shared" si="257"/>
        <v>0</v>
      </c>
      <c r="BK458" s="35">
        <f t="shared" si="258"/>
        <v>0</v>
      </c>
      <c r="BL458" s="35">
        <f t="shared" si="259"/>
        <v>0</v>
      </c>
      <c r="BM458" s="35">
        <f t="shared" si="260"/>
        <v>0</v>
      </c>
      <c r="BN458" s="35">
        <f t="shared" si="261"/>
        <v>0</v>
      </c>
      <c r="BO458" s="35">
        <f t="shared" si="262"/>
        <v>0</v>
      </c>
      <c r="BP458" s="35">
        <f t="shared" si="263"/>
        <v>0</v>
      </c>
      <c r="BQ458" s="35">
        <f t="shared" si="264"/>
        <v>0</v>
      </c>
      <c r="BR458" s="35">
        <f t="shared" si="265"/>
        <v>0</v>
      </c>
      <c r="BS458" s="35">
        <f t="shared" si="266"/>
        <v>0</v>
      </c>
      <c r="BT458" s="43">
        <f t="shared" si="267"/>
        <v>0</v>
      </c>
    </row>
    <row r="459" spans="1:72">
      <c r="A459" s="9"/>
      <c r="B459" s="34"/>
      <c r="C459" s="34"/>
      <c r="D459" s="1805"/>
      <c r="E459" s="35">
        <f t="shared" si="239"/>
        <v>0</v>
      </c>
      <c r="F459" s="36"/>
      <c r="G459" s="37">
        <f t="shared" si="240"/>
        <v>0</v>
      </c>
      <c r="H459" s="38">
        <f t="shared" si="241"/>
        <v>0</v>
      </c>
      <c r="I459" s="39"/>
      <c r="J459" s="39"/>
      <c r="K459" s="39"/>
      <c r="L459" s="39"/>
      <c r="M459" s="39"/>
      <c r="N459" s="39"/>
      <c r="O459" s="39"/>
      <c r="P459" s="39"/>
      <c r="Q459" s="39"/>
      <c r="R459" s="39"/>
      <c r="S459" s="39"/>
      <c r="T459" s="39"/>
      <c r="U459" s="39"/>
      <c r="V459" s="39"/>
      <c r="W459" s="39"/>
      <c r="X459" s="39"/>
      <c r="Y459" s="39"/>
      <c r="Z459" s="39"/>
      <c r="AA459" s="39"/>
      <c r="AB459" s="39"/>
      <c r="AC459" s="35">
        <f t="shared" si="242"/>
        <v>0</v>
      </c>
      <c r="AD459" s="40"/>
      <c r="AE459" s="40"/>
      <c r="AF459" s="40"/>
      <c r="AG459" s="40"/>
      <c r="AH459" s="40"/>
      <c r="AI459" s="40"/>
      <c r="AJ459" s="40"/>
      <c r="AK459" s="40"/>
      <c r="AL459" s="40"/>
      <c r="AM459" s="40"/>
      <c r="AN459" s="40"/>
      <c r="AO459" s="40"/>
      <c r="AP459" s="40"/>
      <c r="AQ459" s="40"/>
      <c r="AR459" s="40"/>
      <c r="AS459" s="40"/>
      <c r="AT459" s="41"/>
      <c r="AU459" s="1806"/>
      <c r="AV459" s="1517">
        <f t="shared" si="243"/>
        <v>0</v>
      </c>
      <c r="AW459" s="1517">
        <f t="shared" si="244"/>
        <v>0</v>
      </c>
      <c r="AX459" s="1517">
        <f t="shared" si="245"/>
        <v>0</v>
      </c>
      <c r="AY459" s="42">
        <f t="shared" si="246"/>
        <v>0</v>
      </c>
      <c r="AZ459" s="35">
        <f t="shared" si="247"/>
        <v>0</v>
      </c>
      <c r="BA459" s="35">
        <f t="shared" si="248"/>
        <v>0</v>
      </c>
      <c r="BB459" s="35">
        <f t="shared" si="249"/>
        <v>0</v>
      </c>
      <c r="BC459" s="35">
        <f t="shared" si="250"/>
        <v>0</v>
      </c>
      <c r="BD459" s="35">
        <f t="shared" si="251"/>
        <v>0</v>
      </c>
      <c r="BE459" s="35">
        <f t="shared" si="252"/>
        <v>0</v>
      </c>
      <c r="BF459" s="35">
        <f t="shared" si="253"/>
        <v>0</v>
      </c>
      <c r="BG459" s="35">
        <f t="shared" si="254"/>
        <v>0</v>
      </c>
      <c r="BH459" s="35">
        <f t="shared" si="255"/>
        <v>0</v>
      </c>
      <c r="BI459" s="35">
        <f t="shared" si="256"/>
        <v>0</v>
      </c>
      <c r="BJ459" s="35">
        <f t="shared" si="257"/>
        <v>0</v>
      </c>
      <c r="BK459" s="35">
        <f t="shared" si="258"/>
        <v>0</v>
      </c>
      <c r="BL459" s="35">
        <f t="shared" si="259"/>
        <v>0</v>
      </c>
      <c r="BM459" s="35">
        <f t="shared" si="260"/>
        <v>0</v>
      </c>
      <c r="BN459" s="35">
        <f t="shared" si="261"/>
        <v>0</v>
      </c>
      <c r="BO459" s="35">
        <f t="shared" si="262"/>
        <v>0</v>
      </c>
      <c r="BP459" s="35">
        <f t="shared" si="263"/>
        <v>0</v>
      </c>
      <c r="BQ459" s="35">
        <f t="shared" si="264"/>
        <v>0</v>
      </c>
      <c r="BR459" s="35">
        <f t="shared" si="265"/>
        <v>0</v>
      </c>
      <c r="BS459" s="35">
        <f t="shared" si="266"/>
        <v>0</v>
      </c>
      <c r="BT459" s="43">
        <f t="shared" si="267"/>
        <v>0</v>
      </c>
    </row>
    <row r="460" spans="1:72">
      <c r="A460" s="9"/>
      <c r="B460" s="34"/>
      <c r="C460" s="34"/>
      <c r="D460" s="1805"/>
      <c r="E460" s="35">
        <f t="shared" si="239"/>
        <v>0</v>
      </c>
      <c r="F460" s="36"/>
      <c r="G460" s="37">
        <f t="shared" si="240"/>
        <v>0</v>
      </c>
      <c r="H460" s="38">
        <f t="shared" si="241"/>
        <v>0</v>
      </c>
      <c r="I460" s="39"/>
      <c r="J460" s="39"/>
      <c r="K460" s="39"/>
      <c r="L460" s="39"/>
      <c r="M460" s="39"/>
      <c r="N460" s="39"/>
      <c r="O460" s="39"/>
      <c r="P460" s="39"/>
      <c r="Q460" s="39"/>
      <c r="R460" s="39"/>
      <c r="S460" s="39"/>
      <c r="T460" s="39"/>
      <c r="U460" s="39"/>
      <c r="V460" s="39"/>
      <c r="W460" s="39"/>
      <c r="X460" s="39"/>
      <c r="Y460" s="39"/>
      <c r="Z460" s="39"/>
      <c r="AA460" s="39"/>
      <c r="AB460" s="39"/>
      <c r="AC460" s="35">
        <f t="shared" si="242"/>
        <v>0</v>
      </c>
      <c r="AD460" s="40"/>
      <c r="AE460" s="40"/>
      <c r="AF460" s="40"/>
      <c r="AG460" s="40"/>
      <c r="AH460" s="40"/>
      <c r="AI460" s="40"/>
      <c r="AJ460" s="40"/>
      <c r="AK460" s="40"/>
      <c r="AL460" s="40"/>
      <c r="AM460" s="40"/>
      <c r="AN460" s="40"/>
      <c r="AO460" s="40"/>
      <c r="AP460" s="40"/>
      <c r="AQ460" s="40"/>
      <c r="AR460" s="40"/>
      <c r="AS460" s="40"/>
      <c r="AT460" s="41"/>
      <c r="AU460" s="1806"/>
      <c r="AV460" s="1517">
        <f t="shared" si="243"/>
        <v>0</v>
      </c>
      <c r="AW460" s="1517">
        <f t="shared" si="244"/>
        <v>0</v>
      </c>
      <c r="AX460" s="1517">
        <f t="shared" si="245"/>
        <v>0</v>
      </c>
      <c r="AY460" s="42">
        <f t="shared" si="246"/>
        <v>0</v>
      </c>
      <c r="AZ460" s="35">
        <f t="shared" si="247"/>
        <v>0</v>
      </c>
      <c r="BA460" s="35">
        <f t="shared" si="248"/>
        <v>0</v>
      </c>
      <c r="BB460" s="35">
        <f t="shared" si="249"/>
        <v>0</v>
      </c>
      <c r="BC460" s="35">
        <f t="shared" si="250"/>
        <v>0</v>
      </c>
      <c r="BD460" s="35">
        <f t="shared" si="251"/>
        <v>0</v>
      </c>
      <c r="BE460" s="35">
        <f t="shared" si="252"/>
        <v>0</v>
      </c>
      <c r="BF460" s="35">
        <f t="shared" si="253"/>
        <v>0</v>
      </c>
      <c r="BG460" s="35">
        <f t="shared" si="254"/>
        <v>0</v>
      </c>
      <c r="BH460" s="35">
        <f t="shared" si="255"/>
        <v>0</v>
      </c>
      <c r="BI460" s="35">
        <f t="shared" si="256"/>
        <v>0</v>
      </c>
      <c r="BJ460" s="35">
        <f t="shared" si="257"/>
        <v>0</v>
      </c>
      <c r="BK460" s="35">
        <f t="shared" si="258"/>
        <v>0</v>
      </c>
      <c r="BL460" s="35">
        <f t="shared" si="259"/>
        <v>0</v>
      </c>
      <c r="BM460" s="35">
        <f t="shared" si="260"/>
        <v>0</v>
      </c>
      <c r="BN460" s="35">
        <f t="shared" si="261"/>
        <v>0</v>
      </c>
      <c r="BO460" s="35">
        <f t="shared" si="262"/>
        <v>0</v>
      </c>
      <c r="BP460" s="35">
        <f t="shared" si="263"/>
        <v>0</v>
      </c>
      <c r="BQ460" s="35">
        <f t="shared" si="264"/>
        <v>0</v>
      </c>
      <c r="BR460" s="35">
        <f t="shared" si="265"/>
        <v>0</v>
      </c>
      <c r="BS460" s="35">
        <f t="shared" si="266"/>
        <v>0</v>
      </c>
      <c r="BT460" s="43">
        <f t="shared" si="267"/>
        <v>0</v>
      </c>
    </row>
    <row r="461" spans="1:72">
      <c r="A461" s="9"/>
      <c r="B461" s="34"/>
      <c r="C461" s="34"/>
      <c r="D461" s="1805"/>
      <c r="E461" s="35">
        <f t="shared" si="239"/>
        <v>0</v>
      </c>
      <c r="F461" s="36"/>
      <c r="G461" s="37">
        <f t="shared" si="240"/>
        <v>0</v>
      </c>
      <c r="H461" s="38">
        <f t="shared" si="241"/>
        <v>0</v>
      </c>
      <c r="I461" s="39"/>
      <c r="J461" s="39"/>
      <c r="K461" s="39"/>
      <c r="L461" s="39"/>
      <c r="M461" s="39"/>
      <c r="N461" s="39"/>
      <c r="O461" s="39"/>
      <c r="P461" s="39"/>
      <c r="Q461" s="39"/>
      <c r="R461" s="39"/>
      <c r="S461" s="39"/>
      <c r="T461" s="39"/>
      <c r="U461" s="39"/>
      <c r="V461" s="39"/>
      <c r="W461" s="39"/>
      <c r="X461" s="39"/>
      <c r="Y461" s="39"/>
      <c r="Z461" s="39"/>
      <c r="AA461" s="39"/>
      <c r="AB461" s="39"/>
      <c r="AC461" s="35">
        <f t="shared" si="242"/>
        <v>0</v>
      </c>
      <c r="AD461" s="40"/>
      <c r="AE461" s="40"/>
      <c r="AF461" s="40"/>
      <c r="AG461" s="40"/>
      <c r="AH461" s="40"/>
      <c r="AI461" s="40"/>
      <c r="AJ461" s="40"/>
      <c r="AK461" s="40"/>
      <c r="AL461" s="40"/>
      <c r="AM461" s="40"/>
      <c r="AN461" s="40"/>
      <c r="AO461" s="40"/>
      <c r="AP461" s="40"/>
      <c r="AQ461" s="40"/>
      <c r="AR461" s="40"/>
      <c r="AS461" s="40"/>
      <c r="AT461" s="41"/>
      <c r="AU461" s="1806"/>
      <c r="AV461" s="1517">
        <f t="shared" si="243"/>
        <v>0</v>
      </c>
      <c r="AW461" s="1517">
        <f t="shared" si="244"/>
        <v>0</v>
      </c>
      <c r="AX461" s="1517">
        <f t="shared" si="245"/>
        <v>0</v>
      </c>
      <c r="AY461" s="42">
        <f t="shared" si="246"/>
        <v>0</v>
      </c>
      <c r="AZ461" s="35">
        <f t="shared" si="247"/>
        <v>0</v>
      </c>
      <c r="BA461" s="35">
        <f t="shared" si="248"/>
        <v>0</v>
      </c>
      <c r="BB461" s="35">
        <f t="shared" si="249"/>
        <v>0</v>
      </c>
      <c r="BC461" s="35">
        <f t="shared" si="250"/>
        <v>0</v>
      </c>
      <c r="BD461" s="35">
        <f t="shared" si="251"/>
        <v>0</v>
      </c>
      <c r="BE461" s="35">
        <f t="shared" si="252"/>
        <v>0</v>
      </c>
      <c r="BF461" s="35">
        <f t="shared" si="253"/>
        <v>0</v>
      </c>
      <c r="BG461" s="35">
        <f t="shared" si="254"/>
        <v>0</v>
      </c>
      <c r="BH461" s="35">
        <f t="shared" si="255"/>
        <v>0</v>
      </c>
      <c r="BI461" s="35">
        <f t="shared" si="256"/>
        <v>0</v>
      </c>
      <c r="BJ461" s="35">
        <f t="shared" si="257"/>
        <v>0</v>
      </c>
      <c r="BK461" s="35">
        <f t="shared" si="258"/>
        <v>0</v>
      </c>
      <c r="BL461" s="35">
        <f t="shared" si="259"/>
        <v>0</v>
      </c>
      <c r="BM461" s="35">
        <f t="shared" si="260"/>
        <v>0</v>
      </c>
      <c r="BN461" s="35">
        <f t="shared" si="261"/>
        <v>0</v>
      </c>
      <c r="BO461" s="35">
        <f t="shared" si="262"/>
        <v>0</v>
      </c>
      <c r="BP461" s="35">
        <f t="shared" si="263"/>
        <v>0</v>
      </c>
      <c r="BQ461" s="35">
        <f t="shared" si="264"/>
        <v>0</v>
      </c>
      <c r="BR461" s="35">
        <f t="shared" si="265"/>
        <v>0</v>
      </c>
      <c r="BS461" s="35">
        <f t="shared" si="266"/>
        <v>0</v>
      </c>
      <c r="BT461" s="43">
        <f t="shared" si="267"/>
        <v>0</v>
      </c>
    </row>
    <row r="462" spans="1:72">
      <c r="A462" s="9"/>
      <c r="B462" s="34"/>
      <c r="C462" s="34"/>
      <c r="D462" s="1805"/>
      <c r="E462" s="35">
        <f t="shared" si="239"/>
        <v>0</v>
      </c>
      <c r="F462" s="36"/>
      <c r="G462" s="37">
        <f t="shared" si="240"/>
        <v>0</v>
      </c>
      <c r="H462" s="38">
        <f t="shared" si="241"/>
        <v>0</v>
      </c>
      <c r="I462" s="39"/>
      <c r="J462" s="39"/>
      <c r="K462" s="39"/>
      <c r="L462" s="39"/>
      <c r="M462" s="39"/>
      <c r="N462" s="39"/>
      <c r="O462" s="39"/>
      <c r="P462" s="39"/>
      <c r="Q462" s="39"/>
      <c r="R462" s="39"/>
      <c r="S462" s="39"/>
      <c r="T462" s="39"/>
      <c r="U462" s="39"/>
      <c r="V462" s="39"/>
      <c r="W462" s="39"/>
      <c r="X462" s="39"/>
      <c r="Y462" s="39"/>
      <c r="Z462" s="39"/>
      <c r="AA462" s="39"/>
      <c r="AB462" s="39"/>
      <c r="AC462" s="35">
        <f t="shared" si="242"/>
        <v>0</v>
      </c>
      <c r="AD462" s="40"/>
      <c r="AE462" s="40"/>
      <c r="AF462" s="40"/>
      <c r="AG462" s="40"/>
      <c r="AH462" s="40"/>
      <c r="AI462" s="40"/>
      <c r="AJ462" s="40"/>
      <c r="AK462" s="40"/>
      <c r="AL462" s="40"/>
      <c r="AM462" s="40"/>
      <c r="AN462" s="40"/>
      <c r="AO462" s="40"/>
      <c r="AP462" s="40"/>
      <c r="AQ462" s="40"/>
      <c r="AR462" s="40"/>
      <c r="AS462" s="40"/>
      <c r="AT462" s="41"/>
      <c r="AU462" s="1806"/>
      <c r="AV462" s="1517">
        <f t="shared" si="243"/>
        <v>0</v>
      </c>
      <c r="AW462" s="1517">
        <f t="shared" si="244"/>
        <v>0</v>
      </c>
      <c r="AX462" s="1517">
        <f t="shared" si="245"/>
        <v>0</v>
      </c>
      <c r="AY462" s="42">
        <f t="shared" si="246"/>
        <v>0</v>
      </c>
      <c r="AZ462" s="35">
        <f t="shared" si="247"/>
        <v>0</v>
      </c>
      <c r="BA462" s="35">
        <f t="shared" si="248"/>
        <v>0</v>
      </c>
      <c r="BB462" s="35">
        <f t="shared" si="249"/>
        <v>0</v>
      </c>
      <c r="BC462" s="35">
        <f t="shared" si="250"/>
        <v>0</v>
      </c>
      <c r="BD462" s="35">
        <f t="shared" si="251"/>
        <v>0</v>
      </c>
      <c r="BE462" s="35">
        <f t="shared" si="252"/>
        <v>0</v>
      </c>
      <c r="BF462" s="35">
        <f t="shared" si="253"/>
        <v>0</v>
      </c>
      <c r="BG462" s="35">
        <f t="shared" si="254"/>
        <v>0</v>
      </c>
      <c r="BH462" s="35">
        <f t="shared" si="255"/>
        <v>0</v>
      </c>
      <c r="BI462" s="35">
        <f t="shared" si="256"/>
        <v>0</v>
      </c>
      <c r="BJ462" s="35">
        <f t="shared" si="257"/>
        <v>0</v>
      </c>
      <c r="BK462" s="35">
        <f t="shared" si="258"/>
        <v>0</v>
      </c>
      <c r="BL462" s="35">
        <f t="shared" si="259"/>
        <v>0</v>
      </c>
      <c r="BM462" s="35">
        <f t="shared" si="260"/>
        <v>0</v>
      </c>
      <c r="BN462" s="35">
        <f t="shared" si="261"/>
        <v>0</v>
      </c>
      <c r="BO462" s="35">
        <f t="shared" si="262"/>
        <v>0</v>
      </c>
      <c r="BP462" s="35">
        <f t="shared" si="263"/>
        <v>0</v>
      </c>
      <c r="BQ462" s="35">
        <f t="shared" si="264"/>
        <v>0</v>
      </c>
      <c r="BR462" s="35">
        <f t="shared" si="265"/>
        <v>0</v>
      </c>
      <c r="BS462" s="35">
        <f t="shared" si="266"/>
        <v>0</v>
      </c>
      <c r="BT462" s="43">
        <f t="shared" si="267"/>
        <v>0</v>
      </c>
    </row>
    <row r="463" spans="1:72">
      <c r="A463" s="9"/>
      <c r="B463" s="34"/>
      <c r="C463" s="34"/>
      <c r="D463" s="1805"/>
      <c r="E463" s="35">
        <f t="shared" si="239"/>
        <v>0</v>
      </c>
      <c r="F463" s="36"/>
      <c r="G463" s="37">
        <f t="shared" si="240"/>
        <v>0</v>
      </c>
      <c r="H463" s="38">
        <f t="shared" si="241"/>
        <v>0</v>
      </c>
      <c r="I463" s="39"/>
      <c r="J463" s="39"/>
      <c r="K463" s="39"/>
      <c r="L463" s="39"/>
      <c r="M463" s="39"/>
      <c r="N463" s="39"/>
      <c r="O463" s="39"/>
      <c r="P463" s="39"/>
      <c r="Q463" s="39"/>
      <c r="R463" s="39"/>
      <c r="S463" s="39"/>
      <c r="T463" s="39"/>
      <c r="U463" s="39"/>
      <c r="V463" s="39"/>
      <c r="W463" s="39"/>
      <c r="X463" s="39"/>
      <c r="Y463" s="39"/>
      <c r="Z463" s="39"/>
      <c r="AA463" s="39"/>
      <c r="AB463" s="39"/>
      <c r="AC463" s="35">
        <f t="shared" si="242"/>
        <v>0</v>
      </c>
      <c r="AD463" s="40"/>
      <c r="AE463" s="40"/>
      <c r="AF463" s="40"/>
      <c r="AG463" s="40"/>
      <c r="AH463" s="40"/>
      <c r="AI463" s="40"/>
      <c r="AJ463" s="40"/>
      <c r="AK463" s="40"/>
      <c r="AL463" s="40"/>
      <c r="AM463" s="40"/>
      <c r="AN463" s="40"/>
      <c r="AO463" s="40"/>
      <c r="AP463" s="40"/>
      <c r="AQ463" s="40"/>
      <c r="AR463" s="40"/>
      <c r="AS463" s="40"/>
      <c r="AT463" s="41"/>
      <c r="AU463" s="1806"/>
      <c r="AV463" s="1517">
        <f t="shared" si="243"/>
        <v>0</v>
      </c>
      <c r="AW463" s="1517">
        <f t="shared" si="244"/>
        <v>0</v>
      </c>
      <c r="AX463" s="1517">
        <f t="shared" si="245"/>
        <v>0</v>
      </c>
      <c r="AY463" s="42">
        <f t="shared" si="246"/>
        <v>0</v>
      </c>
      <c r="AZ463" s="35">
        <f t="shared" si="247"/>
        <v>0</v>
      </c>
      <c r="BA463" s="35">
        <f t="shared" si="248"/>
        <v>0</v>
      </c>
      <c r="BB463" s="35">
        <f t="shared" si="249"/>
        <v>0</v>
      </c>
      <c r="BC463" s="35">
        <f t="shared" si="250"/>
        <v>0</v>
      </c>
      <c r="BD463" s="35">
        <f t="shared" si="251"/>
        <v>0</v>
      </c>
      <c r="BE463" s="35">
        <f t="shared" si="252"/>
        <v>0</v>
      </c>
      <c r="BF463" s="35">
        <f t="shared" si="253"/>
        <v>0</v>
      </c>
      <c r="BG463" s="35">
        <f t="shared" si="254"/>
        <v>0</v>
      </c>
      <c r="BH463" s="35">
        <f t="shared" si="255"/>
        <v>0</v>
      </c>
      <c r="BI463" s="35">
        <f t="shared" si="256"/>
        <v>0</v>
      </c>
      <c r="BJ463" s="35">
        <f t="shared" si="257"/>
        <v>0</v>
      </c>
      <c r="BK463" s="35">
        <f t="shared" si="258"/>
        <v>0</v>
      </c>
      <c r="BL463" s="35">
        <f t="shared" si="259"/>
        <v>0</v>
      </c>
      <c r="BM463" s="35">
        <f t="shared" si="260"/>
        <v>0</v>
      </c>
      <c r="BN463" s="35">
        <f t="shared" si="261"/>
        <v>0</v>
      </c>
      <c r="BO463" s="35">
        <f t="shared" si="262"/>
        <v>0</v>
      </c>
      <c r="BP463" s="35">
        <f t="shared" si="263"/>
        <v>0</v>
      </c>
      <c r="BQ463" s="35">
        <f t="shared" si="264"/>
        <v>0</v>
      </c>
      <c r="BR463" s="35">
        <f t="shared" si="265"/>
        <v>0</v>
      </c>
      <c r="BS463" s="35">
        <f t="shared" si="266"/>
        <v>0</v>
      </c>
      <c r="BT463" s="43">
        <f t="shared" si="267"/>
        <v>0</v>
      </c>
    </row>
    <row r="464" spans="1:72">
      <c r="A464" s="9"/>
      <c r="B464" s="34"/>
      <c r="C464" s="34"/>
      <c r="D464" s="1805"/>
      <c r="E464" s="35">
        <f t="shared" si="239"/>
        <v>0</v>
      </c>
      <c r="F464" s="36"/>
      <c r="G464" s="37">
        <f t="shared" si="240"/>
        <v>0</v>
      </c>
      <c r="H464" s="38">
        <f t="shared" si="241"/>
        <v>0</v>
      </c>
      <c r="I464" s="39"/>
      <c r="J464" s="39"/>
      <c r="K464" s="39"/>
      <c r="L464" s="39"/>
      <c r="M464" s="39"/>
      <c r="N464" s="39"/>
      <c r="O464" s="39"/>
      <c r="P464" s="39"/>
      <c r="Q464" s="39"/>
      <c r="R464" s="39"/>
      <c r="S464" s="39"/>
      <c r="T464" s="39"/>
      <c r="U464" s="39"/>
      <c r="V464" s="39"/>
      <c r="W464" s="39"/>
      <c r="X464" s="39"/>
      <c r="Y464" s="39"/>
      <c r="Z464" s="39"/>
      <c r="AA464" s="39"/>
      <c r="AB464" s="39"/>
      <c r="AC464" s="35">
        <f t="shared" si="242"/>
        <v>0</v>
      </c>
      <c r="AD464" s="40"/>
      <c r="AE464" s="40"/>
      <c r="AF464" s="40"/>
      <c r="AG464" s="40"/>
      <c r="AH464" s="40"/>
      <c r="AI464" s="40"/>
      <c r="AJ464" s="40"/>
      <c r="AK464" s="40"/>
      <c r="AL464" s="40"/>
      <c r="AM464" s="40"/>
      <c r="AN464" s="40"/>
      <c r="AO464" s="40"/>
      <c r="AP464" s="40"/>
      <c r="AQ464" s="40"/>
      <c r="AR464" s="40"/>
      <c r="AS464" s="40"/>
      <c r="AT464" s="41"/>
      <c r="AU464" s="1806"/>
      <c r="AV464" s="1517">
        <f t="shared" si="243"/>
        <v>0</v>
      </c>
      <c r="AW464" s="1517">
        <f t="shared" si="244"/>
        <v>0</v>
      </c>
      <c r="AX464" s="1517">
        <f t="shared" si="245"/>
        <v>0</v>
      </c>
      <c r="AY464" s="42">
        <f t="shared" si="246"/>
        <v>0</v>
      </c>
      <c r="AZ464" s="35">
        <f t="shared" si="247"/>
        <v>0</v>
      </c>
      <c r="BA464" s="35">
        <f t="shared" si="248"/>
        <v>0</v>
      </c>
      <c r="BB464" s="35">
        <f t="shared" si="249"/>
        <v>0</v>
      </c>
      <c r="BC464" s="35">
        <f t="shared" si="250"/>
        <v>0</v>
      </c>
      <c r="BD464" s="35">
        <f t="shared" si="251"/>
        <v>0</v>
      </c>
      <c r="BE464" s="35">
        <f t="shared" si="252"/>
        <v>0</v>
      </c>
      <c r="BF464" s="35">
        <f t="shared" si="253"/>
        <v>0</v>
      </c>
      <c r="BG464" s="35">
        <f t="shared" si="254"/>
        <v>0</v>
      </c>
      <c r="BH464" s="35">
        <f t="shared" si="255"/>
        <v>0</v>
      </c>
      <c r="BI464" s="35">
        <f t="shared" si="256"/>
        <v>0</v>
      </c>
      <c r="BJ464" s="35">
        <f t="shared" si="257"/>
        <v>0</v>
      </c>
      <c r="BK464" s="35">
        <f t="shared" si="258"/>
        <v>0</v>
      </c>
      <c r="BL464" s="35">
        <f t="shared" si="259"/>
        <v>0</v>
      </c>
      <c r="BM464" s="35">
        <f t="shared" si="260"/>
        <v>0</v>
      </c>
      <c r="BN464" s="35">
        <f t="shared" si="261"/>
        <v>0</v>
      </c>
      <c r="BO464" s="35">
        <f t="shared" si="262"/>
        <v>0</v>
      </c>
      <c r="BP464" s="35">
        <f t="shared" si="263"/>
        <v>0</v>
      </c>
      <c r="BQ464" s="35">
        <f t="shared" si="264"/>
        <v>0</v>
      </c>
      <c r="BR464" s="35">
        <f t="shared" si="265"/>
        <v>0</v>
      </c>
      <c r="BS464" s="35">
        <f t="shared" si="266"/>
        <v>0</v>
      </c>
      <c r="BT464" s="43">
        <f t="shared" si="267"/>
        <v>0</v>
      </c>
    </row>
    <row r="465" spans="1:72">
      <c r="A465" s="9"/>
      <c r="B465" s="34"/>
      <c r="C465" s="34"/>
      <c r="D465" s="1805"/>
      <c r="E465" s="35">
        <f t="shared" si="239"/>
        <v>0</v>
      </c>
      <c r="F465" s="36"/>
      <c r="G465" s="37">
        <f t="shared" si="240"/>
        <v>0</v>
      </c>
      <c r="H465" s="38">
        <f t="shared" si="241"/>
        <v>0</v>
      </c>
      <c r="I465" s="39"/>
      <c r="J465" s="39"/>
      <c r="K465" s="39"/>
      <c r="L465" s="39"/>
      <c r="M465" s="39"/>
      <c r="N465" s="39"/>
      <c r="O465" s="39"/>
      <c r="P465" s="39"/>
      <c r="Q465" s="39"/>
      <c r="R465" s="39"/>
      <c r="S465" s="39"/>
      <c r="T465" s="39"/>
      <c r="U465" s="39"/>
      <c r="V465" s="39"/>
      <c r="W465" s="39"/>
      <c r="X465" s="39"/>
      <c r="Y465" s="39"/>
      <c r="Z465" s="39"/>
      <c r="AA465" s="39"/>
      <c r="AB465" s="39"/>
      <c r="AC465" s="35">
        <f t="shared" si="242"/>
        <v>0</v>
      </c>
      <c r="AD465" s="40"/>
      <c r="AE465" s="40"/>
      <c r="AF465" s="40"/>
      <c r="AG465" s="40"/>
      <c r="AH465" s="40"/>
      <c r="AI465" s="40"/>
      <c r="AJ465" s="40"/>
      <c r="AK465" s="40"/>
      <c r="AL465" s="40"/>
      <c r="AM465" s="40"/>
      <c r="AN465" s="40"/>
      <c r="AO465" s="40"/>
      <c r="AP465" s="40"/>
      <c r="AQ465" s="40"/>
      <c r="AR465" s="40"/>
      <c r="AS465" s="40"/>
      <c r="AT465" s="41"/>
      <c r="AU465" s="1806"/>
      <c r="AV465" s="1517">
        <f t="shared" si="243"/>
        <v>0</v>
      </c>
      <c r="AW465" s="1517">
        <f t="shared" si="244"/>
        <v>0</v>
      </c>
      <c r="AX465" s="1517">
        <f t="shared" si="245"/>
        <v>0</v>
      </c>
      <c r="AY465" s="42">
        <f t="shared" si="246"/>
        <v>0</v>
      </c>
      <c r="AZ465" s="35">
        <f t="shared" si="247"/>
        <v>0</v>
      </c>
      <c r="BA465" s="35">
        <f t="shared" si="248"/>
        <v>0</v>
      </c>
      <c r="BB465" s="35">
        <f t="shared" si="249"/>
        <v>0</v>
      </c>
      <c r="BC465" s="35">
        <f t="shared" si="250"/>
        <v>0</v>
      </c>
      <c r="BD465" s="35">
        <f t="shared" si="251"/>
        <v>0</v>
      </c>
      <c r="BE465" s="35">
        <f t="shared" si="252"/>
        <v>0</v>
      </c>
      <c r="BF465" s="35">
        <f t="shared" si="253"/>
        <v>0</v>
      </c>
      <c r="BG465" s="35">
        <f t="shared" si="254"/>
        <v>0</v>
      </c>
      <c r="BH465" s="35">
        <f t="shared" si="255"/>
        <v>0</v>
      </c>
      <c r="BI465" s="35">
        <f t="shared" si="256"/>
        <v>0</v>
      </c>
      <c r="BJ465" s="35">
        <f t="shared" si="257"/>
        <v>0</v>
      </c>
      <c r="BK465" s="35">
        <f t="shared" si="258"/>
        <v>0</v>
      </c>
      <c r="BL465" s="35">
        <f t="shared" si="259"/>
        <v>0</v>
      </c>
      <c r="BM465" s="35">
        <f t="shared" si="260"/>
        <v>0</v>
      </c>
      <c r="BN465" s="35">
        <f t="shared" si="261"/>
        <v>0</v>
      </c>
      <c r="BO465" s="35">
        <f t="shared" si="262"/>
        <v>0</v>
      </c>
      <c r="BP465" s="35">
        <f t="shared" si="263"/>
        <v>0</v>
      </c>
      <c r="BQ465" s="35">
        <f t="shared" si="264"/>
        <v>0</v>
      </c>
      <c r="BR465" s="35">
        <f t="shared" si="265"/>
        <v>0</v>
      </c>
      <c r="BS465" s="35">
        <f t="shared" si="266"/>
        <v>0</v>
      </c>
      <c r="BT465" s="43">
        <f t="shared" si="267"/>
        <v>0</v>
      </c>
    </row>
    <row r="466" spans="1:72">
      <c r="A466" s="9"/>
      <c r="B466" s="34"/>
      <c r="C466" s="34"/>
      <c r="D466" s="1805"/>
      <c r="E466" s="35">
        <f t="shared" si="239"/>
        <v>0</v>
      </c>
      <c r="F466" s="36"/>
      <c r="G466" s="37">
        <f t="shared" si="240"/>
        <v>0</v>
      </c>
      <c r="H466" s="38">
        <f t="shared" si="241"/>
        <v>0</v>
      </c>
      <c r="I466" s="39"/>
      <c r="J466" s="39"/>
      <c r="K466" s="39"/>
      <c r="L466" s="39"/>
      <c r="M466" s="39"/>
      <c r="N466" s="39"/>
      <c r="O466" s="39"/>
      <c r="P466" s="39"/>
      <c r="Q466" s="39"/>
      <c r="R466" s="39"/>
      <c r="S466" s="39"/>
      <c r="T466" s="39"/>
      <c r="U466" s="39"/>
      <c r="V466" s="39"/>
      <c r="W466" s="39"/>
      <c r="X466" s="39"/>
      <c r="Y466" s="39"/>
      <c r="Z466" s="39"/>
      <c r="AA466" s="39"/>
      <c r="AB466" s="39"/>
      <c r="AC466" s="35">
        <f t="shared" si="242"/>
        <v>0</v>
      </c>
      <c r="AD466" s="40"/>
      <c r="AE466" s="40"/>
      <c r="AF466" s="40"/>
      <c r="AG466" s="40"/>
      <c r="AH466" s="40"/>
      <c r="AI466" s="40"/>
      <c r="AJ466" s="40"/>
      <c r="AK466" s="40"/>
      <c r="AL466" s="40"/>
      <c r="AM466" s="40"/>
      <c r="AN466" s="40"/>
      <c r="AO466" s="40"/>
      <c r="AP466" s="40"/>
      <c r="AQ466" s="40"/>
      <c r="AR466" s="40"/>
      <c r="AS466" s="40"/>
      <c r="AT466" s="41"/>
      <c r="AU466" s="1806"/>
      <c r="AV466" s="1517">
        <f t="shared" si="243"/>
        <v>0</v>
      </c>
      <c r="AW466" s="1517">
        <f t="shared" si="244"/>
        <v>0</v>
      </c>
      <c r="AX466" s="1517">
        <f t="shared" si="245"/>
        <v>0</v>
      </c>
      <c r="AY466" s="42">
        <f t="shared" si="246"/>
        <v>0</v>
      </c>
      <c r="AZ466" s="35">
        <f t="shared" si="247"/>
        <v>0</v>
      </c>
      <c r="BA466" s="35">
        <f t="shared" si="248"/>
        <v>0</v>
      </c>
      <c r="BB466" s="35">
        <f t="shared" si="249"/>
        <v>0</v>
      </c>
      <c r="BC466" s="35">
        <f t="shared" si="250"/>
        <v>0</v>
      </c>
      <c r="BD466" s="35">
        <f t="shared" si="251"/>
        <v>0</v>
      </c>
      <c r="BE466" s="35">
        <f t="shared" si="252"/>
        <v>0</v>
      </c>
      <c r="BF466" s="35">
        <f t="shared" si="253"/>
        <v>0</v>
      </c>
      <c r="BG466" s="35">
        <f t="shared" si="254"/>
        <v>0</v>
      </c>
      <c r="BH466" s="35">
        <f t="shared" si="255"/>
        <v>0</v>
      </c>
      <c r="BI466" s="35">
        <f t="shared" si="256"/>
        <v>0</v>
      </c>
      <c r="BJ466" s="35">
        <f t="shared" si="257"/>
        <v>0</v>
      </c>
      <c r="BK466" s="35">
        <f t="shared" si="258"/>
        <v>0</v>
      </c>
      <c r="BL466" s="35">
        <f t="shared" si="259"/>
        <v>0</v>
      </c>
      <c r="BM466" s="35">
        <f t="shared" si="260"/>
        <v>0</v>
      </c>
      <c r="BN466" s="35">
        <f t="shared" si="261"/>
        <v>0</v>
      </c>
      <c r="BO466" s="35">
        <f t="shared" si="262"/>
        <v>0</v>
      </c>
      <c r="BP466" s="35">
        <f t="shared" si="263"/>
        <v>0</v>
      </c>
      <c r="BQ466" s="35">
        <f t="shared" si="264"/>
        <v>0</v>
      </c>
      <c r="BR466" s="35">
        <f t="shared" si="265"/>
        <v>0</v>
      </c>
      <c r="BS466" s="35">
        <f t="shared" si="266"/>
        <v>0</v>
      </c>
      <c r="BT466" s="43">
        <f t="shared" si="267"/>
        <v>0</v>
      </c>
    </row>
    <row r="467" spans="1:72">
      <c r="A467" s="9"/>
      <c r="B467" s="34"/>
      <c r="C467" s="34"/>
      <c r="D467" s="1805"/>
      <c r="E467" s="35">
        <f t="shared" si="239"/>
        <v>0</v>
      </c>
      <c r="F467" s="36"/>
      <c r="G467" s="37">
        <f t="shared" si="240"/>
        <v>0</v>
      </c>
      <c r="H467" s="38">
        <f t="shared" si="241"/>
        <v>0</v>
      </c>
      <c r="I467" s="39"/>
      <c r="J467" s="39"/>
      <c r="K467" s="39"/>
      <c r="L467" s="39"/>
      <c r="M467" s="39"/>
      <c r="N467" s="39"/>
      <c r="O467" s="39"/>
      <c r="P467" s="39"/>
      <c r="Q467" s="39"/>
      <c r="R467" s="39"/>
      <c r="S467" s="39"/>
      <c r="T467" s="39"/>
      <c r="U467" s="39"/>
      <c r="V467" s="39"/>
      <c r="W467" s="39"/>
      <c r="X467" s="39"/>
      <c r="Y467" s="39"/>
      <c r="Z467" s="39"/>
      <c r="AA467" s="39"/>
      <c r="AB467" s="39"/>
      <c r="AC467" s="35">
        <f t="shared" si="242"/>
        <v>0</v>
      </c>
      <c r="AD467" s="40"/>
      <c r="AE467" s="40"/>
      <c r="AF467" s="40"/>
      <c r="AG467" s="40"/>
      <c r="AH467" s="40"/>
      <c r="AI467" s="40"/>
      <c r="AJ467" s="40"/>
      <c r="AK467" s="40"/>
      <c r="AL467" s="40"/>
      <c r="AM467" s="40"/>
      <c r="AN467" s="40"/>
      <c r="AO467" s="40"/>
      <c r="AP467" s="40"/>
      <c r="AQ467" s="40"/>
      <c r="AR467" s="40"/>
      <c r="AS467" s="40"/>
      <c r="AT467" s="41"/>
      <c r="AU467" s="1806"/>
      <c r="AV467" s="1517">
        <f t="shared" si="243"/>
        <v>0</v>
      </c>
      <c r="AW467" s="1517">
        <f t="shared" si="244"/>
        <v>0</v>
      </c>
      <c r="AX467" s="1517">
        <f t="shared" si="245"/>
        <v>0</v>
      </c>
      <c r="AY467" s="42">
        <f t="shared" si="246"/>
        <v>0</v>
      </c>
      <c r="AZ467" s="35">
        <f t="shared" si="247"/>
        <v>0</v>
      </c>
      <c r="BA467" s="35">
        <f t="shared" si="248"/>
        <v>0</v>
      </c>
      <c r="BB467" s="35">
        <f t="shared" si="249"/>
        <v>0</v>
      </c>
      <c r="BC467" s="35">
        <f t="shared" si="250"/>
        <v>0</v>
      </c>
      <c r="BD467" s="35">
        <f t="shared" si="251"/>
        <v>0</v>
      </c>
      <c r="BE467" s="35">
        <f t="shared" si="252"/>
        <v>0</v>
      </c>
      <c r="BF467" s="35">
        <f t="shared" si="253"/>
        <v>0</v>
      </c>
      <c r="BG467" s="35">
        <f t="shared" si="254"/>
        <v>0</v>
      </c>
      <c r="BH467" s="35">
        <f t="shared" si="255"/>
        <v>0</v>
      </c>
      <c r="BI467" s="35">
        <f t="shared" si="256"/>
        <v>0</v>
      </c>
      <c r="BJ467" s="35">
        <f t="shared" si="257"/>
        <v>0</v>
      </c>
      <c r="BK467" s="35">
        <f t="shared" si="258"/>
        <v>0</v>
      </c>
      <c r="BL467" s="35">
        <f t="shared" si="259"/>
        <v>0</v>
      </c>
      <c r="BM467" s="35">
        <f t="shared" si="260"/>
        <v>0</v>
      </c>
      <c r="BN467" s="35">
        <f t="shared" si="261"/>
        <v>0</v>
      </c>
      <c r="BO467" s="35">
        <f t="shared" si="262"/>
        <v>0</v>
      </c>
      <c r="BP467" s="35">
        <f t="shared" si="263"/>
        <v>0</v>
      </c>
      <c r="BQ467" s="35">
        <f t="shared" si="264"/>
        <v>0</v>
      </c>
      <c r="BR467" s="35">
        <f t="shared" si="265"/>
        <v>0</v>
      </c>
      <c r="BS467" s="35">
        <f t="shared" si="266"/>
        <v>0</v>
      </c>
      <c r="BT467" s="43">
        <f t="shared" si="267"/>
        <v>0</v>
      </c>
    </row>
    <row r="468" spans="1:72">
      <c r="A468" s="9"/>
      <c r="B468" s="34"/>
      <c r="C468" s="34"/>
      <c r="D468" s="1805"/>
      <c r="E468" s="35">
        <f t="shared" si="239"/>
        <v>0</v>
      </c>
      <c r="F468" s="36"/>
      <c r="G468" s="37">
        <f t="shared" si="240"/>
        <v>0</v>
      </c>
      <c r="H468" s="38">
        <f t="shared" si="241"/>
        <v>0</v>
      </c>
      <c r="I468" s="39"/>
      <c r="J468" s="39"/>
      <c r="K468" s="39"/>
      <c r="L468" s="39"/>
      <c r="M468" s="39"/>
      <c r="N468" s="39"/>
      <c r="O468" s="39"/>
      <c r="P468" s="39"/>
      <c r="Q468" s="39"/>
      <c r="R468" s="39"/>
      <c r="S468" s="39"/>
      <c r="T468" s="39"/>
      <c r="U468" s="39"/>
      <c r="V468" s="39"/>
      <c r="W468" s="39"/>
      <c r="X468" s="39"/>
      <c r="Y468" s="39"/>
      <c r="Z468" s="39"/>
      <c r="AA468" s="39"/>
      <c r="AB468" s="39"/>
      <c r="AC468" s="35">
        <f t="shared" si="242"/>
        <v>0</v>
      </c>
      <c r="AD468" s="40"/>
      <c r="AE468" s="40"/>
      <c r="AF468" s="40"/>
      <c r="AG468" s="40"/>
      <c r="AH468" s="40"/>
      <c r="AI468" s="40"/>
      <c r="AJ468" s="40"/>
      <c r="AK468" s="40"/>
      <c r="AL468" s="40"/>
      <c r="AM468" s="40"/>
      <c r="AN468" s="40"/>
      <c r="AO468" s="40"/>
      <c r="AP468" s="40"/>
      <c r="AQ468" s="40"/>
      <c r="AR468" s="40"/>
      <c r="AS468" s="40"/>
      <c r="AT468" s="41"/>
      <c r="AU468" s="1806"/>
      <c r="AV468" s="1517">
        <f t="shared" si="243"/>
        <v>0</v>
      </c>
      <c r="AW468" s="1517">
        <f t="shared" si="244"/>
        <v>0</v>
      </c>
      <c r="AX468" s="1517">
        <f t="shared" si="245"/>
        <v>0</v>
      </c>
      <c r="AY468" s="42">
        <f t="shared" si="246"/>
        <v>0</v>
      </c>
      <c r="AZ468" s="35">
        <f t="shared" si="247"/>
        <v>0</v>
      </c>
      <c r="BA468" s="35">
        <f t="shared" si="248"/>
        <v>0</v>
      </c>
      <c r="BB468" s="35">
        <f t="shared" si="249"/>
        <v>0</v>
      </c>
      <c r="BC468" s="35">
        <f t="shared" si="250"/>
        <v>0</v>
      </c>
      <c r="BD468" s="35">
        <f t="shared" si="251"/>
        <v>0</v>
      </c>
      <c r="BE468" s="35">
        <f t="shared" si="252"/>
        <v>0</v>
      </c>
      <c r="BF468" s="35">
        <f t="shared" si="253"/>
        <v>0</v>
      </c>
      <c r="BG468" s="35">
        <f t="shared" si="254"/>
        <v>0</v>
      </c>
      <c r="BH468" s="35">
        <f t="shared" si="255"/>
        <v>0</v>
      </c>
      <c r="BI468" s="35">
        <f t="shared" si="256"/>
        <v>0</v>
      </c>
      <c r="BJ468" s="35">
        <f t="shared" si="257"/>
        <v>0</v>
      </c>
      <c r="BK468" s="35">
        <f t="shared" si="258"/>
        <v>0</v>
      </c>
      <c r="BL468" s="35">
        <f t="shared" si="259"/>
        <v>0</v>
      </c>
      <c r="BM468" s="35">
        <f t="shared" si="260"/>
        <v>0</v>
      </c>
      <c r="BN468" s="35">
        <f t="shared" si="261"/>
        <v>0</v>
      </c>
      <c r="BO468" s="35">
        <f t="shared" si="262"/>
        <v>0</v>
      </c>
      <c r="BP468" s="35">
        <f t="shared" si="263"/>
        <v>0</v>
      </c>
      <c r="BQ468" s="35">
        <f t="shared" si="264"/>
        <v>0</v>
      </c>
      <c r="BR468" s="35">
        <f t="shared" si="265"/>
        <v>0</v>
      </c>
      <c r="BS468" s="35">
        <f t="shared" si="266"/>
        <v>0</v>
      </c>
      <c r="BT468" s="43">
        <f t="shared" si="267"/>
        <v>0</v>
      </c>
    </row>
    <row r="469" spans="1:72">
      <c r="A469" s="9"/>
      <c r="B469" s="34"/>
      <c r="C469" s="34"/>
      <c r="D469" s="1805"/>
      <c r="E469" s="35">
        <f t="shared" si="239"/>
        <v>0</v>
      </c>
      <c r="F469" s="36"/>
      <c r="G469" s="37">
        <f t="shared" si="240"/>
        <v>0</v>
      </c>
      <c r="H469" s="38">
        <f t="shared" si="241"/>
        <v>0</v>
      </c>
      <c r="I469" s="39"/>
      <c r="J469" s="39"/>
      <c r="K469" s="39"/>
      <c r="L469" s="39"/>
      <c r="M469" s="39"/>
      <c r="N469" s="39"/>
      <c r="O469" s="39"/>
      <c r="P469" s="39"/>
      <c r="Q469" s="39"/>
      <c r="R469" s="39"/>
      <c r="S469" s="39"/>
      <c r="T469" s="39"/>
      <c r="U469" s="39"/>
      <c r="V469" s="39"/>
      <c r="W469" s="39"/>
      <c r="X469" s="39"/>
      <c r="Y469" s="39"/>
      <c r="Z469" s="39"/>
      <c r="AA469" s="39"/>
      <c r="AB469" s="39"/>
      <c r="AC469" s="35">
        <f t="shared" si="242"/>
        <v>0</v>
      </c>
      <c r="AD469" s="40"/>
      <c r="AE469" s="40"/>
      <c r="AF469" s="40"/>
      <c r="AG469" s="40"/>
      <c r="AH469" s="40"/>
      <c r="AI469" s="40"/>
      <c r="AJ469" s="40"/>
      <c r="AK469" s="40"/>
      <c r="AL469" s="40"/>
      <c r="AM469" s="40"/>
      <c r="AN469" s="40"/>
      <c r="AO469" s="40"/>
      <c r="AP469" s="40"/>
      <c r="AQ469" s="40"/>
      <c r="AR469" s="40"/>
      <c r="AS469" s="40"/>
      <c r="AT469" s="41"/>
      <c r="AU469" s="1806"/>
      <c r="AV469" s="1517">
        <f t="shared" si="243"/>
        <v>0</v>
      </c>
      <c r="AW469" s="1517">
        <f t="shared" si="244"/>
        <v>0</v>
      </c>
      <c r="AX469" s="1517">
        <f t="shared" si="245"/>
        <v>0</v>
      </c>
      <c r="AY469" s="42">
        <f t="shared" si="246"/>
        <v>0</v>
      </c>
      <c r="AZ469" s="35">
        <f t="shared" si="247"/>
        <v>0</v>
      </c>
      <c r="BA469" s="35">
        <f t="shared" si="248"/>
        <v>0</v>
      </c>
      <c r="BB469" s="35">
        <f t="shared" si="249"/>
        <v>0</v>
      </c>
      <c r="BC469" s="35">
        <f t="shared" si="250"/>
        <v>0</v>
      </c>
      <c r="BD469" s="35">
        <f t="shared" si="251"/>
        <v>0</v>
      </c>
      <c r="BE469" s="35">
        <f t="shared" si="252"/>
        <v>0</v>
      </c>
      <c r="BF469" s="35">
        <f t="shared" si="253"/>
        <v>0</v>
      </c>
      <c r="BG469" s="35">
        <f t="shared" si="254"/>
        <v>0</v>
      </c>
      <c r="BH469" s="35">
        <f t="shared" si="255"/>
        <v>0</v>
      </c>
      <c r="BI469" s="35">
        <f t="shared" si="256"/>
        <v>0</v>
      </c>
      <c r="BJ469" s="35">
        <f t="shared" si="257"/>
        <v>0</v>
      </c>
      <c r="BK469" s="35">
        <f t="shared" si="258"/>
        <v>0</v>
      </c>
      <c r="BL469" s="35">
        <f t="shared" si="259"/>
        <v>0</v>
      </c>
      <c r="BM469" s="35">
        <f t="shared" si="260"/>
        <v>0</v>
      </c>
      <c r="BN469" s="35">
        <f t="shared" si="261"/>
        <v>0</v>
      </c>
      <c r="BO469" s="35">
        <f t="shared" si="262"/>
        <v>0</v>
      </c>
      <c r="BP469" s="35">
        <f t="shared" si="263"/>
        <v>0</v>
      </c>
      <c r="BQ469" s="35">
        <f t="shared" si="264"/>
        <v>0</v>
      </c>
      <c r="BR469" s="35">
        <f t="shared" si="265"/>
        <v>0</v>
      </c>
      <c r="BS469" s="35">
        <f t="shared" si="266"/>
        <v>0</v>
      </c>
      <c r="BT469" s="43">
        <f t="shared" si="267"/>
        <v>0</v>
      </c>
    </row>
    <row r="470" spans="1:72">
      <c r="A470" s="9"/>
      <c r="B470" s="34"/>
      <c r="C470" s="34"/>
      <c r="D470" s="1805"/>
      <c r="E470" s="35">
        <f t="shared" si="239"/>
        <v>0</v>
      </c>
      <c r="F470" s="36"/>
      <c r="G470" s="37">
        <f t="shared" si="240"/>
        <v>0</v>
      </c>
      <c r="H470" s="38">
        <f t="shared" si="241"/>
        <v>0</v>
      </c>
      <c r="I470" s="39"/>
      <c r="J470" s="39"/>
      <c r="K470" s="39"/>
      <c r="L470" s="39"/>
      <c r="M470" s="39"/>
      <c r="N470" s="39"/>
      <c r="O470" s="39"/>
      <c r="P470" s="39"/>
      <c r="Q470" s="39"/>
      <c r="R470" s="39"/>
      <c r="S470" s="39"/>
      <c r="T470" s="39"/>
      <c r="U470" s="39"/>
      <c r="V470" s="39"/>
      <c r="W470" s="39"/>
      <c r="X470" s="39"/>
      <c r="Y470" s="39"/>
      <c r="Z470" s="39"/>
      <c r="AA470" s="39"/>
      <c r="AB470" s="39"/>
      <c r="AC470" s="35">
        <f t="shared" si="242"/>
        <v>0</v>
      </c>
      <c r="AD470" s="40"/>
      <c r="AE470" s="40"/>
      <c r="AF470" s="40"/>
      <c r="AG470" s="40"/>
      <c r="AH470" s="40"/>
      <c r="AI470" s="40"/>
      <c r="AJ470" s="40"/>
      <c r="AK470" s="40"/>
      <c r="AL470" s="40"/>
      <c r="AM470" s="40"/>
      <c r="AN470" s="40"/>
      <c r="AO470" s="40"/>
      <c r="AP470" s="40"/>
      <c r="AQ470" s="40"/>
      <c r="AR470" s="40"/>
      <c r="AS470" s="40"/>
      <c r="AT470" s="41"/>
      <c r="AU470" s="1806"/>
      <c r="AV470" s="1517">
        <f t="shared" si="243"/>
        <v>0</v>
      </c>
      <c r="AW470" s="1517">
        <f t="shared" si="244"/>
        <v>0</v>
      </c>
      <c r="AX470" s="1517">
        <f t="shared" si="245"/>
        <v>0</v>
      </c>
      <c r="AY470" s="42">
        <f t="shared" si="246"/>
        <v>0</v>
      </c>
      <c r="AZ470" s="35">
        <f t="shared" si="247"/>
        <v>0</v>
      </c>
      <c r="BA470" s="35">
        <f t="shared" si="248"/>
        <v>0</v>
      </c>
      <c r="BB470" s="35">
        <f t="shared" si="249"/>
        <v>0</v>
      </c>
      <c r="BC470" s="35">
        <f t="shared" si="250"/>
        <v>0</v>
      </c>
      <c r="BD470" s="35">
        <f t="shared" si="251"/>
        <v>0</v>
      </c>
      <c r="BE470" s="35">
        <f t="shared" si="252"/>
        <v>0</v>
      </c>
      <c r="BF470" s="35">
        <f t="shared" si="253"/>
        <v>0</v>
      </c>
      <c r="BG470" s="35">
        <f t="shared" si="254"/>
        <v>0</v>
      </c>
      <c r="BH470" s="35">
        <f t="shared" si="255"/>
        <v>0</v>
      </c>
      <c r="BI470" s="35">
        <f t="shared" si="256"/>
        <v>0</v>
      </c>
      <c r="BJ470" s="35">
        <f t="shared" si="257"/>
        <v>0</v>
      </c>
      <c r="BK470" s="35">
        <f t="shared" si="258"/>
        <v>0</v>
      </c>
      <c r="BL470" s="35">
        <f t="shared" si="259"/>
        <v>0</v>
      </c>
      <c r="BM470" s="35">
        <f t="shared" si="260"/>
        <v>0</v>
      </c>
      <c r="BN470" s="35">
        <f t="shared" si="261"/>
        <v>0</v>
      </c>
      <c r="BO470" s="35">
        <f t="shared" si="262"/>
        <v>0</v>
      </c>
      <c r="BP470" s="35">
        <f t="shared" si="263"/>
        <v>0</v>
      </c>
      <c r="BQ470" s="35">
        <f t="shared" si="264"/>
        <v>0</v>
      </c>
      <c r="BR470" s="35">
        <f t="shared" si="265"/>
        <v>0</v>
      </c>
      <c r="BS470" s="35">
        <f t="shared" si="266"/>
        <v>0</v>
      </c>
      <c r="BT470" s="43">
        <f t="shared" si="267"/>
        <v>0</v>
      </c>
    </row>
    <row r="471" spans="1:72">
      <c r="A471" s="9"/>
      <c r="B471" s="34"/>
      <c r="C471" s="34"/>
      <c r="D471" s="1805"/>
      <c r="E471" s="35">
        <f t="shared" si="239"/>
        <v>0</v>
      </c>
      <c r="F471" s="36"/>
      <c r="G471" s="37">
        <f t="shared" si="240"/>
        <v>0</v>
      </c>
      <c r="H471" s="38">
        <f t="shared" si="241"/>
        <v>0</v>
      </c>
      <c r="I471" s="39"/>
      <c r="J471" s="39"/>
      <c r="K471" s="39"/>
      <c r="L471" s="39"/>
      <c r="M471" s="39"/>
      <c r="N471" s="39"/>
      <c r="O471" s="39"/>
      <c r="P471" s="39"/>
      <c r="Q471" s="39"/>
      <c r="R471" s="39"/>
      <c r="S471" s="39"/>
      <c r="T471" s="39"/>
      <c r="U471" s="39"/>
      <c r="V471" s="39"/>
      <c r="W471" s="39"/>
      <c r="X471" s="39"/>
      <c r="Y471" s="39"/>
      <c r="Z471" s="39"/>
      <c r="AA471" s="39"/>
      <c r="AB471" s="39"/>
      <c r="AC471" s="35">
        <f t="shared" si="242"/>
        <v>0</v>
      </c>
      <c r="AD471" s="40"/>
      <c r="AE471" s="40"/>
      <c r="AF471" s="40"/>
      <c r="AG471" s="40"/>
      <c r="AH471" s="40"/>
      <c r="AI471" s="40"/>
      <c r="AJ471" s="40"/>
      <c r="AK471" s="40"/>
      <c r="AL471" s="40"/>
      <c r="AM471" s="40"/>
      <c r="AN471" s="40"/>
      <c r="AO471" s="40"/>
      <c r="AP471" s="40"/>
      <c r="AQ471" s="40"/>
      <c r="AR471" s="40"/>
      <c r="AS471" s="40"/>
      <c r="AT471" s="41"/>
      <c r="AU471" s="1806"/>
      <c r="AV471" s="1517">
        <f t="shared" si="243"/>
        <v>0</v>
      </c>
      <c r="AW471" s="1517">
        <f t="shared" si="244"/>
        <v>0</v>
      </c>
      <c r="AX471" s="1517">
        <f t="shared" si="245"/>
        <v>0</v>
      </c>
      <c r="AY471" s="42">
        <f t="shared" si="246"/>
        <v>0</v>
      </c>
      <c r="AZ471" s="35">
        <f t="shared" si="247"/>
        <v>0</v>
      </c>
      <c r="BA471" s="35">
        <f t="shared" si="248"/>
        <v>0</v>
      </c>
      <c r="BB471" s="35">
        <f t="shared" si="249"/>
        <v>0</v>
      </c>
      <c r="BC471" s="35">
        <f t="shared" si="250"/>
        <v>0</v>
      </c>
      <c r="BD471" s="35">
        <f t="shared" si="251"/>
        <v>0</v>
      </c>
      <c r="BE471" s="35">
        <f t="shared" si="252"/>
        <v>0</v>
      </c>
      <c r="BF471" s="35">
        <f t="shared" si="253"/>
        <v>0</v>
      </c>
      <c r="BG471" s="35">
        <f t="shared" si="254"/>
        <v>0</v>
      </c>
      <c r="BH471" s="35">
        <f t="shared" si="255"/>
        <v>0</v>
      </c>
      <c r="BI471" s="35">
        <f t="shared" si="256"/>
        <v>0</v>
      </c>
      <c r="BJ471" s="35">
        <f t="shared" si="257"/>
        <v>0</v>
      </c>
      <c r="BK471" s="35">
        <f t="shared" si="258"/>
        <v>0</v>
      </c>
      <c r="BL471" s="35">
        <f t="shared" si="259"/>
        <v>0</v>
      </c>
      <c r="BM471" s="35">
        <f t="shared" si="260"/>
        <v>0</v>
      </c>
      <c r="BN471" s="35">
        <f t="shared" si="261"/>
        <v>0</v>
      </c>
      <c r="BO471" s="35">
        <f t="shared" si="262"/>
        <v>0</v>
      </c>
      <c r="BP471" s="35">
        <f t="shared" si="263"/>
        <v>0</v>
      </c>
      <c r="BQ471" s="35">
        <f t="shared" si="264"/>
        <v>0</v>
      </c>
      <c r="BR471" s="35">
        <f t="shared" si="265"/>
        <v>0</v>
      </c>
      <c r="BS471" s="35">
        <f t="shared" si="266"/>
        <v>0</v>
      </c>
      <c r="BT471" s="43">
        <f t="shared" si="267"/>
        <v>0</v>
      </c>
    </row>
    <row r="472" spans="1:72">
      <c r="A472" s="9"/>
      <c r="B472" s="34"/>
      <c r="C472" s="34"/>
      <c r="D472" s="1805"/>
      <c r="E472" s="35">
        <f t="shared" si="239"/>
        <v>0</v>
      </c>
      <c r="F472" s="36"/>
      <c r="G472" s="37">
        <f t="shared" si="240"/>
        <v>0</v>
      </c>
      <c r="H472" s="38">
        <f t="shared" si="241"/>
        <v>0</v>
      </c>
      <c r="I472" s="39"/>
      <c r="J472" s="39"/>
      <c r="K472" s="39"/>
      <c r="L472" s="39"/>
      <c r="M472" s="39"/>
      <c r="N472" s="39"/>
      <c r="O472" s="39"/>
      <c r="P472" s="39"/>
      <c r="Q472" s="39"/>
      <c r="R472" s="39"/>
      <c r="S472" s="39"/>
      <c r="T472" s="39"/>
      <c r="U472" s="39"/>
      <c r="V472" s="39"/>
      <c r="W472" s="39"/>
      <c r="X472" s="39"/>
      <c r="Y472" s="39"/>
      <c r="Z472" s="39"/>
      <c r="AA472" s="39"/>
      <c r="AB472" s="39"/>
      <c r="AC472" s="35">
        <f t="shared" si="242"/>
        <v>0</v>
      </c>
      <c r="AD472" s="40"/>
      <c r="AE472" s="40"/>
      <c r="AF472" s="40"/>
      <c r="AG472" s="40"/>
      <c r="AH472" s="40"/>
      <c r="AI472" s="40"/>
      <c r="AJ472" s="40"/>
      <c r="AK472" s="40"/>
      <c r="AL472" s="40"/>
      <c r="AM472" s="40"/>
      <c r="AN472" s="40"/>
      <c r="AO472" s="40"/>
      <c r="AP472" s="40"/>
      <c r="AQ472" s="40"/>
      <c r="AR472" s="40"/>
      <c r="AS472" s="40"/>
      <c r="AT472" s="41"/>
      <c r="AU472" s="1806"/>
      <c r="AV472" s="1517">
        <f t="shared" si="243"/>
        <v>0</v>
      </c>
      <c r="AW472" s="1517">
        <f t="shared" si="244"/>
        <v>0</v>
      </c>
      <c r="AX472" s="1517">
        <f t="shared" si="245"/>
        <v>0</v>
      </c>
      <c r="AY472" s="42">
        <f t="shared" si="246"/>
        <v>0</v>
      </c>
      <c r="AZ472" s="35">
        <f t="shared" si="247"/>
        <v>0</v>
      </c>
      <c r="BA472" s="35">
        <f t="shared" si="248"/>
        <v>0</v>
      </c>
      <c r="BB472" s="35">
        <f t="shared" si="249"/>
        <v>0</v>
      </c>
      <c r="BC472" s="35">
        <f t="shared" si="250"/>
        <v>0</v>
      </c>
      <c r="BD472" s="35">
        <f t="shared" si="251"/>
        <v>0</v>
      </c>
      <c r="BE472" s="35">
        <f t="shared" si="252"/>
        <v>0</v>
      </c>
      <c r="BF472" s="35">
        <f t="shared" si="253"/>
        <v>0</v>
      </c>
      <c r="BG472" s="35">
        <f t="shared" si="254"/>
        <v>0</v>
      </c>
      <c r="BH472" s="35">
        <f t="shared" si="255"/>
        <v>0</v>
      </c>
      <c r="BI472" s="35">
        <f t="shared" si="256"/>
        <v>0</v>
      </c>
      <c r="BJ472" s="35">
        <f t="shared" si="257"/>
        <v>0</v>
      </c>
      <c r="BK472" s="35">
        <f t="shared" si="258"/>
        <v>0</v>
      </c>
      <c r="BL472" s="35">
        <f t="shared" si="259"/>
        <v>0</v>
      </c>
      <c r="BM472" s="35">
        <f t="shared" si="260"/>
        <v>0</v>
      </c>
      <c r="BN472" s="35">
        <f t="shared" si="261"/>
        <v>0</v>
      </c>
      <c r="BO472" s="35">
        <f t="shared" si="262"/>
        <v>0</v>
      </c>
      <c r="BP472" s="35">
        <f t="shared" si="263"/>
        <v>0</v>
      </c>
      <c r="BQ472" s="35">
        <f t="shared" si="264"/>
        <v>0</v>
      </c>
      <c r="BR472" s="35">
        <f t="shared" si="265"/>
        <v>0</v>
      </c>
      <c r="BS472" s="35">
        <f t="shared" si="266"/>
        <v>0</v>
      </c>
      <c r="BT472" s="43">
        <f t="shared" si="267"/>
        <v>0</v>
      </c>
    </row>
    <row r="473" spans="1:72">
      <c r="A473" s="9"/>
      <c r="B473" s="34"/>
      <c r="C473" s="34"/>
      <c r="D473" s="1805"/>
      <c r="E473" s="35">
        <f t="shared" si="239"/>
        <v>0</v>
      </c>
      <c r="F473" s="36"/>
      <c r="G473" s="37">
        <f t="shared" si="240"/>
        <v>0</v>
      </c>
      <c r="H473" s="38">
        <f t="shared" si="241"/>
        <v>0</v>
      </c>
      <c r="I473" s="39"/>
      <c r="J473" s="39"/>
      <c r="K473" s="39"/>
      <c r="L473" s="39"/>
      <c r="M473" s="39"/>
      <c r="N473" s="39"/>
      <c r="O473" s="39"/>
      <c r="P473" s="39"/>
      <c r="Q473" s="39"/>
      <c r="R473" s="39"/>
      <c r="S473" s="39"/>
      <c r="T473" s="39"/>
      <c r="U473" s="39"/>
      <c r="V473" s="39"/>
      <c r="W473" s="39"/>
      <c r="X473" s="39"/>
      <c r="Y473" s="39"/>
      <c r="Z473" s="39"/>
      <c r="AA473" s="39"/>
      <c r="AB473" s="39"/>
      <c r="AC473" s="35">
        <f t="shared" si="242"/>
        <v>0</v>
      </c>
      <c r="AD473" s="40"/>
      <c r="AE473" s="40"/>
      <c r="AF473" s="40"/>
      <c r="AG473" s="40"/>
      <c r="AH473" s="40"/>
      <c r="AI473" s="40"/>
      <c r="AJ473" s="40"/>
      <c r="AK473" s="40"/>
      <c r="AL473" s="40"/>
      <c r="AM473" s="40"/>
      <c r="AN473" s="40"/>
      <c r="AO473" s="40"/>
      <c r="AP473" s="40"/>
      <c r="AQ473" s="40"/>
      <c r="AR473" s="40"/>
      <c r="AS473" s="40"/>
      <c r="AT473" s="41"/>
      <c r="AU473" s="1806"/>
      <c r="AV473" s="1517">
        <f t="shared" si="243"/>
        <v>0</v>
      </c>
      <c r="AW473" s="1517">
        <f t="shared" si="244"/>
        <v>0</v>
      </c>
      <c r="AX473" s="1517">
        <f t="shared" si="245"/>
        <v>0</v>
      </c>
      <c r="AY473" s="42">
        <f t="shared" si="246"/>
        <v>0</v>
      </c>
      <c r="AZ473" s="35">
        <f t="shared" si="247"/>
        <v>0</v>
      </c>
      <c r="BA473" s="35">
        <f t="shared" si="248"/>
        <v>0</v>
      </c>
      <c r="BB473" s="35">
        <f t="shared" si="249"/>
        <v>0</v>
      </c>
      <c r="BC473" s="35">
        <f t="shared" si="250"/>
        <v>0</v>
      </c>
      <c r="BD473" s="35">
        <f t="shared" si="251"/>
        <v>0</v>
      </c>
      <c r="BE473" s="35">
        <f t="shared" si="252"/>
        <v>0</v>
      </c>
      <c r="BF473" s="35">
        <f t="shared" si="253"/>
        <v>0</v>
      </c>
      <c r="BG473" s="35">
        <f t="shared" si="254"/>
        <v>0</v>
      </c>
      <c r="BH473" s="35">
        <f t="shared" si="255"/>
        <v>0</v>
      </c>
      <c r="BI473" s="35">
        <f t="shared" si="256"/>
        <v>0</v>
      </c>
      <c r="BJ473" s="35">
        <f t="shared" si="257"/>
        <v>0</v>
      </c>
      <c r="BK473" s="35">
        <f t="shared" si="258"/>
        <v>0</v>
      </c>
      <c r="BL473" s="35">
        <f t="shared" si="259"/>
        <v>0</v>
      </c>
      <c r="BM473" s="35">
        <f t="shared" si="260"/>
        <v>0</v>
      </c>
      <c r="BN473" s="35">
        <f t="shared" si="261"/>
        <v>0</v>
      </c>
      <c r="BO473" s="35">
        <f t="shared" si="262"/>
        <v>0</v>
      </c>
      <c r="BP473" s="35">
        <f t="shared" si="263"/>
        <v>0</v>
      </c>
      <c r="BQ473" s="35">
        <f t="shared" si="264"/>
        <v>0</v>
      </c>
      <c r="BR473" s="35">
        <f t="shared" si="265"/>
        <v>0</v>
      </c>
      <c r="BS473" s="35">
        <f t="shared" si="266"/>
        <v>0</v>
      </c>
      <c r="BT473" s="43">
        <f t="shared" si="267"/>
        <v>0</v>
      </c>
    </row>
    <row r="474" spans="1:72">
      <c r="A474" s="9"/>
      <c r="B474" s="34"/>
      <c r="C474" s="34"/>
      <c r="D474" s="1805"/>
      <c r="E474" s="35">
        <f t="shared" si="239"/>
        <v>0</v>
      </c>
      <c r="F474" s="36"/>
      <c r="G474" s="37">
        <f t="shared" si="240"/>
        <v>0</v>
      </c>
      <c r="H474" s="38">
        <f t="shared" si="241"/>
        <v>0</v>
      </c>
      <c r="I474" s="39"/>
      <c r="J474" s="39"/>
      <c r="K474" s="39"/>
      <c r="L474" s="39"/>
      <c r="M474" s="39"/>
      <c r="N474" s="39"/>
      <c r="O474" s="39"/>
      <c r="P474" s="39"/>
      <c r="Q474" s="39"/>
      <c r="R474" s="39"/>
      <c r="S474" s="39"/>
      <c r="T474" s="39"/>
      <c r="U474" s="39"/>
      <c r="V474" s="39"/>
      <c r="W474" s="39"/>
      <c r="X474" s="39"/>
      <c r="Y474" s="39"/>
      <c r="Z474" s="39"/>
      <c r="AA474" s="39"/>
      <c r="AB474" s="39"/>
      <c r="AC474" s="35">
        <f t="shared" si="242"/>
        <v>0</v>
      </c>
      <c r="AD474" s="40"/>
      <c r="AE474" s="40"/>
      <c r="AF474" s="40"/>
      <c r="AG474" s="40"/>
      <c r="AH474" s="40"/>
      <c r="AI474" s="40"/>
      <c r="AJ474" s="40"/>
      <c r="AK474" s="40"/>
      <c r="AL474" s="40"/>
      <c r="AM474" s="40"/>
      <c r="AN474" s="40"/>
      <c r="AO474" s="40"/>
      <c r="AP474" s="40"/>
      <c r="AQ474" s="40"/>
      <c r="AR474" s="40"/>
      <c r="AS474" s="40"/>
      <c r="AT474" s="41"/>
      <c r="AU474" s="1806"/>
      <c r="AV474" s="1517">
        <f t="shared" si="243"/>
        <v>0</v>
      </c>
      <c r="AW474" s="1517">
        <f t="shared" si="244"/>
        <v>0</v>
      </c>
      <c r="AX474" s="1517">
        <f t="shared" si="245"/>
        <v>0</v>
      </c>
      <c r="AY474" s="42">
        <f t="shared" si="246"/>
        <v>0</v>
      </c>
      <c r="AZ474" s="35">
        <f t="shared" si="247"/>
        <v>0</v>
      </c>
      <c r="BA474" s="35">
        <f t="shared" si="248"/>
        <v>0</v>
      </c>
      <c r="BB474" s="35">
        <f t="shared" si="249"/>
        <v>0</v>
      </c>
      <c r="BC474" s="35">
        <f t="shared" si="250"/>
        <v>0</v>
      </c>
      <c r="BD474" s="35">
        <f t="shared" si="251"/>
        <v>0</v>
      </c>
      <c r="BE474" s="35">
        <f t="shared" si="252"/>
        <v>0</v>
      </c>
      <c r="BF474" s="35">
        <f t="shared" si="253"/>
        <v>0</v>
      </c>
      <c r="BG474" s="35">
        <f t="shared" si="254"/>
        <v>0</v>
      </c>
      <c r="BH474" s="35">
        <f t="shared" si="255"/>
        <v>0</v>
      </c>
      <c r="BI474" s="35">
        <f t="shared" si="256"/>
        <v>0</v>
      </c>
      <c r="BJ474" s="35">
        <f t="shared" si="257"/>
        <v>0</v>
      </c>
      <c r="BK474" s="35">
        <f t="shared" si="258"/>
        <v>0</v>
      </c>
      <c r="BL474" s="35">
        <f t="shared" si="259"/>
        <v>0</v>
      </c>
      <c r="BM474" s="35">
        <f t="shared" si="260"/>
        <v>0</v>
      </c>
      <c r="BN474" s="35">
        <f t="shared" si="261"/>
        <v>0</v>
      </c>
      <c r="BO474" s="35">
        <f t="shared" si="262"/>
        <v>0</v>
      </c>
      <c r="BP474" s="35">
        <f t="shared" si="263"/>
        <v>0</v>
      </c>
      <c r="BQ474" s="35">
        <f t="shared" si="264"/>
        <v>0</v>
      </c>
      <c r="BR474" s="35">
        <f t="shared" si="265"/>
        <v>0</v>
      </c>
      <c r="BS474" s="35">
        <f t="shared" si="266"/>
        <v>0</v>
      </c>
      <c r="BT474" s="43">
        <f t="shared" si="267"/>
        <v>0</v>
      </c>
    </row>
    <row r="475" spans="1:72">
      <c r="A475" s="9"/>
      <c r="B475" s="34"/>
      <c r="C475" s="34"/>
      <c r="D475" s="1805"/>
      <c r="E475" s="35">
        <f t="shared" si="239"/>
        <v>0</v>
      </c>
      <c r="F475" s="36"/>
      <c r="G475" s="37">
        <f t="shared" si="240"/>
        <v>0</v>
      </c>
      <c r="H475" s="38">
        <f t="shared" si="241"/>
        <v>0</v>
      </c>
      <c r="I475" s="39"/>
      <c r="J475" s="39"/>
      <c r="K475" s="39"/>
      <c r="L475" s="39"/>
      <c r="M475" s="39"/>
      <c r="N475" s="39"/>
      <c r="O475" s="39"/>
      <c r="P475" s="39"/>
      <c r="Q475" s="39"/>
      <c r="R475" s="39"/>
      <c r="S475" s="39"/>
      <c r="T475" s="39"/>
      <c r="U475" s="39"/>
      <c r="V475" s="39"/>
      <c r="W475" s="39"/>
      <c r="X475" s="39"/>
      <c r="Y475" s="39"/>
      <c r="Z475" s="39"/>
      <c r="AA475" s="39"/>
      <c r="AB475" s="39"/>
      <c r="AC475" s="35">
        <f t="shared" si="242"/>
        <v>0</v>
      </c>
      <c r="AD475" s="40"/>
      <c r="AE475" s="40"/>
      <c r="AF475" s="40"/>
      <c r="AG475" s="40"/>
      <c r="AH475" s="40"/>
      <c r="AI475" s="40"/>
      <c r="AJ475" s="40"/>
      <c r="AK475" s="40"/>
      <c r="AL475" s="40"/>
      <c r="AM475" s="40"/>
      <c r="AN475" s="40"/>
      <c r="AO475" s="40"/>
      <c r="AP475" s="40"/>
      <c r="AQ475" s="40"/>
      <c r="AR475" s="40"/>
      <c r="AS475" s="40"/>
      <c r="AT475" s="41"/>
      <c r="AU475" s="1806"/>
      <c r="AV475" s="1517">
        <f t="shared" si="243"/>
        <v>0</v>
      </c>
      <c r="AW475" s="1517">
        <f t="shared" si="244"/>
        <v>0</v>
      </c>
      <c r="AX475" s="1517">
        <f t="shared" si="245"/>
        <v>0</v>
      </c>
      <c r="AY475" s="42">
        <f t="shared" si="246"/>
        <v>0</v>
      </c>
      <c r="AZ475" s="35">
        <f t="shared" si="247"/>
        <v>0</v>
      </c>
      <c r="BA475" s="35">
        <f t="shared" si="248"/>
        <v>0</v>
      </c>
      <c r="BB475" s="35">
        <f t="shared" si="249"/>
        <v>0</v>
      </c>
      <c r="BC475" s="35">
        <f t="shared" si="250"/>
        <v>0</v>
      </c>
      <c r="BD475" s="35">
        <f t="shared" si="251"/>
        <v>0</v>
      </c>
      <c r="BE475" s="35">
        <f t="shared" si="252"/>
        <v>0</v>
      </c>
      <c r="BF475" s="35">
        <f t="shared" si="253"/>
        <v>0</v>
      </c>
      <c r="BG475" s="35">
        <f t="shared" si="254"/>
        <v>0</v>
      </c>
      <c r="BH475" s="35">
        <f t="shared" si="255"/>
        <v>0</v>
      </c>
      <c r="BI475" s="35">
        <f t="shared" si="256"/>
        <v>0</v>
      </c>
      <c r="BJ475" s="35">
        <f t="shared" si="257"/>
        <v>0</v>
      </c>
      <c r="BK475" s="35">
        <f t="shared" si="258"/>
        <v>0</v>
      </c>
      <c r="BL475" s="35">
        <f t="shared" si="259"/>
        <v>0</v>
      </c>
      <c r="BM475" s="35">
        <f t="shared" si="260"/>
        <v>0</v>
      </c>
      <c r="BN475" s="35">
        <f t="shared" si="261"/>
        <v>0</v>
      </c>
      <c r="BO475" s="35">
        <f t="shared" si="262"/>
        <v>0</v>
      </c>
      <c r="BP475" s="35">
        <f t="shared" si="263"/>
        <v>0</v>
      </c>
      <c r="BQ475" s="35">
        <f t="shared" si="264"/>
        <v>0</v>
      </c>
      <c r="BR475" s="35">
        <f t="shared" si="265"/>
        <v>0</v>
      </c>
      <c r="BS475" s="35">
        <f t="shared" si="266"/>
        <v>0</v>
      </c>
      <c r="BT475" s="43">
        <f t="shared" si="267"/>
        <v>0</v>
      </c>
    </row>
    <row r="476" spans="1:72">
      <c r="A476" s="9"/>
      <c r="B476" s="34"/>
      <c r="C476" s="34"/>
      <c r="D476" s="1805"/>
      <c r="E476" s="35">
        <f t="shared" si="239"/>
        <v>0</v>
      </c>
      <c r="F476" s="36"/>
      <c r="G476" s="37">
        <f t="shared" si="240"/>
        <v>0</v>
      </c>
      <c r="H476" s="38">
        <f t="shared" si="241"/>
        <v>0</v>
      </c>
      <c r="I476" s="39"/>
      <c r="J476" s="39"/>
      <c r="K476" s="39"/>
      <c r="L476" s="39"/>
      <c r="M476" s="39"/>
      <c r="N476" s="39"/>
      <c r="O476" s="39"/>
      <c r="P476" s="39"/>
      <c r="Q476" s="39"/>
      <c r="R476" s="39"/>
      <c r="S476" s="39"/>
      <c r="T476" s="39"/>
      <c r="U476" s="39"/>
      <c r="V476" s="39"/>
      <c r="W476" s="39"/>
      <c r="X476" s="39"/>
      <c r="Y476" s="39"/>
      <c r="Z476" s="39"/>
      <c r="AA476" s="39"/>
      <c r="AB476" s="39"/>
      <c r="AC476" s="35">
        <f t="shared" si="242"/>
        <v>0</v>
      </c>
      <c r="AD476" s="40"/>
      <c r="AE476" s="40"/>
      <c r="AF476" s="40"/>
      <c r="AG476" s="40"/>
      <c r="AH476" s="40"/>
      <c r="AI476" s="40"/>
      <c r="AJ476" s="40"/>
      <c r="AK476" s="40"/>
      <c r="AL476" s="40"/>
      <c r="AM476" s="40"/>
      <c r="AN476" s="40"/>
      <c r="AO476" s="40"/>
      <c r="AP476" s="40"/>
      <c r="AQ476" s="40"/>
      <c r="AR476" s="40"/>
      <c r="AS476" s="40"/>
      <c r="AT476" s="41"/>
      <c r="AU476" s="1806"/>
      <c r="AV476" s="1517">
        <f t="shared" si="243"/>
        <v>0</v>
      </c>
      <c r="AW476" s="1517">
        <f t="shared" si="244"/>
        <v>0</v>
      </c>
      <c r="AX476" s="1517">
        <f t="shared" si="245"/>
        <v>0</v>
      </c>
      <c r="AY476" s="42">
        <f t="shared" si="246"/>
        <v>0</v>
      </c>
      <c r="AZ476" s="35">
        <f t="shared" si="247"/>
        <v>0</v>
      </c>
      <c r="BA476" s="35">
        <f t="shared" si="248"/>
        <v>0</v>
      </c>
      <c r="BB476" s="35">
        <f t="shared" si="249"/>
        <v>0</v>
      </c>
      <c r="BC476" s="35">
        <f t="shared" si="250"/>
        <v>0</v>
      </c>
      <c r="BD476" s="35">
        <f t="shared" si="251"/>
        <v>0</v>
      </c>
      <c r="BE476" s="35">
        <f t="shared" si="252"/>
        <v>0</v>
      </c>
      <c r="BF476" s="35">
        <f t="shared" si="253"/>
        <v>0</v>
      </c>
      <c r="BG476" s="35">
        <f t="shared" si="254"/>
        <v>0</v>
      </c>
      <c r="BH476" s="35">
        <f t="shared" si="255"/>
        <v>0</v>
      </c>
      <c r="BI476" s="35">
        <f t="shared" si="256"/>
        <v>0</v>
      </c>
      <c r="BJ476" s="35">
        <f t="shared" si="257"/>
        <v>0</v>
      </c>
      <c r="BK476" s="35">
        <f t="shared" si="258"/>
        <v>0</v>
      </c>
      <c r="BL476" s="35">
        <f t="shared" si="259"/>
        <v>0</v>
      </c>
      <c r="BM476" s="35">
        <f t="shared" si="260"/>
        <v>0</v>
      </c>
      <c r="BN476" s="35">
        <f t="shared" si="261"/>
        <v>0</v>
      </c>
      <c r="BO476" s="35">
        <f t="shared" si="262"/>
        <v>0</v>
      </c>
      <c r="BP476" s="35">
        <f t="shared" si="263"/>
        <v>0</v>
      </c>
      <c r="BQ476" s="35">
        <f t="shared" si="264"/>
        <v>0</v>
      </c>
      <c r="BR476" s="35">
        <f t="shared" si="265"/>
        <v>0</v>
      </c>
      <c r="BS476" s="35">
        <f t="shared" si="266"/>
        <v>0</v>
      </c>
      <c r="BT476" s="43">
        <f t="shared" si="267"/>
        <v>0</v>
      </c>
    </row>
    <row r="477" spans="1:72">
      <c r="A477" s="9"/>
      <c r="B477" s="34"/>
      <c r="C477" s="34"/>
      <c r="D477" s="1805"/>
      <c r="E477" s="35">
        <f t="shared" si="239"/>
        <v>0</v>
      </c>
      <c r="F477" s="36"/>
      <c r="G477" s="37">
        <f t="shared" si="240"/>
        <v>0</v>
      </c>
      <c r="H477" s="38">
        <f t="shared" si="241"/>
        <v>0</v>
      </c>
      <c r="I477" s="39"/>
      <c r="J477" s="39"/>
      <c r="K477" s="39"/>
      <c r="L477" s="39"/>
      <c r="M477" s="39"/>
      <c r="N477" s="39"/>
      <c r="O477" s="39"/>
      <c r="P477" s="39"/>
      <c r="Q477" s="39"/>
      <c r="R477" s="39"/>
      <c r="S477" s="39"/>
      <c r="T477" s="39"/>
      <c r="U477" s="39"/>
      <c r="V477" s="39"/>
      <c r="W477" s="39"/>
      <c r="X477" s="39"/>
      <c r="Y477" s="39"/>
      <c r="Z477" s="39"/>
      <c r="AA477" s="39"/>
      <c r="AB477" s="39"/>
      <c r="AC477" s="35">
        <f t="shared" si="242"/>
        <v>0</v>
      </c>
      <c r="AD477" s="40"/>
      <c r="AE477" s="40"/>
      <c r="AF477" s="40"/>
      <c r="AG477" s="40"/>
      <c r="AH477" s="40"/>
      <c r="AI477" s="40"/>
      <c r="AJ477" s="40"/>
      <c r="AK477" s="40"/>
      <c r="AL477" s="40"/>
      <c r="AM477" s="40"/>
      <c r="AN477" s="40"/>
      <c r="AO477" s="40"/>
      <c r="AP477" s="40"/>
      <c r="AQ477" s="40"/>
      <c r="AR477" s="40"/>
      <c r="AS477" s="40"/>
      <c r="AT477" s="41"/>
      <c r="AU477" s="1806"/>
      <c r="AV477" s="1517">
        <f t="shared" si="243"/>
        <v>0</v>
      </c>
      <c r="AW477" s="1517">
        <f t="shared" si="244"/>
        <v>0</v>
      </c>
      <c r="AX477" s="1517">
        <f t="shared" si="245"/>
        <v>0</v>
      </c>
      <c r="AY477" s="42">
        <f t="shared" si="246"/>
        <v>0</v>
      </c>
      <c r="AZ477" s="35">
        <f t="shared" si="247"/>
        <v>0</v>
      </c>
      <c r="BA477" s="35">
        <f t="shared" si="248"/>
        <v>0</v>
      </c>
      <c r="BB477" s="35">
        <f t="shared" si="249"/>
        <v>0</v>
      </c>
      <c r="BC477" s="35">
        <f t="shared" si="250"/>
        <v>0</v>
      </c>
      <c r="BD477" s="35">
        <f t="shared" si="251"/>
        <v>0</v>
      </c>
      <c r="BE477" s="35">
        <f t="shared" si="252"/>
        <v>0</v>
      </c>
      <c r="BF477" s="35">
        <f t="shared" si="253"/>
        <v>0</v>
      </c>
      <c r="BG477" s="35">
        <f t="shared" si="254"/>
        <v>0</v>
      </c>
      <c r="BH477" s="35">
        <f t="shared" si="255"/>
        <v>0</v>
      </c>
      <c r="BI477" s="35">
        <f t="shared" si="256"/>
        <v>0</v>
      </c>
      <c r="BJ477" s="35">
        <f t="shared" si="257"/>
        <v>0</v>
      </c>
      <c r="BK477" s="35">
        <f t="shared" si="258"/>
        <v>0</v>
      </c>
      <c r="BL477" s="35">
        <f t="shared" si="259"/>
        <v>0</v>
      </c>
      <c r="BM477" s="35">
        <f t="shared" si="260"/>
        <v>0</v>
      </c>
      <c r="BN477" s="35">
        <f t="shared" si="261"/>
        <v>0</v>
      </c>
      <c r="BO477" s="35">
        <f t="shared" si="262"/>
        <v>0</v>
      </c>
      <c r="BP477" s="35">
        <f t="shared" si="263"/>
        <v>0</v>
      </c>
      <c r="BQ477" s="35">
        <f t="shared" si="264"/>
        <v>0</v>
      </c>
      <c r="BR477" s="35">
        <f t="shared" si="265"/>
        <v>0</v>
      </c>
      <c r="BS477" s="35">
        <f t="shared" si="266"/>
        <v>0</v>
      </c>
      <c r="BT477" s="43">
        <f t="shared" si="267"/>
        <v>0</v>
      </c>
    </row>
    <row r="478" spans="1:72">
      <c r="A478" s="9"/>
      <c r="B478" s="34"/>
      <c r="C478" s="34"/>
      <c r="D478" s="1805"/>
      <c r="E478" s="35">
        <f t="shared" si="239"/>
        <v>0</v>
      </c>
      <c r="F478" s="36"/>
      <c r="G478" s="37">
        <f t="shared" si="240"/>
        <v>0</v>
      </c>
      <c r="H478" s="38">
        <f t="shared" si="241"/>
        <v>0</v>
      </c>
      <c r="I478" s="39"/>
      <c r="J478" s="39"/>
      <c r="K478" s="39"/>
      <c r="L478" s="39"/>
      <c r="M478" s="39"/>
      <c r="N478" s="39"/>
      <c r="O478" s="39"/>
      <c r="P478" s="39"/>
      <c r="Q478" s="39"/>
      <c r="R478" s="39"/>
      <c r="S478" s="39"/>
      <c r="T478" s="39"/>
      <c r="U478" s="39"/>
      <c r="V478" s="39"/>
      <c r="W478" s="39"/>
      <c r="X478" s="39"/>
      <c r="Y478" s="39"/>
      <c r="Z478" s="39"/>
      <c r="AA478" s="39"/>
      <c r="AB478" s="39"/>
      <c r="AC478" s="35">
        <f t="shared" si="242"/>
        <v>0</v>
      </c>
      <c r="AD478" s="40"/>
      <c r="AE478" s="40"/>
      <c r="AF478" s="40"/>
      <c r="AG478" s="40"/>
      <c r="AH478" s="40"/>
      <c r="AI478" s="40"/>
      <c r="AJ478" s="40"/>
      <c r="AK478" s="40"/>
      <c r="AL478" s="40"/>
      <c r="AM478" s="40"/>
      <c r="AN478" s="40"/>
      <c r="AO478" s="40"/>
      <c r="AP478" s="40"/>
      <c r="AQ478" s="40"/>
      <c r="AR478" s="40"/>
      <c r="AS478" s="40"/>
      <c r="AT478" s="41"/>
      <c r="AU478" s="1806"/>
      <c r="AV478" s="1517">
        <f t="shared" si="243"/>
        <v>0</v>
      </c>
      <c r="AW478" s="1517">
        <f t="shared" si="244"/>
        <v>0</v>
      </c>
      <c r="AX478" s="1517">
        <f t="shared" si="245"/>
        <v>0</v>
      </c>
      <c r="AY478" s="42">
        <f t="shared" si="246"/>
        <v>0</v>
      </c>
      <c r="AZ478" s="35">
        <f t="shared" si="247"/>
        <v>0</v>
      </c>
      <c r="BA478" s="35">
        <f t="shared" si="248"/>
        <v>0</v>
      </c>
      <c r="BB478" s="35">
        <f t="shared" si="249"/>
        <v>0</v>
      </c>
      <c r="BC478" s="35">
        <f t="shared" si="250"/>
        <v>0</v>
      </c>
      <c r="BD478" s="35">
        <f t="shared" si="251"/>
        <v>0</v>
      </c>
      <c r="BE478" s="35">
        <f t="shared" si="252"/>
        <v>0</v>
      </c>
      <c r="BF478" s="35">
        <f t="shared" si="253"/>
        <v>0</v>
      </c>
      <c r="BG478" s="35">
        <f t="shared" si="254"/>
        <v>0</v>
      </c>
      <c r="BH478" s="35">
        <f t="shared" si="255"/>
        <v>0</v>
      </c>
      <c r="BI478" s="35">
        <f t="shared" si="256"/>
        <v>0</v>
      </c>
      <c r="BJ478" s="35">
        <f t="shared" si="257"/>
        <v>0</v>
      </c>
      <c r="BK478" s="35">
        <f t="shared" si="258"/>
        <v>0</v>
      </c>
      <c r="BL478" s="35">
        <f t="shared" si="259"/>
        <v>0</v>
      </c>
      <c r="BM478" s="35">
        <f t="shared" si="260"/>
        <v>0</v>
      </c>
      <c r="BN478" s="35">
        <f t="shared" si="261"/>
        <v>0</v>
      </c>
      <c r="BO478" s="35">
        <f t="shared" si="262"/>
        <v>0</v>
      </c>
      <c r="BP478" s="35">
        <f t="shared" si="263"/>
        <v>0</v>
      </c>
      <c r="BQ478" s="35">
        <f t="shared" si="264"/>
        <v>0</v>
      </c>
      <c r="BR478" s="35">
        <f t="shared" si="265"/>
        <v>0</v>
      </c>
      <c r="BS478" s="35">
        <f t="shared" si="266"/>
        <v>0</v>
      </c>
      <c r="BT478" s="43">
        <f t="shared" si="267"/>
        <v>0</v>
      </c>
    </row>
    <row r="479" spans="1:72">
      <c r="A479" s="9"/>
      <c r="B479" s="34"/>
      <c r="C479" s="34"/>
      <c r="D479" s="1805"/>
      <c r="E479" s="35">
        <f t="shared" si="239"/>
        <v>0</v>
      </c>
      <c r="F479" s="36"/>
      <c r="G479" s="37">
        <f t="shared" si="240"/>
        <v>0</v>
      </c>
      <c r="H479" s="38">
        <f t="shared" si="241"/>
        <v>0</v>
      </c>
      <c r="I479" s="39"/>
      <c r="J479" s="39"/>
      <c r="K479" s="39"/>
      <c r="L479" s="39"/>
      <c r="M479" s="39"/>
      <c r="N479" s="39"/>
      <c r="O479" s="39"/>
      <c r="P479" s="39"/>
      <c r="Q479" s="39"/>
      <c r="R479" s="39"/>
      <c r="S479" s="39"/>
      <c r="T479" s="39"/>
      <c r="U479" s="39"/>
      <c r="V479" s="39"/>
      <c r="W479" s="39"/>
      <c r="X479" s="39"/>
      <c r="Y479" s="39"/>
      <c r="Z479" s="39"/>
      <c r="AA479" s="39"/>
      <c r="AB479" s="39"/>
      <c r="AC479" s="35">
        <f t="shared" si="242"/>
        <v>0</v>
      </c>
      <c r="AD479" s="40"/>
      <c r="AE479" s="40"/>
      <c r="AF479" s="40"/>
      <c r="AG479" s="40"/>
      <c r="AH479" s="40"/>
      <c r="AI479" s="40"/>
      <c r="AJ479" s="40"/>
      <c r="AK479" s="40"/>
      <c r="AL479" s="40"/>
      <c r="AM479" s="40"/>
      <c r="AN479" s="40"/>
      <c r="AO479" s="40"/>
      <c r="AP479" s="40"/>
      <c r="AQ479" s="40"/>
      <c r="AR479" s="40"/>
      <c r="AS479" s="40"/>
      <c r="AT479" s="41"/>
      <c r="AU479" s="1806"/>
      <c r="AV479" s="1517">
        <f t="shared" si="243"/>
        <v>0</v>
      </c>
      <c r="AW479" s="1517">
        <f t="shared" si="244"/>
        <v>0</v>
      </c>
      <c r="AX479" s="1517">
        <f t="shared" si="245"/>
        <v>0</v>
      </c>
      <c r="AY479" s="42">
        <f t="shared" si="246"/>
        <v>0</v>
      </c>
      <c r="AZ479" s="35">
        <f t="shared" si="247"/>
        <v>0</v>
      </c>
      <c r="BA479" s="35">
        <f t="shared" si="248"/>
        <v>0</v>
      </c>
      <c r="BB479" s="35">
        <f t="shared" si="249"/>
        <v>0</v>
      </c>
      <c r="BC479" s="35">
        <f t="shared" si="250"/>
        <v>0</v>
      </c>
      <c r="BD479" s="35">
        <f t="shared" si="251"/>
        <v>0</v>
      </c>
      <c r="BE479" s="35">
        <f t="shared" si="252"/>
        <v>0</v>
      </c>
      <c r="BF479" s="35">
        <f t="shared" si="253"/>
        <v>0</v>
      </c>
      <c r="BG479" s="35">
        <f t="shared" si="254"/>
        <v>0</v>
      </c>
      <c r="BH479" s="35">
        <f t="shared" si="255"/>
        <v>0</v>
      </c>
      <c r="BI479" s="35">
        <f t="shared" si="256"/>
        <v>0</v>
      </c>
      <c r="BJ479" s="35">
        <f t="shared" si="257"/>
        <v>0</v>
      </c>
      <c r="BK479" s="35">
        <f t="shared" si="258"/>
        <v>0</v>
      </c>
      <c r="BL479" s="35">
        <f t="shared" si="259"/>
        <v>0</v>
      </c>
      <c r="BM479" s="35">
        <f t="shared" si="260"/>
        <v>0</v>
      </c>
      <c r="BN479" s="35">
        <f t="shared" si="261"/>
        <v>0</v>
      </c>
      <c r="BO479" s="35">
        <f t="shared" si="262"/>
        <v>0</v>
      </c>
      <c r="BP479" s="35">
        <f t="shared" si="263"/>
        <v>0</v>
      </c>
      <c r="BQ479" s="35">
        <f t="shared" si="264"/>
        <v>0</v>
      </c>
      <c r="BR479" s="35">
        <f t="shared" si="265"/>
        <v>0</v>
      </c>
      <c r="BS479" s="35">
        <f t="shared" si="266"/>
        <v>0</v>
      </c>
      <c r="BT479" s="43">
        <f t="shared" si="267"/>
        <v>0</v>
      </c>
    </row>
    <row r="480" spans="1:72">
      <c r="A480" s="9"/>
      <c r="B480" s="34"/>
      <c r="C480" s="34"/>
      <c r="D480" s="1805"/>
      <c r="E480" s="35">
        <f t="shared" si="239"/>
        <v>0</v>
      </c>
      <c r="F480" s="36"/>
      <c r="G480" s="37">
        <f t="shared" si="240"/>
        <v>0</v>
      </c>
      <c r="H480" s="38">
        <f t="shared" si="241"/>
        <v>0</v>
      </c>
      <c r="I480" s="39"/>
      <c r="J480" s="39"/>
      <c r="K480" s="39"/>
      <c r="L480" s="39"/>
      <c r="M480" s="39"/>
      <c r="N480" s="39"/>
      <c r="O480" s="39"/>
      <c r="P480" s="39"/>
      <c r="Q480" s="39"/>
      <c r="R480" s="39"/>
      <c r="S480" s="39"/>
      <c r="T480" s="39"/>
      <c r="U480" s="39"/>
      <c r="V480" s="39"/>
      <c r="W480" s="39"/>
      <c r="X480" s="39"/>
      <c r="Y480" s="39"/>
      <c r="Z480" s="39"/>
      <c r="AA480" s="39"/>
      <c r="AB480" s="39"/>
      <c r="AC480" s="35">
        <f t="shared" si="242"/>
        <v>0</v>
      </c>
      <c r="AD480" s="40"/>
      <c r="AE480" s="40"/>
      <c r="AF480" s="40"/>
      <c r="AG480" s="40"/>
      <c r="AH480" s="40"/>
      <c r="AI480" s="40"/>
      <c r="AJ480" s="40"/>
      <c r="AK480" s="40"/>
      <c r="AL480" s="40"/>
      <c r="AM480" s="40"/>
      <c r="AN480" s="40"/>
      <c r="AO480" s="40"/>
      <c r="AP480" s="40"/>
      <c r="AQ480" s="40"/>
      <c r="AR480" s="40"/>
      <c r="AS480" s="40"/>
      <c r="AT480" s="41"/>
      <c r="AU480" s="1806"/>
      <c r="AV480" s="1517">
        <f t="shared" si="243"/>
        <v>0</v>
      </c>
      <c r="AW480" s="1517">
        <f t="shared" si="244"/>
        <v>0</v>
      </c>
      <c r="AX480" s="1517">
        <f t="shared" si="245"/>
        <v>0</v>
      </c>
      <c r="AY480" s="42">
        <f t="shared" si="246"/>
        <v>0</v>
      </c>
      <c r="AZ480" s="35">
        <f t="shared" si="247"/>
        <v>0</v>
      </c>
      <c r="BA480" s="35">
        <f t="shared" si="248"/>
        <v>0</v>
      </c>
      <c r="BB480" s="35">
        <f t="shared" si="249"/>
        <v>0</v>
      </c>
      <c r="BC480" s="35">
        <f t="shared" si="250"/>
        <v>0</v>
      </c>
      <c r="BD480" s="35">
        <f t="shared" si="251"/>
        <v>0</v>
      </c>
      <c r="BE480" s="35">
        <f t="shared" si="252"/>
        <v>0</v>
      </c>
      <c r="BF480" s="35">
        <f t="shared" si="253"/>
        <v>0</v>
      </c>
      <c r="BG480" s="35">
        <f t="shared" si="254"/>
        <v>0</v>
      </c>
      <c r="BH480" s="35">
        <f t="shared" si="255"/>
        <v>0</v>
      </c>
      <c r="BI480" s="35">
        <f t="shared" si="256"/>
        <v>0</v>
      </c>
      <c r="BJ480" s="35">
        <f t="shared" si="257"/>
        <v>0</v>
      </c>
      <c r="BK480" s="35">
        <f t="shared" si="258"/>
        <v>0</v>
      </c>
      <c r="BL480" s="35">
        <f t="shared" si="259"/>
        <v>0</v>
      </c>
      <c r="BM480" s="35">
        <f t="shared" si="260"/>
        <v>0</v>
      </c>
      <c r="BN480" s="35">
        <f t="shared" si="261"/>
        <v>0</v>
      </c>
      <c r="BO480" s="35">
        <f t="shared" si="262"/>
        <v>0</v>
      </c>
      <c r="BP480" s="35">
        <f t="shared" si="263"/>
        <v>0</v>
      </c>
      <c r="BQ480" s="35">
        <f t="shared" si="264"/>
        <v>0</v>
      </c>
      <c r="BR480" s="35">
        <f t="shared" si="265"/>
        <v>0</v>
      </c>
      <c r="BS480" s="35">
        <f t="shared" si="266"/>
        <v>0</v>
      </c>
      <c r="BT480" s="43">
        <f t="shared" si="267"/>
        <v>0</v>
      </c>
    </row>
    <row r="481" spans="1:72">
      <c r="A481" s="9"/>
      <c r="B481" s="34"/>
      <c r="C481" s="34"/>
      <c r="D481" s="1805"/>
      <c r="E481" s="35">
        <f t="shared" si="239"/>
        <v>0</v>
      </c>
      <c r="F481" s="36"/>
      <c r="G481" s="37">
        <f t="shared" si="240"/>
        <v>0</v>
      </c>
      <c r="H481" s="38">
        <f t="shared" si="241"/>
        <v>0</v>
      </c>
      <c r="I481" s="39"/>
      <c r="J481" s="39"/>
      <c r="K481" s="39"/>
      <c r="L481" s="39"/>
      <c r="M481" s="39"/>
      <c r="N481" s="39"/>
      <c r="O481" s="39"/>
      <c r="P481" s="39"/>
      <c r="Q481" s="39"/>
      <c r="R481" s="39"/>
      <c r="S481" s="39"/>
      <c r="T481" s="39"/>
      <c r="U481" s="39"/>
      <c r="V481" s="39"/>
      <c r="W481" s="39"/>
      <c r="X481" s="39"/>
      <c r="Y481" s="39"/>
      <c r="Z481" s="39"/>
      <c r="AA481" s="39"/>
      <c r="AB481" s="39"/>
      <c r="AC481" s="35">
        <f t="shared" si="242"/>
        <v>0</v>
      </c>
      <c r="AD481" s="40"/>
      <c r="AE481" s="40"/>
      <c r="AF481" s="40"/>
      <c r="AG481" s="40"/>
      <c r="AH481" s="40"/>
      <c r="AI481" s="40"/>
      <c r="AJ481" s="40"/>
      <c r="AK481" s="40"/>
      <c r="AL481" s="40"/>
      <c r="AM481" s="40"/>
      <c r="AN481" s="40"/>
      <c r="AO481" s="40"/>
      <c r="AP481" s="40"/>
      <c r="AQ481" s="40"/>
      <c r="AR481" s="40"/>
      <c r="AS481" s="40"/>
      <c r="AT481" s="41"/>
      <c r="AU481" s="1806"/>
      <c r="AV481" s="1517">
        <f t="shared" si="243"/>
        <v>0</v>
      </c>
      <c r="AW481" s="1517">
        <f t="shared" si="244"/>
        <v>0</v>
      </c>
      <c r="AX481" s="1517">
        <f t="shared" si="245"/>
        <v>0</v>
      </c>
      <c r="AY481" s="42">
        <f t="shared" si="246"/>
        <v>0</v>
      </c>
      <c r="AZ481" s="35">
        <f t="shared" si="247"/>
        <v>0</v>
      </c>
      <c r="BA481" s="35">
        <f t="shared" si="248"/>
        <v>0</v>
      </c>
      <c r="BB481" s="35">
        <f t="shared" si="249"/>
        <v>0</v>
      </c>
      <c r="BC481" s="35">
        <f t="shared" si="250"/>
        <v>0</v>
      </c>
      <c r="BD481" s="35">
        <f t="shared" si="251"/>
        <v>0</v>
      </c>
      <c r="BE481" s="35">
        <f t="shared" si="252"/>
        <v>0</v>
      </c>
      <c r="BF481" s="35">
        <f t="shared" si="253"/>
        <v>0</v>
      </c>
      <c r="BG481" s="35">
        <f t="shared" si="254"/>
        <v>0</v>
      </c>
      <c r="BH481" s="35">
        <f t="shared" si="255"/>
        <v>0</v>
      </c>
      <c r="BI481" s="35">
        <f t="shared" si="256"/>
        <v>0</v>
      </c>
      <c r="BJ481" s="35">
        <f t="shared" si="257"/>
        <v>0</v>
      </c>
      <c r="BK481" s="35">
        <f t="shared" si="258"/>
        <v>0</v>
      </c>
      <c r="BL481" s="35">
        <f t="shared" si="259"/>
        <v>0</v>
      </c>
      <c r="BM481" s="35">
        <f t="shared" si="260"/>
        <v>0</v>
      </c>
      <c r="BN481" s="35">
        <f t="shared" si="261"/>
        <v>0</v>
      </c>
      <c r="BO481" s="35">
        <f t="shared" si="262"/>
        <v>0</v>
      </c>
      <c r="BP481" s="35">
        <f t="shared" si="263"/>
        <v>0</v>
      </c>
      <c r="BQ481" s="35">
        <f t="shared" si="264"/>
        <v>0</v>
      </c>
      <c r="BR481" s="35">
        <f t="shared" si="265"/>
        <v>0</v>
      </c>
      <c r="BS481" s="35">
        <f t="shared" si="266"/>
        <v>0</v>
      </c>
      <c r="BT481" s="43">
        <f t="shared" si="267"/>
        <v>0</v>
      </c>
    </row>
    <row r="482" spans="1:72">
      <c r="A482" s="9"/>
      <c r="B482" s="34"/>
      <c r="C482" s="34"/>
      <c r="D482" s="1805"/>
      <c r="E482" s="35">
        <f t="shared" si="239"/>
        <v>0</v>
      </c>
      <c r="F482" s="36"/>
      <c r="G482" s="37">
        <f t="shared" si="240"/>
        <v>0</v>
      </c>
      <c r="H482" s="38">
        <f t="shared" si="241"/>
        <v>0</v>
      </c>
      <c r="I482" s="39"/>
      <c r="J482" s="39"/>
      <c r="K482" s="39"/>
      <c r="L482" s="39"/>
      <c r="M482" s="39"/>
      <c r="N482" s="39"/>
      <c r="O482" s="39"/>
      <c r="P482" s="39"/>
      <c r="Q482" s="39"/>
      <c r="R482" s="39"/>
      <c r="S482" s="39"/>
      <c r="T482" s="39"/>
      <c r="U482" s="39"/>
      <c r="V482" s="39"/>
      <c r="W482" s="39"/>
      <c r="X482" s="39"/>
      <c r="Y482" s="39"/>
      <c r="Z482" s="39"/>
      <c r="AA482" s="39"/>
      <c r="AB482" s="39"/>
      <c r="AC482" s="35">
        <f t="shared" si="242"/>
        <v>0</v>
      </c>
      <c r="AD482" s="40"/>
      <c r="AE482" s="40"/>
      <c r="AF482" s="40"/>
      <c r="AG482" s="40"/>
      <c r="AH482" s="40"/>
      <c r="AI482" s="40"/>
      <c r="AJ482" s="40"/>
      <c r="AK482" s="40"/>
      <c r="AL482" s="40"/>
      <c r="AM482" s="40"/>
      <c r="AN482" s="40"/>
      <c r="AO482" s="40"/>
      <c r="AP482" s="40"/>
      <c r="AQ482" s="40"/>
      <c r="AR482" s="40"/>
      <c r="AS482" s="40"/>
      <c r="AT482" s="41"/>
      <c r="AU482" s="1806"/>
      <c r="AV482" s="1517">
        <f t="shared" si="243"/>
        <v>0</v>
      </c>
      <c r="AW482" s="1517">
        <f t="shared" si="244"/>
        <v>0</v>
      </c>
      <c r="AX482" s="1517">
        <f t="shared" si="245"/>
        <v>0</v>
      </c>
      <c r="AY482" s="42">
        <f t="shared" si="246"/>
        <v>0</v>
      </c>
      <c r="AZ482" s="35">
        <f t="shared" si="247"/>
        <v>0</v>
      </c>
      <c r="BA482" s="35">
        <f t="shared" si="248"/>
        <v>0</v>
      </c>
      <c r="BB482" s="35">
        <f t="shared" si="249"/>
        <v>0</v>
      </c>
      <c r="BC482" s="35">
        <f t="shared" si="250"/>
        <v>0</v>
      </c>
      <c r="BD482" s="35">
        <f t="shared" si="251"/>
        <v>0</v>
      </c>
      <c r="BE482" s="35">
        <f t="shared" si="252"/>
        <v>0</v>
      </c>
      <c r="BF482" s="35">
        <f t="shared" si="253"/>
        <v>0</v>
      </c>
      <c r="BG482" s="35">
        <f t="shared" si="254"/>
        <v>0</v>
      </c>
      <c r="BH482" s="35">
        <f t="shared" si="255"/>
        <v>0</v>
      </c>
      <c r="BI482" s="35">
        <f t="shared" si="256"/>
        <v>0</v>
      </c>
      <c r="BJ482" s="35">
        <f t="shared" si="257"/>
        <v>0</v>
      </c>
      <c r="BK482" s="35">
        <f t="shared" si="258"/>
        <v>0</v>
      </c>
      <c r="BL482" s="35">
        <f t="shared" si="259"/>
        <v>0</v>
      </c>
      <c r="BM482" s="35">
        <f t="shared" si="260"/>
        <v>0</v>
      </c>
      <c r="BN482" s="35">
        <f t="shared" si="261"/>
        <v>0</v>
      </c>
      <c r="BO482" s="35">
        <f t="shared" si="262"/>
        <v>0</v>
      </c>
      <c r="BP482" s="35">
        <f t="shared" si="263"/>
        <v>0</v>
      </c>
      <c r="BQ482" s="35">
        <f t="shared" si="264"/>
        <v>0</v>
      </c>
      <c r="BR482" s="35">
        <f t="shared" si="265"/>
        <v>0</v>
      </c>
      <c r="BS482" s="35">
        <f t="shared" si="266"/>
        <v>0</v>
      </c>
      <c r="BT482" s="43">
        <f t="shared" si="267"/>
        <v>0</v>
      </c>
    </row>
    <row r="483" spans="1:72">
      <c r="A483" s="9"/>
      <c r="B483" s="34"/>
      <c r="C483" s="34"/>
      <c r="D483" s="1805"/>
      <c r="E483" s="35">
        <f t="shared" si="239"/>
        <v>0</v>
      </c>
      <c r="F483" s="36"/>
      <c r="G483" s="37">
        <f t="shared" si="240"/>
        <v>0</v>
      </c>
      <c r="H483" s="38">
        <f t="shared" si="241"/>
        <v>0</v>
      </c>
      <c r="I483" s="39"/>
      <c r="J483" s="39"/>
      <c r="K483" s="39"/>
      <c r="L483" s="39"/>
      <c r="M483" s="39"/>
      <c r="N483" s="39"/>
      <c r="O483" s="39"/>
      <c r="P483" s="39"/>
      <c r="Q483" s="39"/>
      <c r="R483" s="39"/>
      <c r="S483" s="39"/>
      <c r="T483" s="39"/>
      <c r="U483" s="39"/>
      <c r="V483" s="39"/>
      <c r="W483" s="39"/>
      <c r="X483" s="39"/>
      <c r="Y483" s="39"/>
      <c r="Z483" s="39"/>
      <c r="AA483" s="39"/>
      <c r="AB483" s="39"/>
      <c r="AC483" s="35">
        <f t="shared" si="242"/>
        <v>0</v>
      </c>
      <c r="AD483" s="40"/>
      <c r="AE483" s="40"/>
      <c r="AF483" s="40"/>
      <c r="AG483" s="40"/>
      <c r="AH483" s="40"/>
      <c r="AI483" s="40"/>
      <c r="AJ483" s="40"/>
      <c r="AK483" s="40"/>
      <c r="AL483" s="40"/>
      <c r="AM483" s="40"/>
      <c r="AN483" s="40"/>
      <c r="AO483" s="40"/>
      <c r="AP483" s="40"/>
      <c r="AQ483" s="40"/>
      <c r="AR483" s="40"/>
      <c r="AS483" s="40"/>
      <c r="AT483" s="41"/>
      <c r="AU483" s="1806"/>
      <c r="AV483" s="1517">
        <f t="shared" si="243"/>
        <v>0</v>
      </c>
      <c r="AW483" s="1517">
        <f t="shared" si="244"/>
        <v>0</v>
      </c>
      <c r="AX483" s="1517">
        <f t="shared" si="245"/>
        <v>0</v>
      </c>
      <c r="AY483" s="42">
        <f t="shared" si="246"/>
        <v>0</v>
      </c>
      <c r="AZ483" s="35">
        <f t="shared" si="247"/>
        <v>0</v>
      </c>
      <c r="BA483" s="35">
        <f t="shared" si="248"/>
        <v>0</v>
      </c>
      <c r="BB483" s="35">
        <f t="shared" si="249"/>
        <v>0</v>
      </c>
      <c r="BC483" s="35">
        <f t="shared" si="250"/>
        <v>0</v>
      </c>
      <c r="BD483" s="35">
        <f t="shared" si="251"/>
        <v>0</v>
      </c>
      <c r="BE483" s="35">
        <f t="shared" si="252"/>
        <v>0</v>
      </c>
      <c r="BF483" s="35">
        <f t="shared" si="253"/>
        <v>0</v>
      </c>
      <c r="BG483" s="35">
        <f t="shared" si="254"/>
        <v>0</v>
      </c>
      <c r="BH483" s="35">
        <f t="shared" si="255"/>
        <v>0</v>
      </c>
      <c r="BI483" s="35">
        <f t="shared" si="256"/>
        <v>0</v>
      </c>
      <c r="BJ483" s="35">
        <f t="shared" si="257"/>
        <v>0</v>
      </c>
      <c r="BK483" s="35">
        <f t="shared" si="258"/>
        <v>0</v>
      </c>
      <c r="BL483" s="35">
        <f t="shared" si="259"/>
        <v>0</v>
      </c>
      <c r="BM483" s="35">
        <f t="shared" si="260"/>
        <v>0</v>
      </c>
      <c r="BN483" s="35">
        <f t="shared" si="261"/>
        <v>0</v>
      </c>
      <c r="BO483" s="35">
        <f t="shared" si="262"/>
        <v>0</v>
      </c>
      <c r="BP483" s="35">
        <f t="shared" si="263"/>
        <v>0</v>
      </c>
      <c r="BQ483" s="35">
        <f t="shared" si="264"/>
        <v>0</v>
      </c>
      <c r="BR483" s="35">
        <f t="shared" si="265"/>
        <v>0</v>
      </c>
      <c r="BS483" s="35">
        <f t="shared" si="266"/>
        <v>0</v>
      </c>
      <c r="BT483" s="43">
        <f t="shared" si="267"/>
        <v>0</v>
      </c>
    </row>
    <row r="484" spans="1:72">
      <c r="A484" s="9"/>
      <c r="B484" s="34"/>
      <c r="C484" s="34"/>
      <c r="D484" s="1805"/>
      <c r="E484" s="35">
        <f t="shared" si="239"/>
        <v>0</v>
      </c>
      <c r="F484" s="36"/>
      <c r="G484" s="37">
        <f t="shared" si="240"/>
        <v>0</v>
      </c>
      <c r="H484" s="38">
        <f t="shared" si="241"/>
        <v>0</v>
      </c>
      <c r="I484" s="39"/>
      <c r="J484" s="39"/>
      <c r="K484" s="39"/>
      <c r="L484" s="39"/>
      <c r="M484" s="39"/>
      <c r="N484" s="39"/>
      <c r="O484" s="39"/>
      <c r="P484" s="39"/>
      <c r="Q484" s="39"/>
      <c r="R484" s="39"/>
      <c r="S484" s="39"/>
      <c r="T484" s="39"/>
      <c r="U484" s="39"/>
      <c r="V484" s="39"/>
      <c r="W484" s="39"/>
      <c r="X484" s="39"/>
      <c r="Y484" s="39"/>
      <c r="Z484" s="39"/>
      <c r="AA484" s="39"/>
      <c r="AB484" s="39"/>
      <c r="AC484" s="35">
        <f t="shared" si="242"/>
        <v>0</v>
      </c>
      <c r="AD484" s="40"/>
      <c r="AE484" s="40"/>
      <c r="AF484" s="40"/>
      <c r="AG484" s="40"/>
      <c r="AH484" s="40"/>
      <c r="AI484" s="40"/>
      <c r="AJ484" s="40"/>
      <c r="AK484" s="40"/>
      <c r="AL484" s="40"/>
      <c r="AM484" s="40"/>
      <c r="AN484" s="40"/>
      <c r="AO484" s="40"/>
      <c r="AP484" s="40"/>
      <c r="AQ484" s="40"/>
      <c r="AR484" s="40"/>
      <c r="AS484" s="40"/>
      <c r="AT484" s="41"/>
      <c r="AU484" s="1806"/>
      <c r="AV484" s="1517">
        <f t="shared" si="243"/>
        <v>0</v>
      </c>
      <c r="AW484" s="1517">
        <f t="shared" si="244"/>
        <v>0</v>
      </c>
      <c r="AX484" s="1517">
        <f t="shared" si="245"/>
        <v>0</v>
      </c>
      <c r="AY484" s="42">
        <f t="shared" si="246"/>
        <v>0</v>
      </c>
      <c r="AZ484" s="35">
        <f t="shared" si="247"/>
        <v>0</v>
      </c>
      <c r="BA484" s="35">
        <f t="shared" si="248"/>
        <v>0</v>
      </c>
      <c r="BB484" s="35">
        <f t="shared" si="249"/>
        <v>0</v>
      </c>
      <c r="BC484" s="35">
        <f t="shared" si="250"/>
        <v>0</v>
      </c>
      <c r="BD484" s="35">
        <f t="shared" si="251"/>
        <v>0</v>
      </c>
      <c r="BE484" s="35">
        <f t="shared" si="252"/>
        <v>0</v>
      </c>
      <c r="BF484" s="35">
        <f t="shared" si="253"/>
        <v>0</v>
      </c>
      <c r="BG484" s="35">
        <f t="shared" si="254"/>
        <v>0</v>
      </c>
      <c r="BH484" s="35">
        <f t="shared" si="255"/>
        <v>0</v>
      </c>
      <c r="BI484" s="35">
        <f t="shared" si="256"/>
        <v>0</v>
      </c>
      <c r="BJ484" s="35">
        <f t="shared" si="257"/>
        <v>0</v>
      </c>
      <c r="BK484" s="35">
        <f t="shared" si="258"/>
        <v>0</v>
      </c>
      <c r="BL484" s="35">
        <f t="shared" si="259"/>
        <v>0</v>
      </c>
      <c r="BM484" s="35">
        <f t="shared" si="260"/>
        <v>0</v>
      </c>
      <c r="BN484" s="35">
        <f t="shared" si="261"/>
        <v>0</v>
      </c>
      <c r="BO484" s="35">
        <f t="shared" si="262"/>
        <v>0</v>
      </c>
      <c r="BP484" s="35">
        <f t="shared" si="263"/>
        <v>0</v>
      </c>
      <c r="BQ484" s="35">
        <f t="shared" si="264"/>
        <v>0</v>
      </c>
      <c r="BR484" s="35">
        <f t="shared" si="265"/>
        <v>0</v>
      </c>
      <c r="BS484" s="35">
        <f t="shared" si="266"/>
        <v>0</v>
      </c>
      <c r="BT484" s="43">
        <f t="shared" si="267"/>
        <v>0</v>
      </c>
    </row>
    <row r="485" spans="1:72">
      <c r="A485" s="9"/>
      <c r="B485" s="34"/>
      <c r="C485" s="34"/>
      <c r="D485" s="1805"/>
      <c r="E485" s="35">
        <f t="shared" si="239"/>
        <v>0</v>
      </c>
      <c r="F485" s="36"/>
      <c r="G485" s="37">
        <f t="shared" si="240"/>
        <v>0</v>
      </c>
      <c r="H485" s="38">
        <f t="shared" si="241"/>
        <v>0</v>
      </c>
      <c r="I485" s="39"/>
      <c r="J485" s="39"/>
      <c r="K485" s="39"/>
      <c r="L485" s="39"/>
      <c r="M485" s="39"/>
      <c r="N485" s="39"/>
      <c r="O485" s="39"/>
      <c r="P485" s="39"/>
      <c r="Q485" s="39"/>
      <c r="R485" s="39"/>
      <c r="S485" s="39"/>
      <c r="T485" s="39"/>
      <c r="U485" s="39"/>
      <c r="V485" s="39"/>
      <c r="W485" s="39"/>
      <c r="X485" s="39"/>
      <c r="Y485" s="39"/>
      <c r="Z485" s="39"/>
      <c r="AA485" s="39"/>
      <c r="AB485" s="39"/>
      <c r="AC485" s="35">
        <f t="shared" si="242"/>
        <v>0</v>
      </c>
      <c r="AD485" s="40"/>
      <c r="AE485" s="40"/>
      <c r="AF485" s="40"/>
      <c r="AG485" s="40"/>
      <c r="AH485" s="40"/>
      <c r="AI485" s="40"/>
      <c r="AJ485" s="40"/>
      <c r="AK485" s="40"/>
      <c r="AL485" s="40"/>
      <c r="AM485" s="40"/>
      <c r="AN485" s="40"/>
      <c r="AO485" s="40"/>
      <c r="AP485" s="40"/>
      <c r="AQ485" s="40"/>
      <c r="AR485" s="40"/>
      <c r="AS485" s="40"/>
      <c r="AT485" s="41"/>
      <c r="AU485" s="1806"/>
      <c r="AV485" s="1517">
        <f t="shared" si="243"/>
        <v>0</v>
      </c>
      <c r="AW485" s="1517">
        <f t="shared" si="244"/>
        <v>0</v>
      </c>
      <c r="AX485" s="1517">
        <f t="shared" si="245"/>
        <v>0</v>
      </c>
      <c r="AY485" s="42">
        <f t="shared" si="246"/>
        <v>0</v>
      </c>
      <c r="AZ485" s="35">
        <f t="shared" si="247"/>
        <v>0</v>
      </c>
      <c r="BA485" s="35">
        <f t="shared" si="248"/>
        <v>0</v>
      </c>
      <c r="BB485" s="35">
        <f t="shared" si="249"/>
        <v>0</v>
      </c>
      <c r="BC485" s="35">
        <f t="shared" si="250"/>
        <v>0</v>
      </c>
      <c r="BD485" s="35">
        <f t="shared" si="251"/>
        <v>0</v>
      </c>
      <c r="BE485" s="35">
        <f t="shared" si="252"/>
        <v>0</v>
      </c>
      <c r="BF485" s="35">
        <f t="shared" si="253"/>
        <v>0</v>
      </c>
      <c r="BG485" s="35">
        <f t="shared" si="254"/>
        <v>0</v>
      </c>
      <c r="BH485" s="35">
        <f t="shared" si="255"/>
        <v>0</v>
      </c>
      <c r="BI485" s="35">
        <f t="shared" si="256"/>
        <v>0</v>
      </c>
      <c r="BJ485" s="35">
        <f t="shared" si="257"/>
        <v>0</v>
      </c>
      <c r="BK485" s="35">
        <f t="shared" si="258"/>
        <v>0</v>
      </c>
      <c r="BL485" s="35">
        <f t="shared" si="259"/>
        <v>0</v>
      </c>
      <c r="BM485" s="35">
        <f t="shared" si="260"/>
        <v>0</v>
      </c>
      <c r="BN485" s="35">
        <f t="shared" si="261"/>
        <v>0</v>
      </c>
      <c r="BO485" s="35">
        <f t="shared" si="262"/>
        <v>0</v>
      </c>
      <c r="BP485" s="35">
        <f t="shared" si="263"/>
        <v>0</v>
      </c>
      <c r="BQ485" s="35">
        <f t="shared" si="264"/>
        <v>0</v>
      </c>
      <c r="BR485" s="35">
        <f t="shared" si="265"/>
        <v>0</v>
      </c>
      <c r="BS485" s="35">
        <f t="shared" si="266"/>
        <v>0</v>
      </c>
      <c r="BT485" s="43">
        <f t="shared" si="267"/>
        <v>0</v>
      </c>
    </row>
    <row r="486" spans="1:72">
      <c r="A486" s="9"/>
      <c r="B486" s="34"/>
      <c r="C486" s="34"/>
      <c r="D486" s="1805"/>
      <c r="E486" s="35">
        <f t="shared" si="239"/>
        <v>0</v>
      </c>
      <c r="F486" s="36"/>
      <c r="G486" s="37">
        <f t="shared" si="240"/>
        <v>0</v>
      </c>
      <c r="H486" s="38">
        <f t="shared" si="241"/>
        <v>0</v>
      </c>
      <c r="I486" s="39"/>
      <c r="J486" s="39"/>
      <c r="K486" s="39"/>
      <c r="L486" s="39"/>
      <c r="M486" s="39"/>
      <c r="N486" s="39"/>
      <c r="O486" s="39"/>
      <c r="P486" s="39"/>
      <c r="Q486" s="39"/>
      <c r="R486" s="39"/>
      <c r="S486" s="39"/>
      <c r="T486" s="39"/>
      <c r="U486" s="39"/>
      <c r="V486" s="39"/>
      <c r="W486" s="39"/>
      <c r="X486" s="39"/>
      <c r="Y486" s="39"/>
      <c r="Z486" s="39"/>
      <c r="AA486" s="39"/>
      <c r="AB486" s="39"/>
      <c r="AC486" s="35">
        <f t="shared" si="242"/>
        <v>0</v>
      </c>
      <c r="AD486" s="40"/>
      <c r="AE486" s="40"/>
      <c r="AF486" s="40"/>
      <c r="AG486" s="40"/>
      <c r="AH486" s="40"/>
      <c r="AI486" s="40"/>
      <c r="AJ486" s="40"/>
      <c r="AK486" s="40"/>
      <c r="AL486" s="40"/>
      <c r="AM486" s="40"/>
      <c r="AN486" s="40"/>
      <c r="AO486" s="40"/>
      <c r="AP486" s="40"/>
      <c r="AQ486" s="40"/>
      <c r="AR486" s="40"/>
      <c r="AS486" s="40"/>
      <c r="AT486" s="41"/>
      <c r="AU486" s="1806"/>
      <c r="AV486" s="1517">
        <f t="shared" si="243"/>
        <v>0</v>
      </c>
      <c r="AW486" s="1517">
        <f t="shared" si="244"/>
        <v>0</v>
      </c>
      <c r="AX486" s="1517">
        <f t="shared" si="245"/>
        <v>0</v>
      </c>
      <c r="AY486" s="42">
        <f t="shared" si="246"/>
        <v>0</v>
      </c>
      <c r="AZ486" s="35">
        <f t="shared" si="247"/>
        <v>0</v>
      </c>
      <c r="BA486" s="35">
        <f t="shared" si="248"/>
        <v>0</v>
      </c>
      <c r="BB486" s="35">
        <f t="shared" si="249"/>
        <v>0</v>
      </c>
      <c r="BC486" s="35">
        <f t="shared" si="250"/>
        <v>0</v>
      </c>
      <c r="BD486" s="35">
        <f t="shared" si="251"/>
        <v>0</v>
      </c>
      <c r="BE486" s="35">
        <f t="shared" si="252"/>
        <v>0</v>
      </c>
      <c r="BF486" s="35">
        <f t="shared" si="253"/>
        <v>0</v>
      </c>
      <c r="BG486" s="35">
        <f t="shared" si="254"/>
        <v>0</v>
      </c>
      <c r="BH486" s="35">
        <f t="shared" si="255"/>
        <v>0</v>
      </c>
      <c r="BI486" s="35">
        <f t="shared" si="256"/>
        <v>0</v>
      </c>
      <c r="BJ486" s="35">
        <f t="shared" si="257"/>
        <v>0</v>
      </c>
      <c r="BK486" s="35">
        <f t="shared" si="258"/>
        <v>0</v>
      </c>
      <c r="BL486" s="35">
        <f t="shared" si="259"/>
        <v>0</v>
      </c>
      <c r="BM486" s="35">
        <f t="shared" si="260"/>
        <v>0</v>
      </c>
      <c r="BN486" s="35">
        <f t="shared" si="261"/>
        <v>0</v>
      </c>
      <c r="BO486" s="35">
        <f t="shared" si="262"/>
        <v>0</v>
      </c>
      <c r="BP486" s="35">
        <f t="shared" si="263"/>
        <v>0</v>
      </c>
      <c r="BQ486" s="35">
        <f t="shared" si="264"/>
        <v>0</v>
      </c>
      <c r="BR486" s="35">
        <f t="shared" si="265"/>
        <v>0</v>
      </c>
      <c r="BS486" s="35">
        <f t="shared" si="266"/>
        <v>0</v>
      </c>
      <c r="BT486" s="43">
        <f t="shared" si="267"/>
        <v>0</v>
      </c>
    </row>
    <row r="487" spans="1:72">
      <c r="A487" s="9"/>
      <c r="B487" s="34"/>
      <c r="C487" s="34"/>
      <c r="D487" s="1805"/>
      <c r="E487" s="35">
        <f t="shared" si="239"/>
        <v>0</v>
      </c>
      <c r="F487" s="36"/>
      <c r="G487" s="37">
        <f t="shared" si="240"/>
        <v>0</v>
      </c>
      <c r="H487" s="38">
        <f t="shared" si="241"/>
        <v>0</v>
      </c>
      <c r="I487" s="39"/>
      <c r="J487" s="39"/>
      <c r="K487" s="39"/>
      <c r="L487" s="39"/>
      <c r="M487" s="39"/>
      <c r="N487" s="39"/>
      <c r="O487" s="39"/>
      <c r="P487" s="39"/>
      <c r="Q487" s="39"/>
      <c r="R487" s="39"/>
      <c r="S487" s="39"/>
      <c r="T487" s="39"/>
      <c r="U487" s="39"/>
      <c r="V487" s="39"/>
      <c r="W487" s="39"/>
      <c r="X487" s="39"/>
      <c r="Y487" s="39"/>
      <c r="Z487" s="39"/>
      <c r="AA487" s="39"/>
      <c r="AB487" s="39"/>
      <c r="AC487" s="35">
        <f t="shared" si="242"/>
        <v>0</v>
      </c>
      <c r="AD487" s="40"/>
      <c r="AE487" s="40"/>
      <c r="AF487" s="40"/>
      <c r="AG487" s="40"/>
      <c r="AH487" s="40"/>
      <c r="AI487" s="40"/>
      <c r="AJ487" s="40"/>
      <c r="AK487" s="40"/>
      <c r="AL487" s="40"/>
      <c r="AM487" s="40"/>
      <c r="AN487" s="40"/>
      <c r="AO487" s="40"/>
      <c r="AP487" s="40"/>
      <c r="AQ487" s="40"/>
      <c r="AR487" s="40"/>
      <c r="AS487" s="40"/>
      <c r="AT487" s="41"/>
      <c r="AU487" s="1806"/>
      <c r="AV487" s="1517">
        <f t="shared" si="243"/>
        <v>0</v>
      </c>
      <c r="AW487" s="1517">
        <f t="shared" si="244"/>
        <v>0</v>
      </c>
      <c r="AX487" s="1517">
        <f t="shared" si="245"/>
        <v>0</v>
      </c>
      <c r="AY487" s="42">
        <f t="shared" si="246"/>
        <v>0</v>
      </c>
      <c r="AZ487" s="35">
        <f t="shared" si="247"/>
        <v>0</v>
      </c>
      <c r="BA487" s="35">
        <f t="shared" si="248"/>
        <v>0</v>
      </c>
      <c r="BB487" s="35">
        <f t="shared" si="249"/>
        <v>0</v>
      </c>
      <c r="BC487" s="35">
        <f t="shared" si="250"/>
        <v>0</v>
      </c>
      <c r="BD487" s="35">
        <f t="shared" si="251"/>
        <v>0</v>
      </c>
      <c r="BE487" s="35">
        <f t="shared" si="252"/>
        <v>0</v>
      </c>
      <c r="BF487" s="35">
        <f t="shared" si="253"/>
        <v>0</v>
      </c>
      <c r="BG487" s="35">
        <f t="shared" si="254"/>
        <v>0</v>
      </c>
      <c r="BH487" s="35">
        <f t="shared" si="255"/>
        <v>0</v>
      </c>
      <c r="BI487" s="35">
        <f t="shared" si="256"/>
        <v>0</v>
      </c>
      <c r="BJ487" s="35">
        <f t="shared" si="257"/>
        <v>0</v>
      </c>
      <c r="BK487" s="35">
        <f t="shared" si="258"/>
        <v>0</v>
      </c>
      <c r="BL487" s="35">
        <f t="shared" si="259"/>
        <v>0</v>
      </c>
      <c r="BM487" s="35">
        <f t="shared" si="260"/>
        <v>0</v>
      </c>
      <c r="BN487" s="35">
        <f t="shared" si="261"/>
        <v>0</v>
      </c>
      <c r="BO487" s="35">
        <f t="shared" si="262"/>
        <v>0</v>
      </c>
      <c r="BP487" s="35">
        <f t="shared" si="263"/>
        <v>0</v>
      </c>
      <c r="BQ487" s="35">
        <f t="shared" si="264"/>
        <v>0</v>
      </c>
      <c r="BR487" s="35">
        <f t="shared" si="265"/>
        <v>0</v>
      </c>
      <c r="BS487" s="35">
        <f t="shared" si="266"/>
        <v>0</v>
      </c>
      <c r="BT487" s="43">
        <f t="shared" si="267"/>
        <v>0</v>
      </c>
    </row>
    <row r="488" spans="1:72">
      <c r="A488" s="9"/>
      <c r="B488" s="34"/>
      <c r="C488" s="34"/>
      <c r="D488" s="1805"/>
      <c r="E488" s="35">
        <f t="shared" si="239"/>
        <v>0</v>
      </c>
      <c r="F488" s="36"/>
      <c r="G488" s="37">
        <f t="shared" si="240"/>
        <v>0</v>
      </c>
      <c r="H488" s="38">
        <f t="shared" si="241"/>
        <v>0</v>
      </c>
      <c r="I488" s="39"/>
      <c r="J488" s="39"/>
      <c r="K488" s="39"/>
      <c r="L488" s="39"/>
      <c r="M488" s="39"/>
      <c r="N488" s="39"/>
      <c r="O488" s="39"/>
      <c r="P488" s="39"/>
      <c r="Q488" s="39"/>
      <c r="R488" s="39"/>
      <c r="S488" s="39"/>
      <c r="T488" s="39"/>
      <c r="U488" s="39"/>
      <c r="V488" s="39"/>
      <c r="W488" s="39"/>
      <c r="X488" s="39"/>
      <c r="Y488" s="39"/>
      <c r="Z488" s="39"/>
      <c r="AA488" s="39"/>
      <c r="AB488" s="39"/>
      <c r="AC488" s="35">
        <f t="shared" si="242"/>
        <v>0</v>
      </c>
      <c r="AD488" s="40"/>
      <c r="AE488" s="40"/>
      <c r="AF488" s="40"/>
      <c r="AG488" s="40"/>
      <c r="AH488" s="40"/>
      <c r="AI488" s="40"/>
      <c r="AJ488" s="40"/>
      <c r="AK488" s="40"/>
      <c r="AL488" s="40"/>
      <c r="AM488" s="40"/>
      <c r="AN488" s="40"/>
      <c r="AO488" s="40"/>
      <c r="AP488" s="40"/>
      <c r="AQ488" s="40"/>
      <c r="AR488" s="40"/>
      <c r="AS488" s="40"/>
      <c r="AT488" s="41"/>
      <c r="AU488" s="1806"/>
      <c r="AV488" s="1517">
        <f t="shared" si="243"/>
        <v>0</v>
      </c>
      <c r="AW488" s="1517">
        <f t="shared" si="244"/>
        <v>0</v>
      </c>
      <c r="AX488" s="1517">
        <f t="shared" si="245"/>
        <v>0</v>
      </c>
      <c r="AY488" s="42">
        <f t="shared" si="246"/>
        <v>0</v>
      </c>
      <c r="AZ488" s="35">
        <f t="shared" si="247"/>
        <v>0</v>
      </c>
      <c r="BA488" s="35">
        <f t="shared" si="248"/>
        <v>0</v>
      </c>
      <c r="BB488" s="35">
        <f t="shared" si="249"/>
        <v>0</v>
      </c>
      <c r="BC488" s="35">
        <f t="shared" si="250"/>
        <v>0</v>
      </c>
      <c r="BD488" s="35">
        <f t="shared" si="251"/>
        <v>0</v>
      </c>
      <c r="BE488" s="35">
        <f t="shared" si="252"/>
        <v>0</v>
      </c>
      <c r="BF488" s="35">
        <f t="shared" si="253"/>
        <v>0</v>
      </c>
      <c r="BG488" s="35">
        <f t="shared" si="254"/>
        <v>0</v>
      </c>
      <c r="BH488" s="35">
        <f t="shared" si="255"/>
        <v>0</v>
      </c>
      <c r="BI488" s="35">
        <f t="shared" si="256"/>
        <v>0</v>
      </c>
      <c r="BJ488" s="35">
        <f t="shared" si="257"/>
        <v>0</v>
      </c>
      <c r="BK488" s="35">
        <f t="shared" si="258"/>
        <v>0</v>
      </c>
      <c r="BL488" s="35">
        <f t="shared" si="259"/>
        <v>0</v>
      </c>
      <c r="BM488" s="35">
        <f t="shared" si="260"/>
        <v>0</v>
      </c>
      <c r="BN488" s="35">
        <f t="shared" si="261"/>
        <v>0</v>
      </c>
      <c r="BO488" s="35">
        <f t="shared" si="262"/>
        <v>0</v>
      </c>
      <c r="BP488" s="35">
        <f t="shared" si="263"/>
        <v>0</v>
      </c>
      <c r="BQ488" s="35">
        <f t="shared" si="264"/>
        <v>0</v>
      </c>
      <c r="BR488" s="35">
        <f t="shared" si="265"/>
        <v>0</v>
      </c>
      <c r="BS488" s="35">
        <f t="shared" si="266"/>
        <v>0</v>
      </c>
      <c r="BT488" s="43">
        <f t="shared" si="267"/>
        <v>0</v>
      </c>
    </row>
    <row r="489" spans="1:72">
      <c r="A489" s="9"/>
      <c r="B489" s="34"/>
      <c r="C489" s="34"/>
      <c r="D489" s="1805"/>
      <c r="E489" s="35">
        <f t="shared" si="239"/>
        <v>0</v>
      </c>
      <c r="F489" s="36"/>
      <c r="G489" s="37">
        <f t="shared" si="240"/>
        <v>0</v>
      </c>
      <c r="H489" s="38">
        <f t="shared" si="241"/>
        <v>0</v>
      </c>
      <c r="I489" s="39"/>
      <c r="J489" s="39"/>
      <c r="K489" s="39"/>
      <c r="L489" s="39"/>
      <c r="M489" s="39"/>
      <c r="N489" s="39"/>
      <c r="O489" s="39"/>
      <c r="P489" s="39"/>
      <c r="Q489" s="39"/>
      <c r="R489" s="39"/>
      <c r="S489" s="39"/>
      <c r="T489" s="39"/>
      <c r="U489" s="39"/>
      <c r="V489" s="39"/>
      <c r="W489" s="39"/>
      <c r="X489" s="39"/>
      <c r="Y489" s="39"/>
      <c r="Z489" s="39"/>
      <c r="AA489" s="39"/>
      <c r="AB489" s="39"/>
      <c r="AC489" s="35">
        <f t="shared" si="242"/>
        <v>0</v>
      </c>
      <c r="AD489" s="40"/>
      <c r="AE489" s="40"/>
      <c r="AF489" s="40"/>
      <c r="AG489" s="40"/>
      <c r="AH489" s="40"/>
      <c r="AI489" s="40"/>
      <c r="AJ489" s="40"/>
      <c r="AK489" s="40"/>
      <c r="AL489" s="40"/>
      <c r="AM489" s="40"/>
      <c r="AN489" s="40"/>
      <c r="AO489" s="40"/>
      <c r="AP489" s="40"/>
      <c r="AQ489" s="40"/>
      <c r="AR489" s="40"/>
      <c r="AS489" s="40"/>
      <c r="AT489" s="41"/>
      <c r="AU489" s="1806"/>
      <c r="AV489" s="1517">
        <f t="shared" si="243"/>
        <v>0</v>
      </c>
      <c r="AW489" s="1517">
        <f t="shared" si="244"/>
        <v>0</v>
      </c>
      <c r="AX489" s="1517">
        <f t="shared" si="245"/>
        <v>0</v>
      </c>
      <c r="AY489" s="42">
        <f t="shared" si="246"/>
        <v>0</v>
      </c>
      <c r="AZ489" s="35">
        <f t="shared" si="247"/>
        <v>0</v>
      </c>
      <c r="BA489" s="35">
        <f t="shared" si="248"/>
        <v>0</v>
      </c>
      <c r="BB489" s="35">
        <f t="shared" si="249"/>
        <v>0</v>
      </c>
      <c r="BC489" s="35">
        <f t="shared" si="250"/>
        <v>0</v>
      </c>
      <c r="BD489" s="35">
        <f t="shared" si="251"/>
        <v>0</v>
      </c>
      <c r="BE489" s="35">
        <f t="shared" si="252"/>
        <v>0</v>
      </c>
      <c r="BF489" s="35">
        <f t="shared" si="253"/>
        <v>0</v>
      </c>
      <c r="BG489" s="35">
        <f t="shared" si="254"/>
        <v>0</v>
      </c>
      <c r="BH489" s="35">
        <f t="shared" si="255"/>
        <v>0</v>
      </c>
      <c r="BI489" s="35">
        <f t="shared" si="256"/>
        <v>0</v>
      </c>
      <c r="BJ489" s="35">
        <f t="shared" si="257"/>
        <v>0</v>
      </c>
      <c r="BK489" s="35">
        <f t="shared" si="258"/>
        <v>0</v>
      </c>
      <c r="BL489" s="35">
        <f t="shared" si="259"/>
        <v>0</v>
      </c>
      <c r="BM489" s="35">
        <f t="shared" si="260"/>
        <v>0</v>
      </c>
      <c r="BN489" s="35">
        <f t="shared" si="261"/>
        <v>0</v>
      </c>
      <c r="BO489" s="35">
        <f t="shared" si="262"/>
        <v>0</v>
      </c>
      <c r="BP489" s="35">
        <f t="shared" si="263"/>
        <v>0</v>
      </c>
      <c r="BQ489" s="35">
        <f t="shared" si="264"/>
        <v>0</v>
      </c>
      <c r="BR489" s="35">
        <f t="shared" si="265"/>
        <v>0</v>
      </c>
      <c r="BS489" s="35">
        <f t="shared" si="266"/>
        <v>0</v>
      </c>
      <c r="BT489" s="43">
        <f t="shared" si="267"/>
        <v>0</v>
      </c>
    </row>
    <row r="490" spans="1:72">
      <c r="A490" s="9"/>
      <c r="B490" s="9"/>
      <c r="C490" s="9"/>
      <c r="D490" s="1805"/>
      <c r="E490" s="35">
        <f t="shared" si="239"/>
        <v>0</v>
      </c>
      <c r="F490" s="44"/>
      <c r="G490" s="37">
        <f t="shared" ref="G490:G521" si="268">H490+AC490+AT490</f>
        <v>0</v>
      </c>
      <c r="H490" s="38">
        <f t="shared" ref="H490:H521" si="269">SUMIF(I$12:AB$12,"总值",I490:AB490)</f>
        <v>0</v>
      </c>
      <c r="I490" s="10"/>
      <c r="J490" s="10"/>
      <c r="K490" s="39"/>
      <c r="L490" s="39"/>
      <c r="M490" s="39"/>
      <c r="N490" s="39"/>
      <c r="O490" s="39"/>
      <c r="P490" s="39"/>
      <c r="Q490" s="39"/>
      <c r="R490" s="39"/>
      <c r="S490" s="39"/>
      <c r="T490" s="39"/>
      <c r="U490" s="39"/>
      <c r="V490" s="39"/>
      <c r="W490" s="39"/>
      <c r="X490" s="39"/>
      <c r="Y490" s="39"/>
      <c r="Z490" s="39"/>
      <c r="AA490" s="39"/>
      <c r="AB490" s="39"/>
      <c r="AC490" s="35">
        <f t="shared" ref="AC490:AC521" si="270">SUMIF(AD$12:AS$12,"总值",AD490:AS490)</f>
        <v>0</v>
      </c>
      <c r="AD490" s="40"/>
      <c r="AE490" s="40"/>
      <c r="AF490" s="40"/>
      <c r="AG490" s="40"/>
      <c r="AH490" s="40"/>
      <c r="AI490" s="40"/>
      <c r="AJ490" s="40"/>
      <c r="AK490" s="40"/>
      <c r="AL490" s="40"/>
      <c r="AM490" s="40"/>
      <c r="AN490" s="40"/>
      <c r="AO490" s="40"/>
      <c r="AP490" s="40"/>
      <c r="AQ490" s="40"/>
      <c r="AR490" s="40"/>
      <c r="AS490" s="40"/>
      <c r="AT490" s="40"/>
      <c r="AU490" s="1746"/>
      <c r="AV490" s="1517">
        <f t="shared" si="243"/>
        <v>0</v>
      </c>
      <c r="AW490" s="1517">
        <f t="shared" si="244"/>
        <v>0</v>
      </c>
      <c r="AX490" s="1517">
        <f t="shared" si="245"/>
        <v>0</v>
      </c>
      <c r="AY490" s="42">
        <f t="shared" ref="AY490:AY521" si="271">ROUND($AY$6*AZ490/$AZ$5,2)</f>
        <v>0</v>
      </c>
      <c r="AZ490" s="35">
        <f t="shared" ref="AZ490:AZ521" si="272">BA490+BL490</f>
        <v>0</v>
      </c>
      <c r="BA490" s="35">
        <f t="shared" ref="BA490:BA521" si="273">SUM(BB490:BK490)</f>
        <v>0</v>
      </c>
      <c r="BB490" s="35">
        <f t="shared" ref="BB490:BB521" si="274">IF($D490="是",I490-J490,0)</f>
        <v>0</v>
      </c>
      <c r="BC490" s="35">
        <f t="shared" ref="BC490:BC521" si="275">IF($D490="是",K490-L490,0)</f>
        <v>0</v>
      </c>
      <c r="BD490" s="35">
        <f t="shared" ref="BD490:BD521" si="276">IF($D490="是",M490-N490,0)</f>
        <v>0</v>
      </c>
      <c r="BE490" s="35">
        <f t="shared" ref="BE490:BE521" si="277">IF($D490="是",O490-P490,0)</f>
        <v>0</v>
      </c>
      <c r="BF490" s="35">
        <f t="shared" ref="BF490:BF521" si="278">IF($D490="是",Q490-R490,0)</f>
        <v>0</v>
      </c>
      <c r="BG490" s="35">
        <f t="shared" ref="BG490:BG521" si="279">IF($D490="是",S490-T490,0)</f>
        <v>0</v>
      </c>
      <c r="BH490" s="35">
        <f t="shared" ref="BH490:BH521" si="280">IF($D490="是",U490-V490,0)</f>
        <v>0</v>
      </c>
      <c r="BI490" s="35">
        <f t="shared" ref="BI490:BI521" si="281">IF($D490="是",W490-X490,0)</f>
        <v>0</v>
      </c>
      <c r="BJ490" s="35">
        <f t="shared" ref="BJ490:BJ521" si="282">IF($D490="是",Y490-Z490,0)</f>
        <v>0</v>
      </c>
      <c r="BK490" s="35">
        <f t="shared" ref="BK490:BK521" si="283">IF($D490="是",AA490-AB490,0)</f>
        <v>0</v>
      </c>
      <c r="BL490" s="35">
        <f t="shared" ref="BL490:BL521" si="284">SUM(BM490:BT490)</f>
        <v>0</v>
      </c>
      <c r="BM490" s="35">
        <f t="shared" ref="BM490:BM521" si="285">IF($D490="是",AD490-AE490,0)</f>
        <v>0</v>
      </c>
      <c r="BN490" s="35">
        <f t="shared" ref="BN490:BN521" si="286">IF($D490="是",AF490-AG490,0)</f>
        <v>0</v>
      </c>
      <c r="BO490" s="35">
        <f t="shared" ref="BO490:BO521" si="287">IF($D490="是",AH490-AI490,0)</f>
        <v>0</v>
      </c>
      <c r="BP490" s="35">
        <f t="shared" ref="BP490:BP521" si="288">IF($D490="是",AJ490-AK490,0)</f>
        <v>0</v>
      </c>
      <c r="BQ490" s="35">
        <f t="shared" ref="BQ490:BQ521" si="289">IF($D490="是",AL490-AM490,0)</f>
        <v>0</v>
      </c>
      <c r="BR490" s="35">
        <f t="shared" ref="BR490:BR521" si="290">IF($D490="是",AN490-AO490,0)</f>
        <v>0</v>
      </c>
      <c r="BS490" s="35">
        <f t="shared" ref="BS490:BS521" si="291">IF($D490="是",AP490-AQ490,0)</f>
        <v>0</v>
      </c>
      <c r="BT490" s="43">
        <f t="shared" ref="BT490:BT521" si="292">IF($D490="是",AR490-AS490,0)</f>
        <v>0</v>
      </c>
    </row>
    <row r="491" spans="1:72">
      <c r="A491" s="9"/>
      <c r="B491" s="9"/>
      <c r="C491" s="9"/>
      <c r="D491" s="1805"/>
      <c r="E491" s="35">
        <f t="shared" si="239"/>
        <v>0</v>
      </c>
      <c r="F491" s="44"/>
      <c r="G491" s="37">
        <f t="shared" si="268"/>
        <v>0</v>
      </c>
      <c r="H491" s="38">
        <f t="shared" si="269"/>
        <v>0</v>
      </c>
      <c r="I491" s="39"/>
      <c r="J491" s="39"/>
      <c r="K491" s="39"/>
      <c r="L491" s="39"/>
      <c r="M491" s="39"/>
      <c r="N491" s="39"/>
      <c r="O491" s="39"/>
      <c r="P491" s="39"/>
      <c r="Q491" s="39"/>
      <c r="R491" s="39"/>
      <c r="S491" s="39"/>
      <c r="T491" s="39"/>
      <c r="U491" s="39"/>
      <c r="V491" s="39"/>
      <c r="W491" s="39"/>
      <c r="X491" s="39"/>
      <c r="Y491" s="39"/>
      <c r="Z491" s="39"/>
      <c r="AA491" s="39"/>
      <c r="AB491" s="39"/>
      <c r="AC491" s="35">
        <f t="shared" si="270"/>
        <v>0</v>
      </c>
      <c r="AD491" s="40"/>
      <c r="AE491" s="40"/>
      <c r="AF491" s="40"/>
      <c r="AG491" s="40"/>
      <c r="AH491" s="40"/>
      <c r="AI491" s="40"/>
      <c r="AJ491" s="40"/>
      <c r="AK491" s="40"/>
      <c r="AL491" s="40"/>
      <c r="AM491" s="40"/>
      <c r="AN491" s="40"/>
      <c r="AO491" s="40"/>
      <c r="AP491" s="40"/>
      <c r="AQ491" s="40"/>
      <c r="AR491" s="40"/>
      <c r="AS491" s="40"/>
      <c r="AT491" s="40"/>
      <c r="AU491" s="1746"/>
      <c r="AV491" s="1517">
        <f t="shared" si="243"/>
        <v>0</v>
      </c>
      <c r="AW491" s="1517">
        <f t="shared" si="244"/>
        <v>0</v>
      </c>
      <c r="AX491" s="1517">
        <f t="shared" si="245"/>
        <v>0</v>
      </c>
      <c r="AY491" s="42">
        <f t="shared" si="271"/>
        <v>0</v>
      </c>
      <c r="AZ491" s="35">
        <f t="shared" si="272"/>
        <v>0</v>
      </c>
      <c r="BA491" s="35">
        <f t="shared" si="273"/>
        <v>0</v>
      </c>
      <c r="BB491" s="35">
        <f t="shared" si="274"/>
        <v>0</v>
      </c>
      <c r="BC491" s="35">
        <f t="shared" si="275"/>
        <v>0</v>
      </c>
      <c r="BD491" s="35">
        <f t="shared" si="276"/>
        <v>0</v>
      </c>
      <c r="BE491" s="35">
        <f t="shared" si="277"/>
        <v>0</v>
      </c>
      <c r="BF491" s="35">
        <f t="shared" si="278"/>
        <v>0</v>
      </c>
      <c r="BG491" s="35">
        <f t="shared" si="279"/>
        <v>0</v>
      </c>
      <c r="BH491" s="35">
        <f t="shared" si="280"/>
        <v>0</v>
      </c>
      <c r="BI491" s="35">
        <f t="shared" si="281"/>
        <v>0</v>
      </c>
      <c r="BJ491" s="35">
        <f t="shared" si="282"/>
        <v>0</v>
      </c>
      <c r="BK491" s="35">
        <f t="shared" si="283"/>
        <v>0</v>
      </c>
      <c r="BL491" s="35">
        <f t="shared" si="284"/>
        <v>0</v>
      </c>
      <c r="BM491" s="35">
        <f t="shared" si="285"/>
        <v>0</v>
      </c>
      <c r="BN491" s="35">
        <f t="shared" si="286"/>
        <v>0</v>
      </c>
      <c r="BO491" s="35">
        <f t="shared" si="287"/>
        <v>0</v>
      </c>
      <c r="BP491" s="35">
        <f t="shared" si="288"/>
        <v>0</v>
      </c>
      <c r="BQ491" s="35">
        <f t="shared" si="289"/>
        <v>0</v>
      </c>
      <c r="BR491" s="35">
        <f t="shared" si="290"/>
        <v>0</v>
      </c>
      <c r="BS491" s="35">
        <f t="shared" si="291"/>
        <v>0</v>
      </c>
      <c r="BT491" s="43">
        <f t="shared" si="292"/>
        <v>0</v>
      </c>
    </row>
    <row r="492" spans="1:72">
      <c r="A492" s="9"/>
      <c r="B492" s="9"/>
      <c r="C492" s="9"/>
      <c r="D492" s="1805"/>
      <c r="E492" s="35">
        <f t="shared" si="239"/>
        <v>0</v>
      </c>
      <c r="F492" s="44"/>
      <c r="G492" s="37">
        <f t="shared" si="268"/>
        <v>0</v>
      </c>
      <c r="H492" s="38">
        <f t="shared" si="269"/>
        <v>0</v>
      </c>
      <c r="I492" s="39"/>
      <c r="J492" s="39"/>
      <c r="K492" s="39"/>
      <c r="L492" s="39"/>
      <c r="M492" s="39"/>
      <c r="N492" s="39"/>
      <c r="O492" s="39"/>
      <c r="P492" s="39"/>
      <c r="Q492" s="39"/>
      <c r="R492" s="39"/>
      <c r="S492" s="39"/>
      <c r="T492" s="39"/>
      <c r="U492" s="39"/>
      <c r="V492" s="39"/>
      <c r="W492" s="39"/>
      <c r="X492" s="39"/>
      <c r="Y492" s="39"/>
      <c r="Z492" s="39"/>
      <c r="AA492" s="39"/>
      <c r="AB492" s="39"/>
      <c r="AC492" s="35">
        <f t="shared" si="270"/>
        <v>0</v>
      </c>
      <c r="AD492" s="40"/>
      <c r="AE492" s="40"/>
      <c r="AF492" s="40"/>
      <c r="AG492" s="40"/>
      <c r="AH492" s="40"/>
      <c r="AI492" s="40"/>
      <c r="AJ492" s="40"/>
      <c r="AK492" s="40"/>
      <c r="AL492" s="40"/>
      <c r="AM492" s="40"/>
      <c r="AN492" s="40"/>
      <c r="AO492" s="40"/>
      <c r="AP492" s="40"/>
      <c r="AQ492" s="40"/>
      <c r="AR492" s="40"/>
      <c r="AS492" s="40"/>
      <c r="AT492" s="40"/>
      <c r="AU492" s="1746"/>
      <c r="AV492" s="1517">
        <f t="shared" si="243"/>
        <v>0</v>
      </c>
      <c r="AW492" s="1517">
        <f t="shared" si="244"/>
        <v>0</v>
      </c>
      <c r="AX492" s="1517">
        <f t="shared" si="245"/>
        <v>0</v>
      </c>
      <c r="AY492" s="42">
        <f t="shared" si="271"/>
        <v>0</v>
      </c>
      <c r="AZ492" s="35">
        <f t="shared" si="272"/>
        <v>0</v>
      </c>
      <c r="BA492" s="35">
        <f t="shared" si="273"/>
        <v>0</v>
      </c>
      <c r="BB492" s="35">
        <f t="shared" si="274"/>
        <v>0</v>
      </c>
      <c r="BC492" s="35">
        <f t="shared" si="275"/>
        <v>0</v>
      </c>
      <c r="BD492" s="35">
        <f t="shared" si="276"/>
        <v>0</v>
      </c>
      <c r="BE492" s="35">
        <f t="shared" si="277"/>
        <v>0</v>
      </c>
      <c r="BF492" s="35">
        <f t="shared" si="278"/>
        <v>0</v>
      </c>
      <c r="BG492" s="35">
        <f t="shared" si="279"/>
        <v>0</v>
      </c>
      <c r="BH492" s="35">
        <f t="shared" si="280"/>
        <v>0</v>
      </c>
      <c r="BI492" s="35">
        <f t="shared" si="281"/>
        <v>0</v>
      </c>
      <c r="BJ492" s="35">
        <f t="shared" si="282"/>
        <v>0</v>
      </c>
      <c r="BK492" s="35">
        <f t="shared" si="283"/>
        <v>0</v>
      </c>
      <c r="BL492" s="35">
        <f t="shared" si="284"/>
        <v>0</v>
      </c>
      <c r="BM492" s="35">
        <f t="shared" si="285"/>
        <v>0</v>
      </c>
      <c r="BN492" s="35">
        <f t="shared" si="286"/>
        <v>0</v>
      </c>
      <c r="BO492" s="35">
        <f t="shared" si="287"/>
        <v>0</v>
      </c>
      <c r="BP492" s="35">
        <f t="shared" si="288"/>
        <v>0</v>
      </c>
      <c r="BQ492" s="35">
        <f t="shared" si="289"/>
        <v>0</v>
      </c>
      <c r="BR492" s="35">
        <f t="shared" si="290"/>
        <v>0</v>
      </c>
      <c r="BS492" s="35">
        <f t="shared" si="291"/>
        <v>0</v>
      </c>
      <c r="BT492" s="43">
        <f t="shared" si="292"/>
        <v>0</v>
      </c>
    </row>
    <row r="493" spans="1:72">
      <c r="A493" s="9"/>
      <c r="B493" s="34"/>
      <c r="C493" s="34"/>
      <c r="D493" s="1805"/>
      <c r="E493" s="35">
        <f t="shared" ref="E493:E519" si="293">IF($C$3="是",ROUND($A$3*G493/$B$3,2),ROUND($A$3*(G493-AT493)/$B$3,2))</f>
        <v>0</v>
      </c>
      <c r="F493" s="36"/>
      <c r="G493" s="37">
        <f t="shared" si="268"/>
        <v>0</v>
      </c>
      <c r="H493" s="38">
        <f t="shared" si="269"/>
        <v>0</v>
      </c>
      <c r="I493" s="39"/>
      <c r="J493" s="39"/>
      <c r="K493" s="39"/>
      <c r="L493" s="39"/>
      <c r="M493" s="39"/>
      <c r="N493" s="39"/>
      <c r="O493" s="39"/>
      <c r="P493" s="39"/>
      <c r="Q493" s="39"/>
      <c r="R493" s="39"/>
      <c r="S493" s="39"/>
      <c r="T493" s="39"/>
      <c r="U493" s="39"/>
      <c r="V493" s="39"/>
      <c r="W493" s="39"/>
      <c r="X493" s="39"/>
      <c r="Y493" s="39"/>
      <c r="Z493" s="39"/>
      <c r="AA493" s="39"/>
      <c r="AB493" s="39"/>
      <c r="AC493" s="35">
        <f t="shared" si="270"/>
        <v>0</v>
      </c>
      <c r="AD493" s="40"/>
      <c r="AE493" s="40"/>
      <c r="AF493" s="40"/>
      <c r="AG493" s="40"/>
      <c r="AH493" s="40"/>
      <c r="AI493" s="40"/>
      <c r="AJ493" s="40"/>
      <c r="AK493" s="40"/>
      <c r="AL493" s="40"/>
      <c r="AM493" s="40"/>
      <c r="AN493" s="40"/>
      <c r="AO493" s="40"/>
      <c r="AP493" s="40"/>
      <c r="AQ493" s="40"/>
      <c r="AR493" s="40"/>
      <c r="AS493" s="40"/>
      <c r="AT493" s="41"/>
      <c r="AU493" s="1806"/>
      <c r="AV493" s="1517">
        <f t="shared" ref="AV493:AV520" si="294">A493</f>
        <v>0</v>
      </c>
      <c r="AW493" s="1517">
        <f t="shared" ref="AW493:AW520" si="295">B493</f>
        <v>0</v>
      </c>
      <c r="AX493" s="1517">
        <f t="shared" ref="AX493:AX520" si="296">C493</f>
        <v>0</v>
      </c>
      <c r="AY493" s="42">
        <f t="shared" si="271"/>
        <v>0</v>
      </c>
      <c r="AZ493" s="35">
        <f t="shared" si="272"/>
        <v>0</v>
      </c>
      <c r="BA493" s="35">
        <f t="shared" si="273"/>
        <v>0</v>
      </c>
      <c r="BB493" s="35">
        <f t="shared" si="274"/>
        <v>0</v>
      </c>
      <c r="BC493" s="35">
        <f t="shared" si="275"/>
        <v>0</v>
      </c>
      <c r="BD493" s="35">
        <f t="shared" si="276"/>
        <v>0</v>
      </c>
      <c r="BE493" s="35">
        <f t="shared" si="277"/>
        <v>0</v>
      </c>
      <c r="BF493" s="35">
        <f t="shared" si="278"/>
        <v>0</v>
      </c>
      <c r="BG493" s="35">
        <f t="shared" si="279"/>
        <v>0</v>
      </c>
      <c r="BH493" s="35">
        <f t="shared" si="280"/>
        <v>0</v>
      </c>
      <c r="BI493" s="35">
        <f t="shared" si="281"/>
        <v>0</v>
      </c>
      <c r="BJ493" s="35">
        <f t="shared" si="282"/>
        <v>0</v>
      </c>
      <c r="BK493" s="35">
        <f t="shared" si="283"/>
        <v>0</v>
      </c>
      <c r="BL493" s="35">
        <f t="shared" si="284"/>
        <v>0</v>
      </c>
      <c r="BM493" s="35">
        <f t="shared" si="285"/>
        <v>0</v>
      </c>
      <c r="BN493" s="35">
        <f t="shared" si="286"/>
        <v>0</v>
      </c>
      <c r="BO493" s="35">
        <f t="shared" si="287"/>
        <v>0</v>
      </c>
      <c r="BP493" s="35">
        <f t="shared" si="288"/>
        <v>0</v>
      </c>
      <c r="BQ493" s="35">
        <f t="shared" si="289"/>
        <v>0</v>
      </c>
      <c r="BR493" s="35">
        <f t="shared" si="290"/>
        <v>0</v>
      </c>
      <c r="BS493" s="35">
        <f t="shared" si="291"/>
        <v>0</v>
      </c>
      <c r="BT493" s="43">
        <f t="shared" si="292"/>
        <v>0</v>
      </c>
    </row>
    <row r="494" spans="1:72">
      <c r="A494" s="9"/>
      <c r="B494" s="34"/>
      <c r="C494" s="34"/>
      <c r="D494" s="1805"/>
      <c r="E494" s="35">
        <f t="shared" si="293"/>
        <v>0</v>
      </c>
      <c r="F494" s="36"/>
      <c r="G494" s="37">
        <f t="shared" si="268"/>
        <v>0</v>
      </c>
      <c r="H494" s="38">
        <f t="shared" si="269"/>
        <v>0</v>
      </c>
      <c r="I494" s="39"/>
      <c r="J494" s="39"/>
      <c r="K494" s="39"/>
      <c r="L494" s="39"/>
      <c r="M494" s="39"/>
      <c r="N494" s="39"/>
      <c r="O494" s="39"/>
      <c r="P494" s="39"/>
      <c r="Q494" s="39"/>
      <c r="R494" s="39"/>
      <c r="S494" s="39"/>
      <c r="T494" s="39"/>
      <c r="U494" s="39"/>
      <c r="V494" s="39"/>
      <c r="W494" s="39"/>
      <c r="X494" s="39"/>
      <c r="Y494" s="39"/>
      <c r="Z494" s="39"/>
      <c r="AA494" s="39"/>
      <c r="AB494" s="39"/>
      <c r="AC494" s="35">
        <f t="shared" si="270"/>
        <v>0</v>
      </c>
      <c r="AD494" s="40"/>
      <c r="AE494" s="40"/>
      <c r="AF494" s="40"/>
      <c r="AG494" s="40"/>
      <c r="AH494" s="40"/>
      <c r="AI494" s="40"/>
      <c r="AJ494" s="40"/>
      <c r="AK494" s="40"/>
      <c r="AL494" s="40"/>
      <c r="AM494" s="40"/>
      <c r="AN494" s="40"/>
      <c r="AO494" s="40"/>
      <c r="AP494" s="40"/>
      <c r="AQ494" s="40"/>
      <c r="AR494" s="40"/>
      <c r="AS494" s="40"/>
      <c r="AT494" s="41"/>
      <c r="AU494" s="1806"/>
      <c r="AV494" s="1517">
        <f t="shared" si="294"/>
        <v>0</v>
      </c>
      <c r="AW494" s="1517">
        <f t="shared" si="295"/>
        <v>0</v>
      </c>
      <c r="AX494" s="1517">
        <f t="shared" si="296"/>
        <v>0</v>
      </c>
      <c r="AY494" s="42">
        <f t="shared" si="271"/>
        <v>0</v>
      </c>
      <c r="AZ494" s="35">
        <f t="shared" si="272"/>
        <v>0</v>
      </c>
      <c r="BA494" s="35">
        <f t="shared" si="273"/>
        <v>0</v>
      </c>
      <c r="BB494" s="35">
        <f t="shared" si="274"/>
        <v>0</v>
      </c>
      <c r="BC494" s="35">
        <f t="shared" si="275"/>
        <v>0</v>
      </c>
      <c r="BD494" s="35">
        <f t="shared" si="276"/>
        <v>0</v>
      </c>
      <c r="BE494" s="35">
        <f t="shared" si="277"/>
        <v>0</v>
      </c>
      <c r="BF494" s="35">
        <f t="shared" si="278"/>
        <v>0</v>
      </c>
      <c r="BG494" s="35">
        <f t="shared" si="279"/>
        <v>0</v>
      </c>
      <c r="BH494" s="35">
        <f t="shared" si="280"/>
        <v>0</v>
      </c>
      <c r="BI494" s="35">
        <f t="shared" si="281"/>
        <v>0</v>
      </c>
      <c r="BJ494" s="35">
        <f t="shared" si="282"/>
        <v>0</v>
      </c>
      <c r="BK494" s="35">
        <f t="shared" si="283"/>
        <v>0</v>
      </c>
      <c r="BL494" s="35">
        <f t="shared" si="284"/>
        <v>0</v>
      </c>
      <c r="BM494" s="35">
        <f t="shared" si="285"/>
        <v>0</v>
      </c>
      <c r="BN494" s="35">
        <f t="shared" si="286"/>
        <v>0</v>
      </c>
      <c r="BO494" s="35">
        <f t="shared" si="287"/>
        <v>0</v>
      </c>
      <c r="BP494" s="35">
        <f t="shared" si="288"/>
        <v>0</v>
      </c>
      <c r="BQ494" s="35">
        <f t="shared" si="289"/>
        <v>0</v>
      </c>
      <c r="BR494" s="35">
        <f t="shared" si="290"/>
        <v>0</v>
      </c>
      <c r="BS494" s="35">
        <f t="shared" si="291"/>
        <v>0</v>
      </c>
      <c r="BT494" s="43">
        <f t="shared" si="292"/>
        <v>0</v>
      </c>
    </row>
    <row r="495" spans="1:72">
      <c r="A495" s="9"/>
      <c r="B495" s="34"/>
      <c r="C495" s="34"/>
      <c r="D495" s="1805"/>
      <c r="E495" s="35">
        <f t="shared" si="293"/>
        <v>0</v>
      </c>
      <c r="F495" s="36"/>
      <c r="G495" s="37">
        <f t="shared" si="268"/>
        <v>0</v>
      </c>
      <c r="H495" s="38">
        <f t="shared" si="269"/>
        <v>0</v>
      </c>
      <c r="I495" s="39"/>
      <c r="J495" s="39"/>
      <c r="K495" s="39"/>
      <c r="L495" s="39"/>
      <c r="M495" s="39"/>
      <c r="N495" s="39"/>
      <c r="O495" s="39"/>
      <c r="P495" s="39"/>
      <c r="Q495" s="39"/>
      <c r="R495" s="39"/>
      <c r="S495" s="39"/>
      <c r="T495" s="39"/>
      <c r="U495" s="39"/>
      <c r="V495" s="39"/>
      <c r="W495" s="39"/>
      <c r="X495" s="39"/>
      <c r="Y495" s="39"/>
      <c r="Z495" s="39"/>
      <c r="AA495" s="39"/>
      <c r="AB495" s="39"/>
      <c r="AC495" s="35">
        <f t="shared" si="270"/>
        <v>0</v>
      </c>
      <c r="AD495" s="40"/>
      <c r="AE495" s="40"/>
      <c r="AF495" s="40"/>
      <c r="AG495" s="40"/>
      <c r="AH495" s="40"/>
      <c r="AI495" s="40"/>
      <c r="AJ495" s="40"/>
      <c r="AK495" s="40"/>
      <c r="AL495" s="40"/>
      <c r="AM495" s="40"/>
      <c r="AN495" s="40"/>
      <c r="AO495" s="40"/>
      <c r="AP495" s="40"/>
      <c r="AQ495" s="40"/>
      <c r="AR495" s="40"/>
      <c r="AS495" s="40"/>
      <c r="AT495" s="41"/>
      <c r="AU495" s="1806"/>
      <c r="AV495" s="1517">
        <f t="shared" si="294"/>
        <v>0</v>
      </c>
      <c r="AW495" s="1517">
        <f t="shared" si="295"/>
        <v>0</v>
      </c>
      <c r="AX495" s="1517">
        <f t="shared" si="296"/>
        <v>0</v>
      </c>
      <c r="AY495" s="42">
        <f t="shared" si="271"/>
        <v>0</v>
      </c>
      <c r="AZ495" s="35">
        <f t="shared" si="272"/>
        <v>0</v>
      </c>
      <c r="BA495" s="35">
        <f t="shared" si="273"/>
        <v>0</v>
      </c>
      <c r="BB495" s="35">
        <f t="shared" si="274"/>
        <v>0</v>
      </c>
      <c r="BC495" s="35">
        <f t="shared" si="275"/>
        <v>0</v>
      </c>
      <c r="BD495" s="35">
        <f t="shared" si="276"/>
        <v>0</v>
      </c>
      <c r="BE495" s="35">
        <f t="shared" si="277"/>
        <v>0</v>
      </c>
      <c r="BF495" s="35">
        <f t="shared" si="278"/>
        <v>0</v>
      </c>
      <c r="BG495" s="35">
        <f t="shared" si="279"/>
        <v>0</v>
      </c>
      <c r="BH495" s="35">
        <f t="shared" si="280"/>
        <v>0</v>
      </c>
      <c r="BI495" s="35">
        <f t="shared" si="281"/>
        <v>0</v>
      </c>
      <c r="BJ495" s="35">
        <f t="shared" si="282"/>
        <v>0</v>
      </c>
      <c r="BK495" s="35">
        <f t="shared" si="283"/>
        <v>0</v>
      </c>
      <c r="BL495" s="35">
        <f t="shared" si="284"/>
        <v>0</v>
      </c>
      <c r="BM495" s="35">
        <f t="shared" si="285"/>
        <v>0</v>
      </c>
      <c r="BN495" s="35">
        <f t="shared" si="286"/>
        <v>0</v>
      </c>
      <c r="BO495" s="35">
        <f t="shared" si="287"/>
        <v>0</v>
      </c>
      <c r="BP495" s="35">
        <f t="shared" si="288"/>
        <v>0</v>
      </c>
      <c r="BQ495" s="35">
        <f t="shared" si="289"/>
        <v>0</v>
      </c>
      <c r="BR495" s="35">
        <f t="shared" si="290"/>
        <v>0</v>
      </c>
      <c r="BS495" s="35">
        <f t="shared" si="291"/>
        <v>0</v>
      </c>
      <c r="BT495" s="43">
        <f t="shared" si="292"/>
        <v>0</v>
      </c>
    </row>
    <row r="496" spans="1:72">
      <c r="A496" s="9"/>
      <c r="B496" s="34"/>
      <c r="C496" s="34"/>
      <c r="D496" s="1805"/>
      <c r="E496" s="35">
        <f t="shared" si="293"/>
        <v>0</v>
      </c>
      <c r="F496" s="36"/>
      <c r="G496" s="37">
        <f t="shared" si="268"/>
        <v>0</v>
      </c>
      <c r="H496" s="38">
        <f t="shared" si="269"/>
        <v>0</v>
      </c>
      <c r="I496" s="39"/>
      <c r="J496" s="39"/>
      <c r="K496" s="39"/>
      <c r="L496" s="39"/>
      <c r="M496" s="39"/>
      <c r="N496" s="39"/>
      <c r="O496" s="39"/>
      <c r="P496" s="39"/>
      <c r="Q496" s="39"/>
      <c r="R496" s="39"/>
      <c r="S496" s="39"/>
      <c r="T496" s="39"/>
      <c r="U496" s="39"/>
      <c r="V496" s="39"/>
      <c r="W496" s="39"/>
      <c r="X496" s="39"/>
      <c r="Y496" s="39"/>
      <c r="Z496" s="39"/>
      <c r="AA496" s="39"/>
      <c r="AB496" s="39"/>
      <c r="AC496" s="35">
        <f t="shared" si="270"/>
        <v>0</v>
      </c>
      <c r="AD496" s="40"/>
      <c r="AE496" s="40"/>
      <c r="AF496" s="40"/>
      <c r="AG496" s="40"/>
      <c r="AH496" s="40"/>
      <c r="AI496" s="40"/>
      <c r="AJ496" s="40"/>
      <c r="AK496" s="40"/>
      <c r="AL496" s="40"/>
      <c r="AM496" s="40"/>
      <c r="AN496" s="40"/>
      <c r="AO496" s="40"/>
      <c r="AP496" s="40"/>
      <c r="AQ496" s="40"/>
      <c r="AR496" s="40"/>
      <c r="AS496" s="40"/>
      <c r="AT496" s="41"/>
      <c r="AU496" s="1806"/>
      <c r="AV496" s="1517">
        <f t="shared" si="294"/>
        <v>0</v>
      </c>
      <c r="AW496" s="1517">
        <f t="shared" si="295"/>
        <v>0</v>
      </c>
      <c r="AX496" s="1517">
        <f t="shared" si="296"/>
        <v>0</v>
      </c>
      <c r="AY496" s="42">
        <f t="shared" si="271"/>
        <v>0</v>
      </c>
      <c r="AZ496" s="35">
        <f t="shared" si="272"/>
        <v>0</v>
      </c>
      <c r="BA496" s="35">
        <f t="shared" si="273"/>
        <v>0</v>
      </c>
      <c r="BB496" s="35">
        <f t="shared" si="274"/>
        <v>0</v>
      </c>
      <c r="BC496" s="35">
        <f t="shared" si="275"/>
        <v>0</v>
      </c>
      <c r="BD496" s="35">
        <f t="shared" si="276"/>
        <v>0</v>
      </c>
      <c r="BE496" s="35">
        <f t="shared" si="277"/>
        <v>0</v>
      </c>
      <c r="BF496" s="35">
        <f t="shared" si="278"/>
        <v>0</v>
      </c>
      <c r="BG496" s="35">
        <f t="shared" si="279"/>
        <v>0</v>
      </c>
      <c r="BH496" s="35">
        <f t="shared" si="280"/>
        <v>0</v>
      </c>
      <c r="BI496" s="35">
        <f t="shared" si="281"/>
        <v>0</v>
      </c>
      <c r="BJ496" s="35">
        <f t="shared" si="282"/>
        <v>0</v>
      </c>
      <c r="BK496" s="35">
        <f t="shared" si="283"/>
        <v>0</v>
      </c>
      <c r="BL496" s="35">
        <f t="shared" si="284"/>
        <v>0</v>
      </c>
      <c r="BM496" s="35">
        <f t="shared" si="285"/>
        <v>0</v>
      </c>
      <c r="BN496" s="35">
        <f t="shared" si="286"/>
        <v>0</v>
      </c>
      <c r="BO496" s="35">
        <f t="shared" si="287"/>
        <v>0</v>
      </c>
      <c r="BP496" s="35">
        <f t="shared" si="288"/>
        <v>0</v>
      </c>
      <c r="BQ496" s="35">
        <f t="shared" si="289"/>
        <v>0</v>
      </c>
      <c r="BR496" s="35">
        <f t="shared" si="290"/>
        <v>0</v>
      </c>
      <c r="BS496" s="35">
        <f t="shared" si="291"/>
        <v>0</v>
      </c>
      <c r="BT496" s="43">
        <f t="shared" si="292"/>
        <v>0</v>
      </c>
    </row>
    <row r="497" spans="1:72">
      <c r="A497" s="9"/>
      <c r="B497" s="34"/>
      <c r="C497" s="34"/>
      <c r="D497" s="1805"/>
      <c r="E497" s="35">
        <f t="shared" si="293"/>
        <v>0</v>
      </c>
      <c r="F497" s="36"/>
      <c r="G497" s="37">
        <f t="shared" si="268"/>
        <v>0</v>
      </c>
      <c r="H497" s="38">
        <f t="shared" si="269"/>
        <v>0</v>
      </c>
      <c r="I497" s="39"/>
      <c r="J497" s="39"/>
      <c r="K497" s="39"/>
      <c r="L497" s="39"/>
      <c r="M497" s="39"/>
      <c r="N497" s="39"/>
      <c r="O497" s="39"/>
      <c r="P497" s="39"/>
      <c r="Q497" s="39"/>
      <c r="R497" s="39"/>
      <c r="S497" s="39"/>
      <c r="T497" s="39"/>
      <c r="U497" s="39"/>
      <c r="V497" s="39"/>
      <c r="W497" s="39"/>
      <c r="X497" s="39"/>
      <c r="Y497" s="39"/>
      <c r="Z497" s="39"/>
      <c r="AA497" s="39"/>
      <c r="AB497" s="39"/>
      <c r="AC497" s="35">
        <f t="shared" si="270"/>
        <v>0</v>
      </c>
      <c r="AD497" s="40"/>
      <c r="AE497" s="40"/>
      <c r="AF497" s="40"/>
      <c r="AG497" s="40"/>
      <c r="AH497" s="40"/>
      <c r="AI497" s="40"/>
      <c r="AJ497" s="40"/>
      <c r="AK497" s="40"/>
      <c r="AL497" s="40"/>
      <c r="AM497" s="40"/>
      <c r="AN497" s="40"/>
      <c r="AO497" s="40"/>
      <c r="AP497" s="40"/>
      <c r="AQ497" s="40"/>
      <c r="AR497" s="40"/>
      <c r="AS497" s="40"/>
      <c r="AT497" s="41"/>
      <c r="AU497" s="1806"/>
      <c r="AV497" s="1517">
        <f t="shared" si="294"/>
        <v>0</v>
      </c>
      <c r="AW497" s="1517">
        <f t="shared" si="295"/>
        <v>0</v>
      </c>
      <c r="AX497" s="1517">
        <f t="shared" si="296"/>
        <v>0</v>
      </c>
      <c r="AY497" s="42">
        <f t="shared" si="271"/>
        <v>0</v>
      </c>
      <c r="AZ497" s="35">
        <f t="shared" si="272"/>
        <v>0</v>
      </c>
      <c r="BA497" s="35">
        <f t="shared" si="273"/>
        <v>0</v>
      </c>
      <c r="BB497" s="35">
        <f t="shared" si="274"/>
        <v>0</v>
      </c>
      <c r="BC497" s="35">
        <f t="shared" si="275"/>
        <v>0</v>
      </c>
      <c r="BD497" s="35">
        <f t="shared" si="276"/>
        <v>0</v>
      </c>
      <c r="BE497" s="35">
        <f t="shared" si="277"/>
        <v>0</v>
      </c>
      <c r="BF497" s="35">
        <f t="shared" si="278"/>
        <v>0</v>
      </c>
      <c r="BG497" s="35">
        <f t="shared" si="279"/>
        <v>0</v>
      </c>
      <c r="BH497" s="35">
        <f t="shared" si="280"/>
        <v>0</v>
      </c>
      <c r="BI497" s="35">
        <f t="shared" si="281"/>
        <v>0</v>
      </c>
      <c r="BJ497" s="35">
        <f t="shared" si="282"/>
        <v>0</v>
      </c>
      <c r="BK497" s="35">
        <f t="shared" si="283"/>
        <v>0</v>
      </c>
      <c r="BL497" s="35">
        <f t="shared" si="284"/>
        <v>0</v>
      </c>
      <c r="BM497" s="35">
        <f t="shared" si="285"/>
        <v>0</v>
      </c>
      <c r="BN497" s="35">
        <f t="shared" si="286"/>
        <v>0</v>
      </c>
      <c r="BO497" s="35">
        <f t="shared" si="287"/>
        <v>0</v>
      </c>
      <c r="BP497" s="35">
        <f t="shared" si="288"/>
        <v>0</v>
      </c>
      <c r="BQ497" s="35">
        <f t="shared" si="289"/>
        <v>0</v>
      </c>
      <c r="BR497" s="35">
        <f t="shared" si="290"/>
        <v>0</v>
      </c>
      <c r="BS497" s="35">
        <f t="shared" si="291"/>
        <v>0</v>
      </c>
      <c r="BT497" s="43">
        <f t="shared" si="292"/>
        <v>0</v>
      </c>
    </row>
    <row r="498" spans="1:72">
      <c r="A498" s="9"/>
      <c r="B498" s="34"/>
      <c r="C498" s="34"/>
      <c r="D498" s="1805"/>
      <c r="E498" s="35">
        <f t="shared" si="293"/>
        <v>0</v>
      </c>
      <c r="F498" s="36"/>
      <c r="G498" s="37">
        <f t="shared" si="268"/>
        <v>0</v>
      </c>
      <c r="H498" s="38">
        <f t="shared" si="269"/>
        <v>0</v>
      </c>
      <c r="I498" s="39"/>
      <c r="J498" s="39"/>
      <c r="K498" s="39"/>
      <c r="L498" s="39"/>
      <c r="M498" s="39"/>
      <c r="N498" s="39"/>
      <c r="O498" s="39"/>
      <c r="P498" s="39"/>
      <c r="Q498" s="39"/>
      <c r="R498" s="39"/>
      <c r="S498" s="39"/>
      <c r="T498" s="39"/>
      <c r="U498" s="39"/>
      <c r="V498" s="39"/>
      <c r="W498" s="39"/>
      <c r="X498" s="39"/>
      <c r="Y498" s="39"/>
      <c r="Z498" s="39"/>
      <c r="AA498" s="39"/>
      <c r="AB498" s="39"/>
      <c r="AC498" s="35">
        <f t="shared" si="270"/>
        <v>0</v>
      </c>
      <c r="AD498" s="40"/>
      <c r="AE498" s="40"/>
      <c r="AF498" s="40"/>
      <c r="AG498" s="40"/>
      <c r="AH498" s="40"/>
      <c r="AI498" s="40"/>
      <c r="AJ498" s="40"/>
      <c r="AK498" s="40"/>
      <c r="AL498" s="40"/>
      <c r="AM498" s="40"/>
      <c r="AN498" s="40"/>
      <c r="AO498" s="40"/>
      <c r="AP498" s="40"/>
      <c r="AQ498" s="40"/>
      <c r="AR498" s="40"/>
      <c r="AS498" s="40"/>
      <c r="AT498" s="41"/>
      <c r="AU498" s="1806"/>
      <c r="AV498" s="1517">
        <f t="shared" si="294"/>
        <v>0</v>
      </c>
      <c r="AW498" s="1517">
        <f t="shared" si="295"/>
        <v>0</v>
      </c>
      <c r="AX498" s="1517">
        <f t="shared" si="296"/>
        <v>0</v>
      </c>
      <c r="AY498" s="42">
        <f t="shared" si="271"/>
        <v>0</v>
      </c>
      <c r="AZ498" s="35">
        <f t="shared" si="272"/>
        <v>0</v>
      </c>
      <c r="BA498" s="35">
        <f t="shared" si="273"/>
        <v>0</v>
      </c>
      <c r="BB498" s="35">
        <f t="shared" si="274"/>
        <v>0</v>
      </c>
      <c r="BC498" s="35">
        <f t="shared" si="275"/>
        <v>0</v>
      </c>
      <c r="BD498" s="35">
        <f t="shared" si="276"/>
        <v>0</v>
      </c>
      <c r="BE498" s="35">
        <f t="shared" si="277"/>
        <v>0</v>
      </c>
      <c r="BF498" s="35">
        <f t="shared" si="278"/>
        <v>0</v>
      </c>
      <c r="BG498" s="35">
        <f t="shared" si="279"/>
        <v>0</v>
      </c>
      <c r="BH498" s="35">
        <f t="shared" si="280"/>
        <v>0</v>
      </c>
      <c r="BI498" s="35">
        <f t="shared" si="281"/>
        <v>0</v>
      </c>
      <c r="BJ498" s="35">
        <f t="shared" si="282"/>
        <v>0</v>
      </c>
      <c r="BK498" s="35">
        <f t="shared" si="283"/>
        <v>0</v>
      </c>
      <c r="BL498" s="35">
        <f t="shared" si="284"/>
        <v>0</v>
      </c>
      <c r="BM498" s="35">
        <f t="shared" si="285"/>
        <v>0</v>
      </c>
      <c r="BN498" s="35">
        <f t="shared" si="286"/>
        <v>0</v>
      </c>
      <c r="BO498" s="35">
        <f t="shared" si="287"/>
        <v>0</v>
      </c>
      <c r="BP498" s="35">
        <f t="shared" si="288"/>
        <v>0</v>
      </c>
      <c r="BQ498" s="35">
        <f t="shared" si="289"/>
        <v>0</v>
      </c>
      <c r="BR498" s="35">
        <f t="shared" si="290"/>
        <v>0</v>
      </c>
      <c r="BS498" s="35">
        <f t="shared" si="291"/>
        <v>0</v>
      </c>
      <c r="BT498" s="43">
        <f t="shared" si="292"/>
        <v>0</v>
      </c>
    </row>
    <row r="499" spans="1:72">
      <c r="A499" s="9"/>
      <c r="B499" s="34"/>
      <c r="C499" s="34"/>
      <c r="D499" s="1805"/>
      <c r="E499" s="35">
        <f t="shared" si="293"/>
        <v>0</v>
      </c>
      <c r="F499" s="36"/>
      <c r="G499" s="37">
        <f t="shared" si="268"/>
        <v>0</v>
      </c>
      <c r="H499" s="38">
        <f t="shared" si="269"/>
        <v>0</v>
      </c>
      <c r="I499" s="39"/>
      <c r="J499" s="39"/>
      <c r="K499" s="39"/>
      <c r="L499" s="39"/>
      <c r="M499" s="39"/>
      <c r="N499" s="39"/>
      <c r="O499" s="39"/>
      <c r="P499" s="39"/>
      <c r="Q499" s="39"/>
      <c r="R499" s="39"/>
      <c r="S499" s="39"/>
      <c r="T499" s="39"/>
      <c r="U499" s="39"/>
      <c r="V499" s="39"/>
      <c r="W499" s="39"/>
      <c r="X499" s="39"/>
      <c r="Y499" s="39"/>
      <c r="Z499" s="39"/>
      <c r="AA499" s="39"/>
      <c r="AB499" s="39"/>
      <c r="AC499" s="35">
        <f t="shared" si="270"/>
        <v>0</v>
      </c>
      <c r="AD499" s="40"/>
      <c r="AE499" s="40"/>
      <c r="AF499" s="40"/>
      <c r="AG499" s="40"/>
      <c r="AH499" s="40"/>
      <c r="AI499" s="40"/>
      <c r="AJ499" s="40"/>
      <c r="AK499" s="40"/>
      <c r="AL499" s="40"/>
      <c r="AM499" s="40"/>
      <c r="AN499" s="40"/>
      <c r="AO499" s="40"/>
      <c r="AP499" s="40"/>
      <c r="AQ499" s="40"/>
      <c r="AR499" s="40"/>
      <c r="AS499" s="40"/>
      <c r="AT499" s="41"/>
      <c r="AU499" s="1806"/>
      <c r="AV499" s="1517">
        <f t="shared" si="294"/>
        <v>0</v>
      </c>
      <c r="AW499" s="1517">
        <f t="shared" si="295"/>
        <v>0</v>
      </c>
      <c r="AX499" s="1517">
        <f t="shared" si="296"/>
        <v>0</v>
      </c>
      <c r="AY499" s="42">
        <f t="shared" si="271"/>
        <v>0</v>
      </c>
      <c r="AZ499" s="35">
        <f t="shared" si="272"/>
        <v>0</v>
      </c>
      <c r="BA499" s="35">
        <f t="shared" si="273"/>
        <v>0</v>
      </c>
      <c r="BB499" s="35">
        <f t="shared" si="274"/>
        <v>0</v>
      </c>
      <c r="BC499" s="35">
        <f t="shared" si="275"/>
        <v>0</v>
      </c>
      <c r="BD499" s="35">
        <f t="shared" si="276"/>
        <v>0</v>
      </c>
      <c r="BE499" s="35">
        <f t="shared" si="277"/>
        <v>0</v>
      </c>
      <c r="BF499" s="35">
        <f t="shared" si="278"/>
        <v>0</v>
      </c>
      <c r="BG499" s="35">
        <f t="shared" si="279"/>
        <v>0</v>
      </c>
      <c r="BH499" s="35">
        <f t="shared" si="280"/>
        <v>0</v>
      </c>
      <c r="BI499" s="35">
        <f t="shared" si="281"/>
        <v>0</v>
      </c>
      <c r="BJ499" s="35">
        <f t="shared" si="282"/>
        <v>0</v>
      </c>
      <c r="BK499" s="35">
        <f t="shared" si="283"/>
        <v>0</v>
      </c>
      <c r="BL499" s="35">
        <f t="shared" si="284"/>
        <v>0</v>
      </c>
      <c r="BM499" s="35">
        <f t="shared" si="285"/>
        <v>0</v>
      </c>
      <c r="BN499" s="35">
        <f t="shared" si="286"/>
        <v>0</v>
      </c>
      <c r="BO499" s="35">
        <f t="shared" si="287"/>
        <v>0</v>
      </c>
      <c r="BP499" s="35">
        <f t="shared" si="288"/>
        <v>0</v>
      </c>
      <c r="BQ499" s="35">
        <f t="shared" si="289"/>
        <v>0</v>
      </c>
      <c r="BR499" s="35">
        <f t="shared" si="290"/>
        <v>0</v>
      </c>
      <c r="BS499" s="35">
        <f t="shared" si="291"/>
        <v>0</v>
      </c>
      <c r="BT499" s="43">
        <f t="shared" si="292"/>
        <v>0</v>
      </c>
    </row>
    <row r="500" spans="1:72">
      <c r="A500" s="9"/>
      <c r="B500" s="34"/>
      <c r="C500" s="34"/>
      <c r="D500" s="1805"/>
      <c r="E500" s="35">
        <f t="shared" si="293"/>
        <v>0</v>
      </c>
      <c r="F500" s="36"/>
      <c r="G500" s="37">
        <f t="shared" si="268"/>
        <v>0</v>
      </c>
      <c r="H500" s="38">
        <f t="shared" si="269"/>
        <v>0</v>
      </c>
      <c r="I500" s="39"/>
      <c r="J500" s="39"/>
      <c r="K500" s="39"/>
      <c r="L500" s="39"/>
      <c r="M500" s="39"/>
      <c r="N500" s="39"/>
      <c r="O500" s="39"/>
      <c r="P500" s="39"/>
      <c r="Q500" s="39"/>
      <c r="R500" s="39"/>
      <c r="S500" s="39"/>
      <c r="T500" s="39"/>
      <c r="U500" s="39"/>
      <c r="V500" s="39"/>
      <c r="W500" s="39"/>
      <c r="X500" s="39"/>
      <c r="Y500" s="39"/>
      <c r="Z500" s="39"/>
      <c r="AA500" s="39"/>
      <c r="AB500" s="39"/>
      <c r="AC500" s="35">
        <f t="shared" si="270"/>
        <v>0</v>
      </c>
      <c r="AD500" s="40"/>
      <c r="AE500" s="40"/>
      <c r="AF500" s="40"/>
      <c r="AG500" s="40"/>
      <c r="AH500" s="40"/>
      <c r="AI500" s="40"/>
      <c r="AJ500" s="40"/>
      <c r="AK500" s="40"/>
      <c r="AL500" s="40"/>
      <c r="AM500" s="40"/>
      <c r="AN500" s="40"/>
      <c r="AO500" s="40"/>
      <c r="AP500" s="40"/>
      <c r="AQ500" s="40"/>
      <c r="AR500" s="40"/>
      <c r="AS500" s="40"/>
      <c r="AT500" s="41"/>
      <c r="AU500" s="1806"/>
      <c r="AV500" s="1517">
        <f t="shared" si="294"/>
        <v>0</v>
      </c>
      <c r="AW500" s="1517">
        <f t="shared" si="295"/>
        <v>0</v>
      </c>
      <c r="AX500" s="1517">
        <f t="shared" si="296"/>
        <v>0</v>
      </c>
      <c r="AY500" s="42">
        <f t="shared" si="271"/>
        <v>0</v>
      </c>
      <c r="AZ500" s="35">
        <f t="shared" si="272"/>
        <v>0</v>
      </c>
      <c r="BA500" s="35">
        <f t="shared" si="273"/>
        <v>0</v>
      </c>
      <c r="BB500" s="35">
        <f t="shared" si="274"/>
        <v>0</v>
      </c>
      <c r="BC500" s="35">
        <f t="shared" si="275"/>
        <v>0</v>
      </c>
      <c r="BD500" s="35">
        <f t="shared" si="276"/>
        <v>0</v>
      </c>
      <c r="BE500" s="35">
        <f t="shared" si="277"/>
        <v>0</v>
      </c>
      <c r="BF500" s="35">
        <f t="shared" si="278"/>
        <v>0</v>
      </c>
      <c r="BG500" s="35">
        <f t="shared" si="279"/>
        <v>0</v>
      </c>
      <c r="BH500" s="35">
        <f t="shared" si="280"/>
        <v>0</v>
      </c>
      <c r="BI500" s="35">
        <f t="shared" si="281"/>
        <v>0</v>
      </c>
      <c r="BJ500" s="35">
        <f t="shared" si="282"/>
        <v>0</v>
      </c>
      <c r="BK500" s="35">
        <f t="shared" si="283"/>
        <v>0</v>
      </c>
      <c r="BL500" s="35">
        <f t="shared" si="284"/>
        <v>0</v>
      </c>
      <c r="BM500" s="35">
        <f t="shared" si="285"/>
        <v>0</v>
      </c>
      <c r="BN500" s="35">
        <f t="shared" si="286"/>
        <v>0</v>
      </c>
      <c r="BO500" s="35">
        <f t="shared" si="287"/>
        <v>0</v>
      </c>
      <c r="BP500" s="35">
        <f t="shared" si="288"/>
        <v>0</v>
      </c>
      <c r="BQ500" s="35">
        <f t="shared" si="289"/>
        <v>0</v>
      </c>
      <c r="BR500" s="35">
        <f t="shared" si="290"/>
        <v>0</v>
      </c>
      <c r="BS500" s="35">
        <f t="shared" si="291"/>
        <v>0</v>
      </c>
      <c r="BT500" s="43">
        <f t="shared" si="292"/>
        <v>0</v>
      </c>
    </row>
    <row r="501" spans="1:72">
      <c r="A501" s="9"/>
      <c r="B501" s="34"/>
      <c r="C501" s="34"/>
      <c r="D501" s="1805"/>
      <c r="E501" s="35">
        <f t="shared" si="293"/>
        <v>0</v>
      </c>
      <c r="F501" s="36"/>
      <c r="G501" s="37">
        <f t="shared" si="268"/>
        <v>0</v>
      </c>
      <c r="H501" s="38">
        <f t="shared" si="269"/>
        <v>0</v>
      </c>
      <c r="I501" s="39"/>
      <c r="J501" s="39"/>
      <c r="K501" s="39"/>
      <c r="L501" s="39"/>
      <c r="M501" s="39"/>
      <c r="N501" s="39"/>
      <c r="O501" s="39"/>
      <c r="P501" s="39"/>
      <c r="Q501" s="39"/>
      <c r="R501" s="39"/>
      <c r="S501" s="39"/>
      <c r="T501" s="39"/>
      <c r="U501" s="39"/>
      <c r="V501" s="39"/>
      <c r="W501" s="39"/>
      <c r="X501" s="39"/>
      <c r="Y501" s="39"/>
      <c r="Z501" s="39"/>
      <c r="AA501" s="39"/>
      <c r="AB501" s="39"/>
      <c r="AC501" s="35">
        <f t="shared" si="270"/>
        <v>0</v>
      </c>
      <c r="AD501" s="40"/>
      <c r="AE501" s="40"/>
      <c r="AF501" s="40"/>
      <c r="AG501" s="40"/>
      <c r="AH501" s="40"/>
      <c r="AI501" s="40"/>
      <c r="AJ501" s="40"/>
      <c r="AK501" s="40"/>
      <c r="AL501" s="40"/>
      <c r="AM501" s="40"/>
      <c r="AN501" s="40"/>
      <c r="AO501" s="40"/>
      <c r="AP501" s="40"/>
      <c r="AQ501" s="40"/>
      <c r="AR501" s="40"/>
      <c r="AS501" s="40"/>
      <c r="AT501" s="41"/>
      <c r="AU501" s="1806"/>
      <c r="AV501" s="1517">
        <f t="shared" si="294"/>
        <v>0</v>
      </c>
      <c r="AW501" s="1517">
        <f t="shared" si="295"/>
        <v>0</v>
      </c>
      <c r="AX501" s="1517">
        <f t="shared" si="296"/>
        <v>0</v>
      </c>
      <c r="AY501" s="42">
        <f t="shared" si="271"/>
        <v>0</v>
      </c>
      <c r="AZ501" s="35">
        <f t="shared" si="272"/>
        <v>0</v>
      </c>
      <c r="BA501" s="35">
        <f t="shared" si="273"/>
        <v>0</v>
      </c>
      <c r="BB501" s="35">
        <f t="shared" si="274"/>
        <v>0</v>
      </c>
      <c r="BC501" s="35">
        <f t="shared" si="275"/>
        <v>0</v>
      </c>
      <c r="BD501" s="35">
        <f t="shared" si="276"/>
        <v>0</v>
      </c>
      <c r="BE501" s="35">
        <f t="shared" si="277"/>
        <v>0</v>
      </c>
      <c r="BF501" s="35">
        <f t="shared" si="278"/>
        <v>0</v>
      </c>
      <c r="BG501" s="35">
        <f t="shared" si="279"/>
        <v>0</v>
      </c>
      <c r="BH501" s="35">
        <f t="shared" si="280"/>
        <v>0</v>
      </c>
      <c r="BI501" s="35">
        <f t="shared" si="281"/>
        <v>0</v>
      </c>
      <c r="BJ501" s="35">
        <f t="shared" si="282"/>
        <v>0</v>
      </c>
      <c r="BK501" s="35">
        <f t="shared" si="283"/>
        <v>0</v>
      </c>
      <c r="BL501" s="35">
        <f t="shared" si="284"/>
        <v>0</v>
      </c>
      <c r="BM501" s="35">
        <f t="shared" si="285"/>
        <v>0</v>
      </c>
      <c r="BN501" s="35">
        <f t="shared" si="286"/>
        <v>0</v>
      </c>
      <c r="BO501" s="35">
        <f t="shared" si="287"/>
        <v>0</v>
      </c>
      <c r="BP501" s="35">
        <f t="shared" si="288"/>
        <v>0</v>
      </c>
      <c r="BQ501" s="35">
        <f t="shared" si="289"/>
        <v>0</v>
      </c>
      <c r="BR501" s="35">
        <f t="shared" si="290"/>
        <v>0</v>
      </c>
      <c r="BS501" s="35">
        <f t="shared" si="291"/>
        <v>0</v>
      </c>
      <c r="BT501" s="43">
        <f t="shared" si="292"/>
        <v>0</v>
      </c>
    </row>
    <row r="502" spans="1:72">
      <c r="A502" s="9"/>
      <c r="B502" s="34"/>
      <c r="C502" s="34"/>
      <c r="D502" s="1805"/>
      <c r="E502" s="35">
        <f t="shared" si="293"/>
        <v>0</v>
      </c>
      <c r="F502" s="36"/>
      <c r="G502" s="37">
        <f t="shared" si="268"/>
        <v>0</v>
      </c>
      <c r="H502" s="38">
        <f t="shared" si="269"/>
        <v>0</v>
      </c>
      <c r="I502" s="39"/>
      <c r="J502" s="39"/>
      <c r="K502" s="39"/>
      <c r="L502" s="39"/>
      <c r="M502" s="39"/>
      <c r="N502" s="39"/>
      <c r="O502" s="39"/>
      <c r="P502" s="39"/>
      <c r="Q502" s="39"/>
      <c r="R502" s="39"/>
      <c r="S502" s="39"/>
      <c r="T502" s="39"/>
      <c r="U502" s="39"/>
      <c r="V502" s="39"/>
      <c r="W502" s="39"/>
      <c r="X502" s="39"/>
      <c r="Y502" s="39"/>
      <c r="Z502" s="39"/>
      <c r="AA502" s="39"/>
      <c r="AB502" s="39"/>
      <c r="AC502" s="35">
        <f t="shared" si="270"/>
        <v>0</v>
      </c>
      <c r="AD502" s="40"/>
      <c r="AE502" s="40"/>
      <c r="AF502" s="40"/>
      <c r="AG502" s="40"/>
      <c r="AH502" s="40"/>
      <c r="AI502" s="40"/>
      <c r="AJ502" s="40"/>
      <c r="AK502" s="40"/>
      <c r="AL502" s="40"/>
      <c r="AM502" s="40"/>
      <c r="AN502" s="40"/>
      <c r="AO502" s="40"/>
      <c r="AP502" s="40"/>
      <c r="AQ502" s="40"/>
      <c r="AR502" s="40"/>
      <c r="AS502" s="40"/>
      <c r="AT502" s="41"/>
      <c r="AU502" s="1806"/>
      <c r="AV502" s="1517">
        <f t="shared" si="294"/>
        <v>0</v>
      </c>
      <c r="AW502" s="1517">
        <f t="shared" si="295"/>
        <v>0</v>
      </c>
      <c r="AX502" s="1517">
        <f t="shared" si="296"/>
        <v>0</v>
      </c>
      <c r="AY502" s="42">
        <f t="shared" si="271"/>
        <v>0</v>
      </c>
      <c r="AZ502" s="35">
        <f t="shared" si="272"/>
        <v>0</v>
      </c>
      <c r="BA502" s="35">
        <f t="shared" si="273"/>
        <v>0</v>
      </c>
      <c r="BB502" s="35">
        <f t="shared" si="274"/>
        <v>0</v>
      </c>
      <c r="BC502" s="35">
        <f t="shared" si="275"/>
        <v>0</v>
      </c>
      <c r="BD502" s="35">
        <f t="shared" si="276"/>
        <v>0</v>
      </c>
      <c r="BE502" s="35">
        <f t="shared" si="277"/>
        <v>0</v>
      </c>
      <c r="BF502" s="35">
        <f t="shared" si="278"/>
        <v>0</v>
      </c>
      <c r="BG502" s="35">
        <f t="shared" si="279"/>
        <v>0</v>
      </c>
      <c r="BH502" s="35">
        <f t="shared" si="280"/>
        <v>0</v>
      </c>
      <c r="BI502" s="35">
        <f t="shared" si="281"/>
        <v>0</v>
      </c>
      <c r="BJ502" s="35">
        <f t="shared" si="282"/>
        <v>0</v>
      </c>
      <c r="BK502" s="35">
        <f t="shared" si="283"/>
        <v>0</v>
      </c>
      <c r="BL502" s="35">
        <f t="shared" si="284"/>
        <v>0</v>
      </c>
      <c r="BM502" s="35">
        <f t="shared" si="285"/>
        <v>0</v>
      </c>
      <c r="BN502" s="35">
        <f t="shared" si="286"/>
        <v>0</v>
      </c>
      <c r="BO502" s="35">
        <f t="shared" si="287"/>
        <v>0</v>
      </c>
      <c r="BP502" s="35">
        <f t="shared" si="288"/>
        <v>0</v>
      </c>
      <c r="BQ502" s="35">
        <f t="shared" si="289"/>
        <v>0</v>
      </c>
      <c r="BR502" s="35">
        <f t="shared" si="290"/>
        <v>0</v>
      </c>
      <c r="BS502" s="35">
        <f t="shared" si="291"/>
        <v>0</v>
      </c>
      <c r="BT502" s="43">
        <f t="shared" si="292"/>
        <v>0</v>
      </c>
    </row>
    <row r="503" spans="1:72">
      <c r="A503" s="9"/>
      <c r="B503" s="34"/>
      <c r="C503" s="34"/>
      <c r="D503" s="1805"/>
      <c r="E503" s="35">
        <f t="shared" si="293"/>
        <v>0</v>
      </c>
      <c r="F503" s="36"/>
      <c r="G503" s="37">
        <f t="shared" si="268"/>
        <v>0</v>
      </c>
      <c r="H503" s="38">
        <f t="shared" si="269"/>
        <v>0</v>
      </c>
      <c r="I503" s="39"/>
      <c r="J503" s="39"/>
      <c r="K503" s="39"/>
      <c r="L503" s="39"/>
      <c r="M503" s="39"/>
      <c r="N503" s="39"/>
      <c r="O503" s="39"/>
      <c r="P503" s="39"/>
      <c r="Q503" s="39"/>
      <c r="R503" s="39"/>
      <c r="S503" s="39"/>
      <c r="T503" s="39"/>
      <c r="U503" s="39"/>
      <c r="V503" s="39"/>
      <c r="W503" s="39"/>
      <c r="X503" s="39"/>
      <c r="Y503" s="39"/>
      <c r="Z503" s="39"/>
      <c r="AA503" s="39"/>
      <c r="AB503" s="39"/>
      <c r="AC503" s="35">
        <f t="shared" si="270"/>
        <v>0</v>
      </c>
      <c r="AD503" s="40"/>
      <c r="AE503" s="40"/>
      <c r="AF503" s="40"/>
      <c r="AG503" s="40"/>
      <c r="AH503" s="40"/>
      <c r="AI503" s="40"/>
      <c r="AJ503" s="40"/>
      <c r="AK503" s="40"/>
      <c r="AL503" s="40"/>
      <c r="AM503" s="40"/>
      <c r="AN503" s="40"/>
      <c r="AO503" s="40"/>
      <c r="AP503" s="40"/>
      <c r="AQ503" s="40"/>
      <c r="AR503" s="40"/>
      <c r="AS503" s="40"/>
      <c r="AT503" s="41"/>
      <c r="AU503" s="1806"/>
      <c r="AV503" s="1517">
        <f t="shared" si="294"/>
        <v>0</v>
      </c>
      <c r="AW503" s="1517">
        <f t="shared" si="295"/>
        <v>0</v>
      </c>
      <c r="AX503" s="1517">
        <f t="shared" si="296"/>
        <v>0</v>
      </c>
      <c r="AY503" s="42">
        <f t="shared" si="271"/>
        <v>0</v>
      </c>
      <c r="AZ503" s="35">
        <f t="shared" si="272"/>
        <v>0</v>
      </c>
      <c r="BA503" s="35">
        <f t="shared" si="273"/>
        <v>0</v>
      </c>
      <c r="BB503" s="35">
        <f t="shared" si="274"/>
        <v>0</v>
      </c>
      <c r="BC503" s="35">
        <f t="shared" si="275"/>
        <v>0</v>
      </c>
      <c r="BD503" s="35">
        <f t="shared" si="276"/>
        <v>0</v>
      </c>
      <c r="BE503" s="35">
        <f t="shared" si="277"/>
        <v>0</v>
      </c>
      <c r="BF503" s="35">
        <f t="shared" si="278"/>
        <v>0</v>
      </c>
      <c r="BG503" s="35">
        <f t="shared" si="279"/>
        <v>0</v>
      </c>
      <c r="BH503" s="35">
        <f t="shared" si="280"/>
        <v>0</v>
      </c>
      <c r="BI503" s="35">
        <f t="shared" si="281"/>
        <v>0</v>
      </c>
      <c r="BJ503" s="35">
        <f t="shared" si="282"/>
        <v>0</v>
      </c>
      <c r="BK503" s="35">
        <f t="shared" si="283"/>
        <v>0</v>
      </c>
      <c r="BL503" s="35">
        <f t="shared" si="284"/>
        <v>0</v>
      </c>
      <c r="BM503" s="35">
        <f t="shared" si="285"/>
        <v>0</v>
      </c>
      <c r="BN503" s="35">
        <f t="shared" si="286"/>
        <v>0</v>
      </c>
      <c r="BO503" s="35">
        <f t="shared" si="287"/>
        <v>0</v>
      </c>
      <c r="BP503" s="35">
        <f t="shared" si="288"/>
        <v>0</v>
      </c>
      <c r="BQ503" s="35">
        <f t="shared" si="289"/>
        <v>0</v>
      </c>
      <c r="BR503" s="35">
        <f t="shared" si="290"/>
        <v>0</v>
      </c>
      <c r="BS503" s="35">
        <f t="shared" si="291"/>
        <v>0</v>
      </c>
      <c r="BT503" s="43">
        <f t="shared" si="292"/>
        <v>0</v>
      </c>
    </row>
    <row r="504" spans="1:72">
      <c r="A504" s="9"/>
      <c r="B504" s="34"/>
      <c r="C504" s="34"/>
      <c r="D504" s="1805"/>
      <c r="E504" s="35">
        <f t="shared" si="293"/>
        <v>0</v>
      </c>
      <c r="F504" s="36"/>
      <c r="G504" s="37">
        <f t="shared" si="268"/>
        <v>0</v>
      </c>
      <c r="H504" s="38">
        <f t="shared" si="269"/>
        <v>0</v>
      </c>
      <c r="I504" s="39"/>
      <c r="J504" s="39"/>
      <c r="K504" s="39"/>
      <c r="L504" s="39"/>
      <c r="M504" s="39"/>
      <c r="N504" s="39"/>
      <c r="O504" s="39"/>
      <c r="P504" s="39"/>
      <c r="Q504" s="39"/>
      <c r="R504" s="39"/>
      <c r="S504" s="39"/>
      <c r="T504" s="39"/>
      <c r="U504" s="39"/>
      <c r="V504" s="39"/>
      <c r="W504" s="39"/>
      <c r="X504" s="39"/>
      <c r="Y504" s="39"/>
      <c r="Z504" s="39"/>
      <c r="AA504" s="39"/>
      <c r="AB504" s="39"/>
      <c r="AC504" s="35">
        <f t="shared" si="270"/>
        <v>0</v>
      </c>
      <c r="AD504" s="40"/>
      <c r="AE504" s="40"/>
      <c r="AF504" s="40"/>
      <c r="AG504" s="40"/>
      <c r="AH504" s="40"/>
      <c r="AI504" s="40"/>
      <c r="AJ504" s="40"/>
      <c r="AK504" s="40"/>
      <c r="AL504" s="40"/>
      <c r="AM504" s="40"/>
      <c r="AN504" s="40"/>
      <c r="AO504" s="40"/>
      <c r="AP504" s="40"/>
      <c r="AQ504" s="40"/>
      <c r="AR504" s="40"/>
      <c r="AS504" s="40"/>
      <c r="AT504" s="41"/>
      <c r="AU504" s="1806"/>
      <c r="AV504" s="1517">
        <f t="shared" si="294"/>
        <v>0</v>
      </c>
      <c r="AW504" s="1517">
        <f t="shared" si="295"/>
        <v>0</v>
      </c>
      <c r="AX504" s="1517">
        <f t="shared" si="296"/>
        <v>0</v>
      </c>
      <c r="AY504" s="42">
        <f t="shared" si="271"/>
        <v>0</v>
      </c>
      <c r="AZ504" s="35">
        <f t="shared" si="272"/>
        <v>0</v>
      </c>
      <c r="BA504" s="35">
        <f t="shared" si="273"/>
        <v>0</v>
      </c>
      <c r="BB504" s="35">
        <f t="shared" si="274"/>
        <v>0</v>
      </c>
      <c r="BC504" s="35">
        <f t="shared" si="275"/>
        <v>0</v>
      </c>
      <c r="BD504" s="35">
        <f t="shared" si="276"/>
        <v>0</v>
      </c>
      <c r="BE504" s="35">
        <f t="shared" si="277"/>
        <v>0</v>
      </c>
      <c r="BF504" s="35">
        <f t="shared" si="278"/>
        <v>0</v>
      </c>
      <c r="BG504" s="35">
        <f t="shared" si="279"/>
        <v>0</v>
      </c>
      <c r="BH504" s="35">
        <f t="shared" si="280"/>
        <v>0</v>
      </c>
      <c r="BI504" s="35">
        <f t="shared" si="281"/>
        <v>0</v>
      </c>
      <c r="BJ504" s="35">
        <f t="shared" si="282"/>
        <v>0</v>
      </c>
      <c r="BK504" s="35">
        <f t="shared" si="283"/>
        <v>0</v>
      </c>
      <c r="BL504" s="35">
        <f t="shared" si="284"/>
        <v>0</v>
      </c>
      <c r="BM504" s="35">
        <f t="shared" si="285"/>
        <v>0</v>
      </c>
      <c r="BN504" s="35">
        <f t="shared" si="286"/>
        <v>0</v>
      </c>
      <c r="BO504" s="35">
        <f t="shared" si="287"/>
        <v>0</v>
      </c>
      <c r="BP504" s="35">
        <f t="shared" si="288"/>
        <v>0</v>
      </c>
      <c r="BQ504" s="35">
        <f t="shared" si="289"/>
        <v>0</v>
      </c>
      <c r="BR504" s="35">
        <f t="shared" si="290"/>
        <v>0</v>
      </c>
      <c r="BS504" s="35">
        <f t="shared" si="291"/>
        <v>0</v>
      </c>
      <c r="BT504" s="43">
        <f t="shared" si="292"/>
        <v>0</v>
      </c>
    </row>
    <row r="505" spans="1:72">
      <c r="A505" s="9"/>
      <c r="B505" s="34"/>
      <c r="C505" s="34"/>
      <c r="D505" s="1805"/>
      <c r="E505" s="35">
        <f t="shared" si="293"/>
        <v>0</v>
      </c>
      <c r="F505" s="36"/>
      <c r="G505" s="37">
        <f t="shared" si="268"/>
        <v>0</v>
      </c>
      <c r="H505" s="38">
        <f t="shared" si="269"/>
        <v>0</v>
      </c>
      <c r="I505" s="39"/>
      <c r="J505" s="39"/>
      <c r="K505" s="39"/>
      <c r="L505" s="39"/>
      <c r="M505" s="39"/>
      <c r="N505" s="39"/>
      <c r="O505" s="39"/>
      <c r="P505" s="39"/>
      <c r="Q505" s="39"/>
      <c r="R505" s="39"/>
      <c r="S505" s="39"/>
      <c r="T505" s="39"/>
      <c r="U505" s="39"/>
      <c r="V505" s="39"/>
      <c r="W505" s="39"/>
      <c r="X505" s="39"/>
      <c r="Y505" s="39"/>
      <c r="Z505" s="39"/>
      <c r="AA505" s="39"/>
      <c r="AB505" s="39"/>
      <c r="AC505" s="35">
        <f t="shared" si="270"/>
        <v>0</v>
      </c>
      <c r="AD505" s="40"/>
      <c r="AE505" s="40"/>
      <c r="AF505" s="40"/>
      <c r="AG505" s="40"/>
      <c r="AH505" s="40"/>
      <c r="AI505" s="40"/>
      <c r="AJ505" s="40"/>
      <c r="AK505" s="40"/>
      <c r="AL505" s="40"/>
      <c r="AM505" s="40"/>
      <c r="AN505" s="40"/>
      <c r="AO505" s="40"/>
      <c r="AP505" s="40"/>
      <c r="AQ505" s="40"/>
      <c r="AR505" s="40"/>
      <c r="AS505" s="40"/>
      <c r="AT505" s="41"/>
      <c r="AU505" s="1806"/>
      <c r="AV505" s="1517">
        <f t="shared" si="294"/>
        <v>0</v>
      </c>
      <c r="AW505" s="1517">
        <f t="shared" si="295"/>
        <v>0</v>
      </c>
      <c r="AX505" s="1517">
        <f t="shared" si="296"/>
        <v>0</v>
      </c>
      <c r="AY505" s="42">
        <f t="shared" si="271"/>
        <v>0</v>
      </c>
      <c r="AZ505" s="35">
        <f t="shared" si="272"/>
        <v>0</v>
      </c>
      <c r="BA505" s="35">
        <f t="shared" si="273"/>
        <v>0</v>
      </c>
      <c r="BB505" s="35">
        <f t="shared" si="274"/>
        <v>0</v>
      </c>
      <c r="BC505" s="35">
        <f t="shared" si="275"/>
        <v>0</v>
      </c>
      <c r="BD505" s="35">
        <f t="shared" si="276"/>
        <v>0</v>
      </c>
      <c r="BE505" s="35">
        <f t="shared" si="277"/>
        <v>0</v>
      </c>
      <c r="BF505" s="35">
        <f t="shared" si="278"/>
        <v>0</v>
      </c>
      <c r="BG505" s="35">
        <f t="shared" si="279"/>
        <v>0</v>
      </c>
      <c r="BH505" s="35">
        <f t="shared" si="280"/>
        <v>0</v>
      </c>
      <c r="BI505" s="35">
        <f t="shared" si="281"/>
        <v>0</v>
      </c>
      <c r="BJ505" s="35">
        <f t="shared" si="282"/>
        <v>0</v>
      </c>
      <c r="BK505" s="35">
        <f t="shared" si="283"/>
        <v>0</v>
      </c>
      <c r="BL505" s="35">
        <f t="shared" si="284"/>
        <v>0</v>
      </c>
      <c r="BM505" s="35">
        <f t="shared" si="285"/>
        <v>0</v>
      </c>
      <c r="BN505" s="35">
        <f t="shared" si="286"/>
        <v>0</v>
      </c>
      <c r="BO505" s="35">
        <f t="shared" si="287"/>
        <v>0</v>
      </c>
      <c r="BP505" s="35">
        <f t="shared" si="288"/>
        <v>0</v>
      </c>
      <c r="BQ505" s="35">
        <f t="shared" si="289"/>
        <v>0</v>
      </c>
      <c r="BR505" s="35">
        <f t="shared" si="290"/>
        <v>0</v>
      </c>
      <c r="BS505" s="35">
        <f t="shared" si="291"/>
        <v>0</v>
      </c>
      <c r="BT505" s="43">
        <f t="shared" si="292"/>
        <v>0</v>
      </c>
    </row>
    <row r="506" spans="1:72">
      <c r="A506" s="9"/>
      <c r="B506" s="34"/>
      <c r="C506" s="34"/>
      <c r="D506" s="1805"/>
      <c r="E506" s="35">
        <f t="shared" si="293"/>
        <v>0</v>
      </c>
      <c r="F506" s="36"/>
      <c r="G506" s="37">
        <f t="shared" si="268"/>
        <v>0</v>
      </c>
      <c r="H506" s="38">
        <f t="shared" si="269"/>
        <v>0</v>
      </c>
      <c r="I506" s="39"/>
      <c r="J506" s="39"/>
      <c r="K506" s="39"/>
      <c r="L506" s="39"/>
      <c r="M506" s="39"/>
      <c r="N506" s="39"/>
      <c r="O506" s="39"/>
      <c r="P506" s="39"/>
      <c r="Q506" s="39"/>
      <c r="R506" s="39"/>
      <c r="S506" s="39"/>
      <c r="T506" s="39"/>
      <c r="U506" s="39"/>
      <c r="V506" s="39"/>
      <c r="W506" s="39"/>
      <c r="X506" s="39"/>
      <c r="Y506" s="39"/>
      <c r="Z506" s="39"/>
      <c r="AA506" s="39"/>
      <c r="AB506" s="39"/>
      <c r="AC506" s="35">
        <f t="shared" si="270"/>
        <v>0</v>
      </c>
      <c r="AD506" s="40"/>
      <c r="AE506" s="40"/>
      <c r="AF506" s="40"/>
      <c r="AG506" s="40"/>
      <c r="AH506" s="40"/>
      <c r="AI506" s="40"/>
      <c r="AJ506" s="40"/>
      <c r="AK506" s="40"/>
      <c r="AL506" s="40"/>
      <c r="AM506" s="40"/>
      <c r="AN506" s="40"/>
      <c r="AO506" s="40"/>
      <c r="AP506" s="40"/>
      <c r="AQ506" s="40"/>
      <c r="AR506" s="40"/>
      <c r="AS506" s="40"/>
      <c r="AT506" s="41"/>
      <c r="AU506" s="1806"/>
      <c r="AV506" s="1517">
        <f t="shared" si="294"/>
        <v>0</v>
      </c>
      <c r="AW506" s="1517">
        <f t="shared" si="295"/>
        <v>0</v>
      </c>
      <c r="AX506" s="1517">
        <f t="shared" si="296"/>
        <v>0</v>
      </c>
      <c r="AY506" s="42">
        <f t="shared" si="271"/>
        <v>0</v>
      </c>
      <c r="AZ506" s="35">
        <f t="shared" si="272"/>
        <v>0</v>
      </c>
      <c r="BA506" s="35">
        <f t="shared" si="273"/>
        <v>0</v>
      </c>
      <c r="BB506" s="35">
        <f t="shared" si="274"/>
        <v>0</v>
      </c>
      <c r="BC506" s="35">
        <f t="shared" si="275"/>
        <v>0</v>
      </c>
      <c r="BD506" s="35">
        <f t="shared" si="276"/>
        <v>0</v>
      </c>
      <c r="BE506" s="35">
        <f t="shared" si="277"/>
        <v>0</v>
      </c>
      <c r="BF506" s="35">
        <f t="shared" si="278"/>
        <v>0</v>
      </c>
      <c r="BG506" s="35">
        <f t="shared" si="279"/>
        <v>0</v>
      </c>
      <c r="BH506" s="35">
        <f t="shared" si="280"/>
        <v>0</v>
      </c>
      <c r="BI506" s="35">
        <f t="shared" si="281"/>
        <v>0</v>
      </c>
      <c r="BJ506" s="35">
        <f t="shared" si="282"/>
        <v>0</v>
      </c>
      <c r="BK506" s="35">
        <f t="shared" si="283"/>
        <v>0</v>
      </c>
      <c r="BL506" s="35">
        <f t="shared" si="284"/>
        <v>0</v>
      </c>
      <c r="BM506" s="35">
        <f t="shared" si="285"/>
        <v>0</v>
      </c>
      <c r="BN506" s="35">
        <f t="shared" si="286"/>
        <v>0</v>
      </c>
      <c r="BO506" s="35">
        <f t="shared" si="287"/>
        <v>0</v>
      </c>
      <c r="BP506" s="35">
        <f t="shared" si="288"/>
        <v>0</v>
      </c>
      <c r="BQ506" s="35">
        <f t="shared" si="289"/>
        <v>0</v>
      </c>
      <c r="BR506" s="35">
        <f t="shared" si="290"/>
        <v>0</v>
      </c>
      <c r="BS506" s="35">
        <f t="shared" si="291"/>
        <v>0</v>
      </c>
      <c r="BT506" s="43">
        <f t="shared" si="292"/>
        <v>0</v>
      </c>
    </row>
    <row r="507" spans="1:72">
      <c r="A507" s="9"/>
      <c r="B507" s="34"/>
      <c r="C507" s="34"/>
      <c r="D507" s="1805"/>
      <c r="E507" s="35">
        <f t="shared" si="293"/>
        <v>0</v>
      </c>
      <c r="F507" s="36"/>
      <c r="G507" s="37">
        <f t="shared" si="268"/>
        <v>0</v>
      </c>
      <c r="H507" s="38">
        <f t="shared" si="269"/>
        <v>0</v>
      </c>
      <c r="I507" s="39"/>
      <c r="J507" s="39"/>
      <c r="K507" s="39"/>
      <c r="L507" s="39"/>
      <c r="M507" s="39"/>
      <c r="N507" s="39"/>
      <c r="O507" s="39"/>
      <c r="P507" s="39"/>
      <c r="Q507" s="39"/>
      <c r="R507" s="39"/>
      <c r="S507" s="39"/>
      <c r="T507" s="39"/>
      <c r="U507" s="39"/>
      <c r="V507" s="39"/>
      <c r="W507" s="39"/>
      <c r="X507" s="39"/>
      <c r="Y507" s="39"/>
      <c r="Z507" s="39"/>
      <c r="AA507" s="39"/>
      <c r="AB507" s="39"/>
      <c r="AC507" s="35">
        <f t="shared" si="270"/>
        <v>0</v>
      </c>
      <c r="AD507" s="40"/>
      <c r="AE507" s="40"/>
      <c r="AF507" s="40"/>
      <c r="AG507" s="40"/>
      <c r="AH507" s="40"/>
      <c r="AI507" s="40"/>
      <c r="AJ507" s="40"/>
      <c r="AK507" s="40"/>
      <c r="AL507" s="40"/>
      <c r="AM507" s="40"/>
      <c r="AN507" s="40"/>
      <c r="AO507" s="40"/>
      <c r="AP507" s="40"/>
      <c r="AQ507" s="40"/>
      <c r="AR507" s="40"/>
      <c r="AS507" s="40"/>
      <c r="AT507" s="41"/>
      <c r="AU507" s="1806"/>
      <c r="AV507" s="1517">
        <f t="shared" si="294"/>
        <v>0</v>
      </c>
      <c r="AW507" s="1517">
        <f t="shared" si="295"/>
        <v>0</v>
      </c>
      <c r="AX507" s="1517">
        <f t="shared" si="296"/>
        <v>0</v>
      </c>
      <c r="AY507" s="42">
        <f t="shared" si="271"/>
        <v>0</v>
      </c>
      <c r="AZ507" s="35">
        <f t="shared" si="272"/>
        <v>0</v>
      </c>
      <c r="BA507" s="35">
        <f t="shared" si="273"/>
        <v>0</v>
      </c>
      <c r="BB507" s="35">
        <f t="shared" si="274"/>
        <v>0</v>
      </c>
      <c r="BC507" s="35">
        <f t="shared" si="275"/>
        <v>0</v>
      </c>
      <c r="BD507" s="35">
        <f t="shared" si="276"/>
        <v>0</v>
      </c>
      <c r="BE507" s="35">
        <f t="shared" si="277"/>
        <v>0</v>
      </c>
      <c r="BF507" s="35">
        <f t="shared" si="278"/>
        <v>0</v>
      </c>
      <c r="BG507" s="35">
        <f t="shared" si="279"/>
        <v>0</v>
      </c>
      <c r="BH507" s="35">
        <f t="shared" si="280"/>
        <v>0</v>
      </c>
      <c r="BI507" s="35">
        <f t="shared" si="281"/>
        <v>0</v>
      </c>
      <c r="BJ507" s="35">
        <f t="shared" si="282"/>
        <v>0</v>
      </c>
      <c r="BK507" s="35">
        <f t="shared" si="283"/>
        <v>0</v>
      </c>
      <c r="BL507" s="35">
        <f t="shared" si="284"/>
        <v>0</v>
      </c>
      <c r="BM507" s="35">
        <f t="shared" si="285"/>
        <v>0</v>
      </c>
      <c r="BN507" s="35">
        <f t="shared" si="286"/>
        <v>0</v>
      </c>
      <c r="BO507" s="35">
        <f t="shared" si="287"/>
        <v>0</v>
      </c>
      <c r="BP507" s="35">
        <f t="shared" si="288"/>
        <v>0</v>
      </c>
      <c r="BQ507" s="35">
        <f t="shared" si="289"/>
        <v>0</v>
      </c>
      <c r="BR507" s="35">
        <f t="shared" si="290"/>
        <v>0</v>
      </c>
      <c r="BS507" s="35">
        <f t="shared" si="291"/>
        <v>0</v>
      </c>
      <c r="BT507" s="43">
        <f t="shared" si="292"/>
        <v>0</v>
      </c>
    </row>
    <row r="508" spans="1:72">
      <c r="A508" s="9"/>
      <c r="B508" s="34"/>
      <c r="C508" s="34"/>
      <c r="D508" s="1805"/>
      <c r="E508" s="35">
        <f t="shared" si="293"/>
        <v>0</v>
      </c>
      <c r="F508" s="36"/>
      <c r="G508" s="37">
        <f t="shared" si="268"/>
        <v>0</v>
      </c>
      <c r="H508" s="38">
        <f t="shared" si="269"/>
        <v>0</v>
      </c>
      <c r="I508" s="39"/>
      <c r="J508" s="39"/>
      <c r="K508" s="39"/>
      <c r="L508" s="39"/>
      <c r="M508" s="39"/>
      <c r="N508" s="39"/>
      <c r="O508" s="39"/>
      <c r="P508" s="39"/>
      <c r="Q508" s="39"/>
      <c r="R508" s="39"/>
      <c r="S508" s="39"/>
      <c r="T508" s="39"/>
      <c r="U508" s="39"/>
      <c r="V508" s="39"/>
      <c r="W508" s="39"/>
      <c r="X508" s="39"/>
      <c r="Y508" s="39"/>
      <c r="Z508" s="39"/>
      <c r="AA508" s="39"/>
      <c r="AB508" s="39"/>
      <c r="AC508" s="35">
        <f t="shared" si="270"/>
        <v>0</v>
      </c>
      <c r="AD508" s="40"/>
      <c r="AE508" s="40"/>
      <c r="AF508" s="40"/>
      <c r="AG508" s="40"/>
      <c r="AH508" s="40"/>
      <c r="AI508" s="40"/>
      <c r="AJ508" s="40"/>
      <c r="AK508" s="40"/>
      <c r="AL508" s="40"/>
      <c r="AM508" s="40"/>
      <c r="AN508" s="40"/>
      <c r="AO508" s="40"/>
      <c r="AP508" s="40"/>
      <c r="AQ508" s="40"/>
      <c r="AR508" s="40"/>
      <c r="AS508" s="40"/>
      <c r="AT508" s="41"/>
      <c r="AU508" s="1806"/>
      <c r="AV508" s="1517">
        <f t="shared" si="294"/>
        <v>0</v>
      </c>
      <c r="AW508" s="1517">
        <f t="shared" si="295"/>
        <v>0</v>
      </c>
      <c r="AX508" s="1517">
        <f t="shared" si="296"/>
        <v>0</v>
      </c>
      <c r="AY508" s="42">
        <f t="shared" si="271"/>
        <v>0</v>
      </c>
      <c r="AZ508" s="35">
        <f t="shared" si="272"/>
        <v>0</v>
      </c>
      <c r="BA508" s="35">
        <f t="shared" si="273"/>
        <v>0</v>
      </c>
      <c r="BB508" s="35">
        <f t="shared" si="274"/>
        <v>0</v>
      </c>
      <c r="BC508" s="35">
        <f t="shared" si="275"/>
        <v>0</v>
      </c>
      <c r="BD508" s="35">
        <f t="shared" si="276"/>
        <v>0</v>
      </c>
      <c r="BE508" s="35">
        <f t="shared" si="277"/>
        <v>0</v>
      </c>
      <c r="BF508" s="35">
        <f t="shared" si="278"/>
        <v>0</v>
      </c>
      <c r="BG508" s="35">
        <f t="shared" si="279"/>
        <v>0</v>
      </c>
      <c r="BH508" s="35">
        <f t="shared" si="280"/>
        <v>0</v>
      </c>
      <c r="BI508" s="35">
        <f t="shared" si="281"/>
        <v>0</v>
      </c>
      <c r="BJ508" s="35">
        <f t="shared" si="282"/>
        <v>0</v>
      </c>
      <c r="BK508" s="35">
        <f t="shared" si="283"/>
        <v>0</v>
      </c>
      <c r="BL508" s="35">
        <f t="shared" si="284"/>
        <v>0</v>
      </c>
      <c r="BM508" s="35">
        <f t="shared" si="285"/>
        <v>0</v>
      </c>
      <c r="BN508" s="35">
        <f t="shared" si="286"/>
        <v>0</v>
      </c>
      <c r="BO508" s="35">
        <f t="shared" si="287"/>
        <v>0</v>
      </c>
      <c r="BP508" s="35">
        <f t="shared" si="288"/>
        <v>0</v>
      </c>
      <c r="BQ508" s="35">
        <f t="shared" si="289"/>
        <v>0</v>
      </c>
      <c r="BR508" s="35">
        <f t="shared" si="290"/>
        <v>0</v>
      </c>
      <c r="BS508" s="35">
        <f t="shared" si="291"/>
        <v>0</v>
      </c>
      <c r="BT508" s="43">
        <f t="shared" si="292"/>
        <v>0</v>
      </c>
    </row>
    <row r="509" spans="1:72">
      <c r="A509" s="9"/>
      <c r="B509" s="34"/>
      <c r="C509" s="34"/>
      <c r="D509" s="1805"/>
      <c r="E509" s="35">
        <f t="shared" si="293"/>
        <v>0</v>
      </c>
      <c r="F509" s="36"/>
      <c r="G509" s="37">
        <f t="shared" si="268"/>
        <v>0</v>
      </c>
      <c r="H509" s="38">
        <f t="shared" si="269"/>
        <v>0</v>
      </c>
      <c r="I509" s="39"/>
      <c r="J509" s="39"/>
      <c r="K509" s="39"/>
      <c r="L509" s="39"/>
      <c r="M509" s="39"/>
      <c r="N509" s="39"/>
      <c r="O509" s="39"/>
      <c r="P509" s="39"/>
      <c r="Q509" s="39"/>
      <c r="R509" s="39"/>
      <c r="S509" s="39"/>
      <c r="T509" s="39"/>
      <c r="U509" s="39"/>
      <c r="V509" s="39"/>
      <c r="W509" s="39"/>
      <c r="X509" s="39"/>
      <c r="Y509" s="39"/>
      <c r="Z509" s="39"/>
      <c r="AA509" s="39"/>
      <c r="AB509" s="39"/>
      <c r="AC509" s="35">
        <f t="shared" si="270"/>
        <v>0</v>
      </c>
      <c r="AD509" s="40"/>
      <c r="AE509" s="40"/>
      <c r="AF509" s="40"/>
      <c r="AG509" s="40"/>
      <c r="AH509" s="40"/>
      <c r="AI509" s="40"/>
      <c r="AJ509" s="40"/>
      <c r="AK509" s="40"/>
      <c r="AL509" s="40"/>
      <c r="AM509" s="40"/>
      <c r="AN509" s="40"/>
      <c r="AO509" s="40"/>
      <c r="AP509" s="40"/>
      <c r="AQ509" s="40"/>
      <c r="AR509" s="40"/>
      <c r="AS509" s="40"/>
      <c r="AT509" s="41"/>
      <c r="AU509" s="1806"/>
      <c r="AV509" s="1517">
        <f t="shared" si="294"/>
        <v>0</v>
      </c>
      <c r="AW509" s="1517">
        <f t="shared" si="295"/>
        <v>0</v>
      </c>
      <c r="AX509" s="1517">
        <f t="shared" si="296"/>
        <v>0</v>
      </c>
      <c r="AY509" s="42">
        <f t="shared" si="271"/>
        <v>0</v>
      </c>
      <c r="AZ509" s="35">
        <f t="shared" si="272"/>
        <v>0</v>
      </c>
      <c r="BA509" s="35">
        <f t="shared" si="273"/>
        <v>0</v>
      </c>
      <c r="BB509" s="35">
        <f t="shared" si="274"/>
        <v>0</v>
      </c>
      <c r="BC509" s="35">
        <f t="shared" si="275"/>
        <v>0</v>
      </c>
      <c r="BD509" s="35">
        <f t="shared" si="276"/>
        <v>0</v>
      </c>
      <c r="BE509" s="35">
        <f t="shared" si="277"/>
        <v>0</v>
      </c>
      <c r="BF509" s="35">
        <f t="shared" si="278"/>
        <v>0</v>
      </c>
      <c r="BG509" s="35">
        <f t="shared" si="279"/>
        <v>0</v>
      </c>
      <c r="BH509" s="35">
        <f t="shared" si="280"/>
        <v>0</v>
      </c>
      <c r="BI509" s="35">
        <f t="shared" si="281"/>
        <v>0</v>
      </c>
      <c r="BJ509" s="35">
        <f t="shared" si="282"/>
        <v>0</v>
      </c>
      <c r="BK509" s="35">
        <f t="shared" si="283"/>
        <v>0</v>
      </c>
      <c r="BL509" s="35">
        <f t="shared" si="284"/>
        <v>0</v>
      </c>
      <c r="BM509" s="35">
        <f t="shared" si="285"/>
        <v>0</v>
      </c>
      <c r="BN509" s="35">
        <f t="shared" si="286"/>
        <v>0</v>
      </c>
      <c r="BO509" s="35">
        <f t="shared" si="287"/>
        <v>0</v>
      </c>
      <c r="BP509" s="35">
        <f t="shared" si="288"/>
        <v>0</v>
      </c>
      <c r="BQ509" s="35">
        <f t="shared" si="289"/>
        <v>0</v>
      </c>
      <c r="BR509" s="35">
        <f t="shared" si="290"/>
        <v>0</v>
      </c>
      <c r="BS509" s="35">
        <f t="shared" si="291"/>
        <v>0</v>
      </c>
      <c r="BT509" s="43">
        <f t="shared" si="292"/>
        <v>0</v>
      </c>
    </row>
    <row r="510" spans="1:72">
      <c r="A510" s="9"/>
      <c r="B510" s="34"/>
      <c r="C510" s="34"/>
      <c r="D510" s="1805"/>
      <c r="E510" s="35">
        <f t="shared" si="293"/>
        <v>0</v>
      </c>
      <c r="F510" s="36"/>
      <c r="G510" s="37">
        <f t="shared" si="268"/>
        <v>0</v>
      </c>
      <c r="H510" s="38">
        <f t="shared" si="269"/>
        <v>0</v>
      </c>
      <c r="I510" s="39"/>
      <c r="J510" s="39"/>
      <c r="K510" s="39"/>
      <c r="L510" s="39"/>
      <c r="M510" s="39"/>
      <c r="N510" s="39"/>
      <c r="O510" s="39"/>
      <c r="P510" s="39"/>
      <c r="Q510" s="39"/>
      <c r="R510" s="39"/>
      <c r="S510" s="39"/>
      <c r="T510" s="39"/>
      <c r="U510" s="39"/>
      <c r="V510" s="39"/>
      <c r="W510" s="39"/>
      <c r="X510" s="39"/>
      <c r="Y510" s="39"/>
      <c r="Z510" s="39"/>
      <c r="AA510" s="39"/>
      <c r="AB510" s="39"/>
      <c r="AC510" s="35">
        <f t="shared" si="270"/>
        <v>0</v>
      </c>
      <c r="AD510" s="40"/>
      <c r="AE510" s="40"/>
      <c r="AF510" s="40"/>
      <c r="AG510" s="40"/>
      <c r="AH510" s="40"/>
      <c r="AI510" s="40"/>
      <c r="AJ510" s="40"/>
      <c r="AK510" s="40"/>
      <c r="AL510" s="40"/>
      <c r="AM510" s="40"/>
      <c r="AN510" s="40"/>
      <c r="AO510" s="40"/>
      <c r="AP510" s="40"/>
      <c r="AQ510" s="40"/>
      <c r="AR510" s="40"/>
      <c r="AS510" s="40"/>
      <c r="AT510" s="41"/>
      <c r="AU510" s="1806"/>
      <c r="AV510" s="1517">
        <f t="shared" si="294"/>
        <v>0</v>
      </c>
      <c r="AW510" s="1517">
        <f t="shared" si="295"/>
        <v>0</v>
      </c>
      <c r="AX510" s="1517">
        <f t="shared" si="296"/>
        <v>0</v>
      </c>
      <c r="AY510" s="42">
        <f t="shared" si="271"/>
        <v>0</v>
      </c>
      <c r="AZ510" s="35">
        <f t="shared" si="272"/>
        <v>0</v>
      </c>
      <c r="BA510" s="35">
        <f t="shared" si="273"/>
        <v>0</v>
      </c>
      <c r="BB510" s="35">
        <f t="shared" si="274"/>
        <v>0</v>
      </c>
      <c r="BC510" s="35">
        <f t="shared" si="275"/>
        <v>0</v>
      </c>
      <c r="BD510" s="35">
        <f t="shared" si="276"/>
        <v>0</v>
      </c>
      <c r="BE510" s="35">
        <f t="shared" si="277"/>
        <v>0</v>
      </c>
      <c r="BF510" s="35">
        <f t="shared" si="278"/>
        <v>0</v>
      </c>
      <c r="BG510" s="35">
        <f t="shared" si="279"/>
        <v>0</v>
      </c>
      <c r="BH510" s="35">
        <f t="shared" si="280"/>
        <v>0</v>
      </c>
      <c r="BI510" s="35">
        <f t="shared" si="281"/>
        <v>0</v>
      </c>
      <c r="BJ510" s="35">
        <f t="shared" si="282"/>
        <v>0</v>
      </c>
      <c r="BK510" s="35">
        <f t="shared" si="283"/>
        <v>0</v>
      </c>
      <c r="BL510" s="35">
        <f t="shared" si="284"/>
        <v>0</v>
      </c>
      <c r="BM510" s="35">
        <f t="shared" si="285"/>
        <v>0</v>
      </c>
      <c r="BN510" s="35">
        <f t="shared" si="286"/>
        <v>0</v>
      </c>
      <c r="BO510" s="35">
        <f t="shared" si="287"/>
        <v>0</v>
      </c>
      <c r="BP510" s="35">
        <f t="shared" si="288"/>
        <v>0</v>
      </c>
      <c r="BQ510" s="35">
        <f t="shared" si="289"/>
        <v>0</v>
      </c>
      <c r="BR510" s="35">
        <f t="shared" si="290"/>
        <v>0</v>
      </c>
      <c r="BS510" s="35">
        <f t="shared" si="291"/>
        <v>0</v>
      </c>
      <c r="BT510" s="43">
        <f t="shared" si="292"/>
        <v>0</v>
      </c>
    </row>
    <row r="511" spans="1:72">
      <c r="A511" s="9"/>
      <c r="B511" s="34"/>
      <c r="C511" s="34"/>
      <c r="D511" s="1805"/>
      <c r="E511" s="35">
        <f t="shared" si="293"/>
        <v>0</v>
      </c>
      <c r="F511" s="36"/>
      <c r="G511" s="37">
        <f t="shared" si="268"/>
        <v>0</v>
      </c>
      <c r="H511" s="38">
        <f t="shared" si="269"/>
        <v>0</v>
      </c>
      <c r="I511" s="39"/>
      <c r="J511" s="39"/>
      <c r="K511" s="39"/>
      <c r="L511" s="39"/>
      <c r="M511" s="39"/>
      <c r="N511" s="39"/>
      <c r="O511" s="39"/>
      <c r="P511" s="39"/>
      <c r="Q511" s="39"/>
      <c r="R511" s="39"/>
      <c r="S511" s="39"/>
      <c r="T511" s="39"/>
      <c r="U511" s="39"/>
      <c r="V511" s="39"/>
      <c r="W511" s="39"/>
      <c r="X511" s="39"/>
      <c r="Y511" s="39"/>
      <c r="Z511" s="39"/>
      <c r="AA511" s="39"/>
      <c r="AB511" s="39"/>
      <c r="AC511" s="35">
        <f t="shared" si="270"/>
        <v>0</v>
      </c>
      <c r="AD511" s="40"/>
      <c r="AE511" s="40"/>
      <c r="AF511" s="40"/>
      <c r="AG511" s="40"/>
      <c r="AH511" s="40"/>
      <c r="AI511" s="40"/>
      <c r="AJ511" s="40"/>
      <c r="AK511" s="40"/>
      <c r="AL511" s="40"/>
      <c r="AM511" s="40"/>
      <c r="AN511" s="40"/>
      <c r="AO511" s="40"/>
      <c r="AP511" s="40"/>
      <c r="AQ511" s="40"/>
      <c r="AR511" s="40"/>
      <c r="AS511" s="40"/>
      <c r="AT511" s="41"/>
      <c r="AU511" s="1806"/>
      <c r="AV511" s="1517">
        <f t="shared" si="294"/>
        <v>0</v>
      </c>
      <c r="AW511" s="1517">
        <f t="shared" si="295"/>
        <v>0</v>
      </c>
      <c r="AX511" s="1517">
        <f t="shared" si="296"/>
        <v>0</v>
      </c>
      <c r="AY511" s="42">
        <f t="shared" si="271"/>
        <v>0</v>
      </c>
      <c r="AZ511" s="35">
        <f t="shared" si="272"/>
        <v>0</v>
      </c>
      <c r="BA511" s="35">
        <f t="shared" si="273"/>
        <v>0</v>
      </c>
      <c r="BB511" s="35">
        <f t="shared" si="274"/>
        <v>0</v>
      </c>
      <c r="BC511" s="35">
        <f t="shared" si="275"/>
        <v>0</v>
      </c>
      <c r="BD511" s="35">
        <f t="shared" si="276"/>
        <v>0</v>
      </c>
      <c r="BE511" s="35">
        <f t="shared" si="277"/>
        <v>0</v>
      </c>
      <c r="BF511" s="35">
        <f t="shared" si="278"/>
        <v>0</v>
      </c>
      <c r="BG511" s="35">
        <f t="shared" si="279"/>
        <v>0</v>
      </c>
      <c r="BH511" s="35">
        <f t="shared" si="280"/>
        <v>0</v>
      </c>
      <c r="BI511" s="35">
        <f t="shared" si="281"/>
        <v>0</v>
      </c>
      <c r="BJ511" s="35">
        <f t="shared" si="282"/>
        <v>0</v>
      </c>
      <c r="BK511" s="35">
        <f t="shared" si="283"/>
        <v>0</v>
      </c>
      <c r="BL511" s="35">
        <f t="shared" si="284"/>
        <v>0</v>
      </c>
      <c r="BM511" s="35">
        <f t="shared" si="285"/>
        <v>0</v>
      </c>
      <c r="BN511" s="35">
        <f t="shared" si="286"/>
        <v>0</v>
      </c>
      <c r="BO511" s="35">
        <f t="shared" si="287"/>
        <v>0</v>
      </c>
      <c r="BP511" s="35">
        <f t="shared" si="288"/>
        <v>0</v>
      </c>
      <c r="BQ511" s="35">
        <f t="shared" si="289"/>
        <v>0</v>
      </c>
      <c r="BR511" s="35">
        <f t="shared" si="290"/>
        <v>0</v>
      </c>
      <c r="BS511" s="35">
        <f t="shared" si="291"/>
        <v>0</v>
      </c>
      <c r="BT511" s="43">
        <f t="shared" si="292"/>
        <v>0</v>
      </c>
    </row>
    <row r="512" spans="1:72">
      <c r="A512" s="9"/>
      <c r="B512" s="34"/>
      <c r="C512" s="34"/>
      <c r="D512" s="1805"/>
      <c r="E512" s="35">
        <f t="shared" si="293"/>
        <v>0</v>
      </c>
      <c r="F512" s="36"/>
      <c r="G512" s="37">
        <f t="shared" si="268"/>
        <v>0</v>
      </c>
      <c r="H512" s="38">
        <f t="shared" si="269"/>
        <v>0</v>
      </c>
      <c r="I512" s="39"/>
      <c r="J512" s="39"/>
      <c r="K512" s="39"/>
      <c r="L512" s="39"/>
      <c r="M512" s="39"/>
      <c r="N512" s="39"/>
      <c r="O512" s="39"/>
      <c r="P512" s="39"/>
      <c r="Q512" s="39"/>
      <c r="R512" s="39"/>
      <c r="S512" s="39"/>
      <c r="T512" s="39"/>
      <c r="U512" s="39"/>
      <c r="V512" s="39"/>
      <c r="W512" s="39"/>
      <c r="X512" s="39"/>
      <c r="Y512" s="39"/>
      <c r="Z512" s="39"/>
      <c r="AA512" s="39"/>
      <c r="AB512" s="39"/>
      <c r="AC512" s="35">
        <f t="shared" si="270"/>
        <v>0</v>
      </c>
      <c r="AD512" s="40"/>
      <c r="AE512" s="40"/>
      <c r="AF512" s="40"/>
      <c r="AG512" s="40"/>
      <c r="AH512" s="40"/>
      <c r="AI512" s="40"/>
      <c r="AJ512" s="40"/>
      <c r="AK512" s="40"/>
      <c r="AL512" s="40"/>
      <c r="AM512" s="40"/>
      <c r="AN512" s="40"/>
      <c r="AO512" s="40"/>
      <c r="AP512" s="40"/>
      <c r="AQ512" s="40"/>
      <c r="AR512" s="40"/>
      <c r="AS512" s="40"/>
      <c r="AT512" s="41"/>
      <c r="AU512" s="1806"/>
      <c r="AV512" s="1517">
        <f t="shared" si="294"/>
        <v>0</v>
      </c>
      <c r="AW512" s="1517">
        <f t="shared" si="295"/>
        <v>0</v>
      </c>
      <c r="AX512" s="1517">
        <f t="shared" si="296"/>
        <v>0</v>
      </c>
      <c r="AY512" s="42">
        <f t="shared" si="271"/>
        <v>0</v>
      </c>
      <c r="AZ512" s="35">
        <f t="shared" si="272"/>
        <v>0</v>
      </c>
      <c r="BA512" s="35">
        <f t="shared" si="273"/>
        <v>0</v>
      </c>
      <c r="BB512" s="35">
        <f t="shared" si="274"/>
        <v>0</v>
      </c>
      <c r="BC512" s="35">
        <f t="shared" si="275"/>
        <v>0</v>
      </c>
      <c r="BD512" s="35">
        <f t="shared" si="276"/>
        <v>0</v>
      </c>
      <c r="BE512" s="35">
        <f t="shared" si="277"/>
        <v>0</v>
      </c>
      <c r="BF512" s="35">
        <f t="shared" si="278"/>
        <v>0</v>
      </c>
      <c r="BG512" s="35">
        <f t="shared" si="279"/>
        <v>0</v>
      </c>
      <c r="BH512" s="35">
        <f t="shared" si="280"/>
        <v>0</v>
      </c>
      <c r="BI512" s="35">
        <f t="shared" si="281"/>
        <v>0</v>
      </c>
      <c r="BJ512" s="35">
        <f t="shared" si="282"/>
        <v>0</v>
      </c>
      <c r="BK512" s="35">
        <f t="shared" si="283"/>
        <v>0</v>
      </c>
      <c r="BL512" s="35">
        <f t="shared" si="284"/>
        <v>0</v>
      </c>
      <c r="BM512" s="35">
        <f t="shared" si="285"/>
        <v>0</v>
      </c>
      <c r="BN512" s="35">
        <f t="shared" si="286"/>
        <v>0</v>
      </c>
      <c r="BO512" s="35">
        <f t="shared" si="287"/>
        <v>0</v>
      </c>
      <c r="BP512" s="35">
        <f t="shared" si="288"/>
        <v>0</v>
      </c>
      <c r="BQ512" s="35">
        <f t="shared" si="289"/>
        <v>0</v>
      </c>
      <c r="BR512" s="35">
        <f t="shared" si="290"/>
        <v>0</v>
      </c>
      <c r="BS512" s="35">
        <f t="shared" si="291"/>
        <v>0</v>
      </c>
      <c r="BT512" s="43">
        <f t="shared" si="292"/>
        <v>0</v>
      </c>
    </row>
    <row r="513" spans="1:72">
      <c r="A513" s="9"/>
      <c r="B513" s="34"/>
      <c r="C513" s="34"/>
      <c r="D513" s="1805"/>
      <c r="E513" s="35">
        <f t="shared" si="293"/>
        <v>0</v>
      </c>
      <c r="F513" s="36"/>
      <c r="G513" s="37">
        <f t="shared" si="268"/>
        <v>0</v>
      </c>
      <c r="H513" s="38">
        <f t="shared" si="269"/>
        <v>0</v>
      </c>
      <c r="I513" s="39"/>
      <c r="J513" s="39"/>
      <c r="K513" s="39"/>
      <c r="L513" s="39"/>
      <c r="M513" s="39"/>
      <c r="N513" s="39"/>
      <c r="O513" s="39"/>
      <c r="P513" s="39"/>
      <c r="Q513" s="39"/>
      <c r="R513" s="39"/>
      <c r="S513" s="39"/>
      <c r="T513" s="39"/>
      <c r="U513" s="39"/>
      <c r="V513" s="39"/>
      <c r="W513" s="39"/>
      <c r="X513" s="39"/>
      <c r="Y513" s="39"/>
      <c r="Z513" s="39"/>
      <c r="AA513" s="39"/>
      <c r="AB513" s="39"/>
      <c r="AC513" s="35">
        <f t="shared" si="270"/>
        <v>0</v>
      </c>
      <c r="AD513" s="40"/>
      <c r="AE513" s="40"/>
      <c r="AF513" s="40"/>
      <c r="AG513" s="40"/>
      <c r="AH513" s="40"/>
      <c r="AI513" s="40"/>
      <c r="AJ513" s="40"/>
      <c r="AK513" s="40"/>
      <c r="AL513" s="40"/>
      <c r="AM513" s="40"/>
      <c r="AN513" s="40"/>
      <c r="AO513" s="40"/>
      <c r="AP513" s="40"/>
      <c r="AQ513" s="40"/>
      <c r="AR513" s="40"/>
      <c r="AS513" s="40"/>
      <c r="AT513" s="41"/>
      <c r="AU513" s="1806"/>
      <c r="AV513" s="1517">
        <f t="shared" si="294"/>
        <v>0</v>
      </c>
      <c r="AW513" s="1517">
        <f t="shared" si="295"/>
        <v>0</v>
      </c>
      <c r="AX513" s="1517">
        <f t="shared" si="296"/>
        <v>0</v>
      </c>
      <c r="AY513" s="42">
        <f t="shared" si="271"/>
        <v>0</v>
      </c>
      <c r="AZ513" s="35">
        <f t="shared" si="272"/>
        <v>0</v>
      </c>
      <c r="BA513" s="35">
        <f t="shared" si="273"/>
        <v>0</v>
      </c>
      <c r="BB513" s="35">
        <f t="shared" si="274"/>
        <v>0</v>
      </c>
      <c r="BC513" s="35">
        <f t="shared" si="275"/>
        <v>0</v>
      </c>
      <c r="BD513" s="35">
        <f t="shared" si="276"/>
        <v>0</v>
      </c>
      <c r="BE513" s="35">
        <f t="shared" si="277"/>
        <v>0</v>
      </c>
      <c r="BF513" s="35">
        <f t="shared" si="278"/>
        <v>0</v>
      </c>
      <c r="BG513" s="35">
        <f t="shared" si="279"/>
        <v>0</v>
      </c>
      <c r="BH513" s="35">
        <f t="shared" si="280"/>
        <v>0</v>
      </c>
      <c r="BI513" s="35">
        <f t="shared" si="281"/>
        <v>0</v>
      </c>
      <c r="BJ513" s="35">
        <f t="shared" si="282"/>
        <v>0</v>
      </c>
      <c r="BK513" s="35">
        <f t="shared" si="283"/>
        <v>0</v>
      </c>
      <c r="BL513" s="35">
        <f t="shared" si="284"/>
        <v>0</v>
      </c>
      <c r="BM513" s="35">
        <f t="shared" si="285"/>
        <v>0</v>
      </c>
      <c r="BN513" s="35">
        <f t="shared" si="286"/>
        <v>0</v>
      </c>
      <c r="BO513" s="35">
        <f t="shared" si="287"/>
        <v>0</v>
      </c>
      <c r="BP513" s="35">
        <f t="shared" si="288"/>
        <v>0</v>
      </c>
      <c r="BQ513" s="35">
        <f t="shared" si="289"/>
        <v>0</v>
      </c>
      <c r="BR513" s="35">
        <f t="shared" si="290"/>
        <v>0</v>
      </c>
      <c r="BS513" s="35">
        <f t="shared" si="291"/>
        <v>0</v>
      </c>
      <c r="BT513" s="43">
        <f t="shared" si="292"/>
        <v>0</v>
      </c>
    </row>
    <row r="514" spans="1:72">
      <c r="A514" s="9"/>
      <c r="B514" s="34"/>
      <c r="C514" s="34"/>
      <c r="D514" s="1805"/>
      <c r="E514" s="35">
        <f t="shared" si="293"/>
        <v>0</v>
      </c>
      <c r="F514" s="36"/>
      <c r="G514" s="37">
        <f t="shared" si="268"/>
        <v>0</v>
      </c>
      <c r="H514" s="38">
        <f t="shared" si="269"/>
        <v>0</v>
      </c>
      <c r="I514" s="39"/>
      <c r="J514" s="39"/>
      <c r="K514" s="39"/>
      <c r="L514" s="39"/>
      <c r="M514" s="39"/>
      <c r="N514" s="39"/>
      <c r="O514" s="39"/>
      <c r="P514" s="39"/>
      <c r="Q514" s="39"/>
      <c r="R514" s="39"/>
      <c r="S514" s="39"/>
      <c r="T514" s="39"/>
      <c r="U514" s="39"/>
      <c r="V514" s="39"/>
      <c r="W514" s="39"/>
      <c r="X514" s="39"/>
      <c r="Y514" s="39"/>
      <c r="Z514" s="39"/>
      <c r="AA514" s="39"/>
      <c r="AB514" s="39"/>
      <c r="AC514" s="35">
        <f t="shared" si="270"/>
        <v>0</v>
      </c>
      <c r="AD514" s="40"/>
      <c r="AE514" s="40"/>
      <c r="AF514" s="40"/>
      <c r="AG514" s="40"/>
      <c r="AH514" s="40"/>
      <c r="AI514" s="40"/>
      <c r="AJ514" s="40"/>
      <c r="AK514" s="40"/>
      <c r="AL514" s="40"/>
      <c r="AM514" s="40"/>
      <c r="AN514" s="40"/>
      <c r="AO514" s="40"/>
      <c r="AP514" s="40"/>
      <c r="AQ514" s="40"/>
      <c r="AR514" s="40"/>
      <c r="AS514" s="40"/>
      <c r="AT514" s="41"/>
      <c r="AU514" s="1806"/>
      <c r="AV514" s="1517">
        <f t="shared" si="294"/>
        <v>0</v>
      </c>
      <c r="AW514" s="1517">
        <f t="shared" si="295"/>
        <v>0</v>
      </c>
      <c r="AX514" s="1517">
        <f t="shared" si="296"/>
        <v>0</v>
      </c>
      <c r="AY514" s="42">
        <f t="shared" si="271"/>
        <v>0</v>
      </c>
      <c r="AZ514" s="35">
        <f t="shared" si="272"/>
        <v>0</v>
      </c>
      <c r="BA514" s="35">
        <f t="shared" si="273"/>
        <v>0</v>
      </c>
      <c r="BB514" s="35">
        <f t="shared" si="274"/>
        <v>0</v>
      </c>
      <c r="BC514" s="35">
        <f t="shared" si="275"/>
        <v>0</v>
      </c>
      <c r="BD514" s="35">
        <f t="shared" si="276"/>
        <v>0</v>
      </c>
      <c r="BE514" s="35">
        <f t="shared" si="277"/>
        <v>0</v>
      </c>
      <c r="BF514" s="35">
        <f t="shared" si="278"/>
        <v>0</v>
      </c>
      <c r="BG514" s="35">
        <f t="shared" si="279"/>
        <v>0</v>
      </c>
      <c r="BH514" s="35">
        <f t="shared" si="280"/>
        <v>0</v>
      </c>
      <c r="BI514" s="35">
        <f t="shared" si="281"/>
        <v>0</v>
      </c>
      <c r="BJ514" s="35">
        <f t="shared" si="282"/>
        <v>0</v>
      </c>
      <c r="BK514" s="35">
        <f t="shared" si="283"/>
        <v>0</v>
      </c>
      <c r="BL514" s="35">
        <f t="shared" si="284"/>
        <v>0</v>
      </c>
      <c r="BM514" s="35">
        <f t="shared" si="285"/>
        <v>0</v>
      </c>
      <c r="BN514" s="35">
        <f t="shared" si="286"/>
        <v>0</v>
      </c>
      <c r="BO514" s="35">
        <f t="shared" si="287"/>
        <v>0</v>
      </c>
      <c r="BP514" s="35">
        <f t="shared" si="288"/>
        <v>0</v>
      </c>
      <c r="BQ514" s="35">
        <f t="shared" si="289"/>
        <v>0</v>
      </c>
      <c r="BR514" s="35">
        <f t="shared" si="290"/>
        <v>0</v>
      </c>
      <c r="BS514" s="35">
        <f t="shared" si="291"/>
        <v>0</v>
      </c>
      <c r="BT514" s="43">
        <f t="shared" si="292"/>
        <v>0</v>
      </c>
    </row>
    <row r="515" spans="1:72">
      <c r="A515" s="9"/>
      <c r="B515" s="34"/>
      <c r="C515" s="34"/>
      <c r="D515" s="1805"/>
      <c r="E515" s="35">
        <f t="shared" si="293"/>
        <v>0</v>
      </c>
      <c r="F515" s="36"/>
      <c r="G515" s="37">
        <f t="shared" si="268"/>
        <v>0</v>
      </c>
      <c r="H515" s="38">
        <f t="shared" si="269"/>
        <v>0</v>
      </c>
      <c r="I515" s="39"/>
      <c r="J515" s="39"/>
      <c r="K515" s="39"/>
      <c r="L515" s="39"/>
      <c r="M515" s="39"/>
      <c r="N515" s="39"/>
      <c r="O515" s="39"/>
      <c r="P515" s="39"/>
      <c r="Q515" s="39"/>
      <c r="R515" s="39"/>
      <c r="S515" s="39"/>
      <c r="T515" s="39"/>
      <c r="U515" s="39"/>
      <c r="V515" s="39"/>
      <c r="W515" s="39"/>
      <c r="X515" s="39"/>
      <c r="Y515" s="39"/>
      <c r="Z515" s="39"/>
      <c r="AA515" s="39"/>
      <c r="AB515" s="39"/>
      <c r="AC515" s="35">
        <f t="shared" si="270"/>
        <v>0</v>
      </c>
      <c r="AD515" s="40"/>
      <c r="AE515" s="40"/>
      <c r="AF515" s="40"/>
      <c r="AG515" s="40"/>
      <c r="AH515" s="40"/>
      <c r="AI515" s="40"/>
      <c r="AJ515" s="40"/>
      <c r="AK515" s="40"/>
      <c r="AL515" s="40"/>
      <c r="AM515" s="40"/>
      <c r="AN515" s="40"/>
      <c r="AO515" s="40"/>
      <c r="AP515" s="40"/>
      <c r="AQ515" s="40"/>
      <c r="AR515" s="40"/>
      <c r="AS515" s="40"/>
      <c r="AT515" s="41"/>
      <c r="AU515" s="1806"/>
      <c r="AV515" s="1517">
        <f t="shared" si="294"/>
        <v>0</v>
      </c>
      <c r="AW515" s="1517">
        <f t="shared" si="295"/>
        <v>0</v>
      </c>
      <c r="AX515" s="1517">
        <f t="shared" si="296"/>
        <v>0</v>
      </c>
      <c r="AY515" s="42">
        <f t="shared" si="271"/>
        <v>0</v>
      </c>
      <c r="AZ515" s="35">
        <f t="shared" si="272"/>
        <v>0</v>
      </c>
      <c r="BA515" s="35">
        <f t="shared" si="273"/>
        <v>0</v>
      </c>
      <c r="BB515" s="35">
        <f t="shared" si="274"/>
        <v>0</v>
      </c>
      <c r="BC515" s="35">
        <f t="shared" si="275"/>
        <v>0</v>
      </c>
      <c r="BD515" s="35">
        <f t="shared" si="276"/>
        <v>0</v>
      </c>
      <c r="BE515" s="35">
        <f t="shared" si="277"/>
        <v>0</v>
      </c>
      <c r="BF515" s="35">
        <f t="shared" si="278"/>
        <v>0</v>
      </c>
      <c r="BG515" s="35">
        <f t="shared" si="279"/>
        <v>0</v>
      </c>
      <c r="BH515" s="35">
        <f t="shared" si="280"/>
        <v>0</v>
      </c>
      <c r="BI515" s="35">
        <f t="shared" si="281"/>
        <v>0</v>
      </c>
      <c r="BJ515" s="35">
        <f t="shared" si="282"/>
        <v>0</v>
      </c>
      <c r="BK515" s="35">
        <f t="shared" si="283"/>
        <v>0</v>
      </c>
      <c r="BL515" s="35">
        <f t="shared" si="284"/>
        <v>0</v>
      </c>
      <c r="BM515" s="35">
        <f t="shared" si="285"/>
        <v>0</v>
      </c>
      <c r="BN515" s="35">
        <f t="shared" si="286"/>
        <v>0</v>
      </c>
      <c r="BO515" s="35">
        <f t="shared" si="287"/>
        <v>0</v>
      </c>
      <c r="BP515" s="35">
        <f t="shared" si="288"/>
        <v>0</v>
      </c>
      <c r="BQ515" s="35">
        <f t="shared" si="289"/>
        <v>0</v>
      </c>
      <c r="BR515" s="35">
        <f t="shared" si="290"/>
        <v>0</v>
      </c>
      <c r="BS515" s="35">
        <f t="shared" si="291"/>
        <v>0</v>
      </c>
      <c r="BT515" s="43">
        <f t="shared" si="292"/>
        <v>0</v>
      </c>
    </row>
    <row r="516" spans="1:72">
      <c r="A516" s="9"/>
      <c r="B516" s="34"/>
      <c r="C516" s="34"/>
      <c r="D516" s="1805"/>
      <c r="E516" s="35">
        <f t="shared" si="293"/>
        <v>0</v>
      </c>
      <c r="F516" s="36"/>
      <c r="G516" s="37">
        <f t="shared" si="268"/>
        <v>0</v>
      </c>
      <c r="H516" s="38">
        <f t="shared" si="269"/>
        <v>0</v>
      </c>
      <c r="I516" s="39"/>
      <c r="J516" s="39"/>
      <c r="K516" s="39"/>
      <c r="L516" s="39"/>
      <c r="M516" s="39"/>
      <c r="N516" s="39"/>
      <c r="O516" s="39"/>
      <c r="P516" s="39"/>
      <c r="Q516" s="39"/>
      <c r="R516" s="39"/>
      <c r="S516" s="39"/>
      <c r="T516" s="39"/>
      <c r="U516" s="39"/>
      <c r="V516" s="39"/>
      <c r="W516" s="39"/>
      <c r="X516" s="39"/>
      <c r="Y516" s="39"/>
      <c r="Z516" s="39"/>
      <c r="AA516" s="39"/>
      <c r="AB516" s="39"/>
      <c r="AC516" s="35">
        <f t="shared" si="270"/>
        <v>0</v>
      </c>
      <c r="AD516" s="40"/>
      <c r="AE516" s="40"/>
      <c r="AF516" s="40"/>
      <c r="AG516" s="40"/>
      <c r="AH516" s="40"/>
      <c r="AI516" s="40"/>
      <c r="AJ516" s="40"/>
      <c r="AK516" s="40"/>
      <c r="AL516" s="40"/>
      <c r="AM516" s="40"/>
      <c r="AN516" s="40"/>
      <c r="AO516" s="40"/>
      <c r="AP516" s="40"/>
      <c r="AQ516" s="40"/>
      <c r="AR516" s="40"/>
      <c r="AS516" s="40"/>
      <c r="AT516" s="41"/>
      <c r="AU516" s="1806"/>
      <c r="AV516" s="1517">
        <f t="shared" si="294"/>
        <v>0</v>
      </c>
      <c r="AW516" s="1517">
        <f t="shared" si="295"/>
        <v>0</v>
      </c>
      <c r="AX516" s="1517">
        <f t="shared" si="296"/>
        <v>0</v>
      </c>
      <c r="AY516" s="42">
        <f t="shared" si="271"/>
        <v>0</v>
      </c>
      <c r="AZ516" s="35">
        <f t="shared" si="272"/>
        <v>0</v>
      </c>
      <c r="BA516" s="35">
        <f t="shared" si="273"/>
        <v>0</v>
      </c>
      <c r="BB516" s="35">
        <f t="shared" si="274"/>
        <v>0</v>
      </c>
      <c r="BC516" s="35">
        <f t="shared" si="275"/>
        <v>0</v>
      </c>
      <c r="BD516" s="35">
        <f t="shared" si="276"/>
        <v>0</v>
      </c>
      <c r="BE516" s="35">
        <f t="shared" si="277"/>
        <v>0</v>
      </c>
      <c r="BF516" s="35">
        <f t="shared" si="278"/>
        <v>0</v>
      </c>
      <c r="BG516" s="35">
        <f t="shared" si="279"/>
        <v>0</v>
      </c>
      <c r="BH516" s="35">
        <f t="shared" si="280"/>
        <v>0</v>
      </c>
      <c r="BI516" s="35">
        <f t="shared" si="281"/>
        <v>0</v>
      </c>
      <c r="BJ516" s="35">
        <f t="shared" si="282"/>
        <v>0</v>
      </c>
      <c r="BK516" s="35">
        <f t="shared" si="283"/>
        <v>0</v>
      </c>
      <c r="BL516" s="35">
        <f t="shared" si="284"/>
        <v>0</v>
      </c>
      <c r="BM516" s="35">
        <f t="shared" si="285"/>
        <v>0</v>
      </c>
      <c r="BN516" s="35">
        <f t="shared" si="286"/>
        <v>0</v>
      </c>
      <c r="BO516" s="35">
        <f t="shared" si="287"/>
        <v>0</v>
      </c>
      <c r="BP516" s="35">
        <f t="shared" si="288"/>
        <v>0</v>
      </c>
      <c r="BQ516" s="35">
        <f t="shared" si="289"/>
        <v>0</v>
      </c>
      <c r="BR516" s="35">
        <f t="shared" si="290"/>
        <v>0</v>
      </c>
      <c r="BS516" s="35">
        <f t="shared" si="291"/>
        <v>0</v>
      </c>
      <c r="BT516" s="43">
        <f t="shared" si="292"/>
        <v>0</v>
      </c>
    </row>
    <row r="517" spans="1:72">
      <c r="A517" s="9"/>
      <c r="B517" s="34"/>
      <c r="C517" s="34"/>
      <c r="D517" s="1805"/>
      <c r="E517" s="35">
        <f t="shared" si="293"/>
        <v>0</v>
      </c>
      <c r="F517" s="36"/>
      <c r="G517" s="37">
        <f t="shared" si="268"/>
        <v>0</v>
      </c>
      <c r="H517" s="38">
        <f t="shared" si="269"/>
        <v>0</v>
      </c>
      <c r="I517" s="39"/>
      <c r="J517" s="39"/>
      <c r="K517" s="39"/>
      <c r="L517" s="39"/>
      <c r="M517" s="39"/>
      <c r="N517" s="39"/>
      <c r="O517" s="39"/>
      <c r="P517" s="39"/>
      <c r="Q517" s="39"/>
      <c r="R517" s="39"/>
      <c r="S517" s="39"/>
      <c r="T517" s="39"/>
      <c r="U517" s="39"/>
      <c r="V517" s="39"/>
      <c r="W517" s="39"/>
      <c r="X517" s="39"/>
      <c r="Y517" s="39"/>
      <c r="Z517" s="39"/>
      <c r="AA517" s="39"/>
      <c r="AB517" s="39"/>
      <c r="AC517" s="35">
        <f t="shared" si="270"/>
        <v>0</v>
      </c>
      <c r="AD517" s="40"/>
      <c r="AE517" s="40"/>
      <c r="AF517" s="40"/>
      <c r="AG517" s="40"/>
      <c r="AH517" s="40"/>
      <c r="AI517" s="40"/>
      <c r="AJ517" s="40"/>
      <c r="AK517" s="40"/>
      <c r="AL517" s="40"/>
      <c r="AM517" s="40"/>
      <c r="AN517" s="40"/>
      <c r="AO517" s="40"/>
      <c r="AP517" s="40"/>
      <c r="AQ517" s="40"/>
      <c r="AR517" s="40"/>
      <c r="AS517" s="40"/>
      <c r="AT517" s="41"/>
      <c r="AU517" s="1806"/>
      <c r="AV517" s="1517">
        <f t="shared" si="294"/>
        <v>0</v>
      </c>
      <c r="AW517" s="1517">
        <f t="shared" si="295"/>
        <v>0</v>
      </c>
      <c r="AX517" s="1517">
        <f t="shared" si="296"/>
        <v>0</v>
      </c>
      <c r="AY517" s="42">
        <f t="shared" si="271"/>
        <v>0</v>
      </c>
      <c r="AZ517" s="35">
        <f t="shared" si="272"/>
        <v>0</v>
      </c>
      <c r="BA517" s="35">
        <f t="shared" si="273"/>
        <v>0</v>
      </c>
      <c r="BB517" s="35">
        <f t="shared" si="274"/>
        <v>0</v>
      </c>
      <c r="BC517" s="35">
        <f t="shared" si="275"/>
        <v>0</v>
      </c>
      <c r="BD517" s="35">
        <f t="shared" si="276"/>
        <v>0</v>
      </c>
      <c r="BE517" s="35">
        <f t="shared" si="277"/>
        <v>0</v>
      </c>
      <c r="BF517" s="35">
        <f t="shared" si="278"/>
        <v>0</v>
      </c>
      <c r="BG517" s="35">
        <f t="shared" si="279"/>
        <v>0</v>
      </c>
      <c r="BH517" s="35">
        <f t="shared" si="280"/>
        <v>0</v>
      </c>
      <c r="BI517" s="35">
        <f t="shared" si="281"/>
        <v>0</v>
      </c>
      <c r="BJ517" s="35">
        <f t="shared" si="282"/>
        <v>0</v>
      </c>
      <c r="BK517" s="35">
        <f t="shared" si="283"/>
        <v>0</v>
      </c>
      <c r="BL517" s="35">
        <f t="shared" si="284"/>
        <v>0</v>
      </c>
      <c r="BM517" s="35">
        <f t="shared" si="285"/>
        <v>0</v>
      </c>
      <c r="BN517" s="35">
        <f t="shared" si="286"/>
        <v>0</v>
      </c>
      <c r="BO517" s="35">
        <f t="shared" si="287"/>
        <v>0</v>
      </c>
      <c r="BP517" s="35">
        <f t="shared" si="288"/>
        <v>0</v>
      </c>
      <c r="BQ517" s="35">
        <f t="shared" si="289"/>
        <v>0</v>
      </c>
      <c r="BR517" s="35">
        <f t="shared" si="290"/>
        <v>0</v>
      </c>
      <c r="BS517" s="35">
        <f t="shared" si="291"/>
        <v>0</v>
      </c>
      <c r="BT517" s="43">
        <f t="shared" si="292"/>
        <v>0</v>
      </c>
    </row>
    <row r="518" spans="1:72">
      <c r="A518" s="9"/>
      <c r="B518" s="34"/>
      <c r="C518" s="34"/>
      <c r="D518" s="1805"/>
      <c r="E518" s="35">
        <f t="shared" si="293"/>
        <v>0</v>
      </c>
      <c r="F518" s="36"/>
      <c r="G518" s="37">
        <f t="shared" si="268"/>
        <v>0</v>
      </c>
      <c r="H518" s="38">
        <f t="shared" si="269"/>
        <v>0</v>
      </c>
      <c r="I518" s="39"/>
      <c r="J518" s="39"/>
      <c r="K518" s="39"/>
      <c r="L518" s="39"/>
      <c r="M518" s="39"/>
      <c r="N518" s="39"/>
      <c r="O518" s="39"/>
      <c r="P518" s="39"/>
      <c r="Q518" s="39"/>
      <c r="R518" s="39"/>
      <c r="S518" s="39"/>
      <c r="T518" s="39"/>
      <c r="U518" s="39"/>
      <c r="V518" s="39"/>
      <c r="W518" s="39"/>
      <c r="X518" s="39"/>
      <c r="Y518" s="39"/>
      <c r="Z518" s="39"/>
      <c r="AA518" s="39"/>
      <c r="AB518" s="39"/>
      <c r="AC518" s="35">
        <f t="shared" si="270"/>
        <v>0</v>
      </c>
      <c r="AD518" s="40"/>
      <c r="AE518" s="40"/>
      <c r="AF518" s="40"/>
      <c r="AG518" s="40"/>
      <c r="AH518" s="40"/>
      <c r="AI518" s="40"/>
      <c r="AJ518" s="40"/>
      <c r="AK518" s="40"/>
      <c r="AL518" s="40"/>
      <c r="AM518" s="40"/>
      <c r="AN518" s="40"/>
      <c r="AO518" s="40"/>
      <c r="AP518" s="40"/>
      <c r="AQ518" s="40"/>
      <c r="AR518" s="40"/>
      <c r="AS518" s="40"/>
      <c r="AT518" s="41"/>
      <c r="AU518" s="1806"/>
      <c r="AV518" s="1517">
        <f t="shared" si="294"/>
        <v>0</v>
      </c>
      <c r="AW518" s="1517">
        <f t="shared" si="295"/>
        <v>0</v>
      </c>
      <c r="AX518" s="1517">
        <f t="shared" si="296"/>
        <v>0</v>
      </c>
      <c r="AY518" s="42">
        <f t="shared" si="271"/>
        <v>0</v>
      </c>
      <c r="AZ518" s="35">
        <f t="shared" si="272"/>
        <v>0</v>
      </c>
      <c r="BA518" s="35">
        <f t="shared" si="273"/>
        <v>0</v>
      </c>
      <c r="BB518" s="35">
        <f t="shared" si="274"/>
        <v>0</v>
      </c>
      <c r="BC518" s="35">
        <f t="shared" si="275"/>
        <v>0</v>
      </c>
      <c r="BD518" s="35">
        <f t="shared" si="276"/>
        <v>0</v>
      </c>
      <c r="BE518" s="35">
        <f t="shared" si="277"/>
        <v>0</v>
      </c>
      <c r="BF518" s="35">
        <f t="shared" si="278"/>
        <v>0</v>
      </c>
      <c r="BG518" s="35">
        <f t="shared" si="279"/>
        <v>0</v>
      </c>
      <c r="BH518" s="35">
        <f t="shared" si="280"/>
        <v>0</v>
      </c>
      <c r="BI518" s="35">
        <f t="shared" si="281"/>
        <v>0</v>
      </c>
      <c r="BJ518" s="35">
        <f t="shared" si="282"/>
        <v>0</v>
      </c>
      <c r="BK518" s="35">
        <f t="shared" si="283"/>
        <v>0</v>
      </c>
      <c r="BL518" s="35">
        <f t="shared" si="284"/>
        <v>0</v>
      </c>
      <c r="BM518" s="35">
        <f t="shared" si="285"/>
        <v>0</v>
      </c>
      <c r="BN518" s="35">
        <f t="shared" si="286"/>
        <v>0</v>
      </c>
      <c r="BO518" s="35">
        <f t="shared" si="287"/>
        <v>0</v>
      </c>
      <c r="BP518" s="35">
        <f t="shared" si="288"/>
        <v>0</v>
      </c>
      <c r="BQ518" s="35">
        <f t="shared" si="289"/>
        <v>0</v>
      </c>
      <c r="BR518" s="35">
        <f t="shared" si="290"/>
        <v>0</v>
      </c>
      <c r="BS518" s="35">
        <f t="shared" si="291"/>
        <v>0</v>
      </c>
      <c r="BT518" s="43">
        <f t="shared" si="292"/>
        <v>0</v>
      </c>
    </row>
    <row r="519" spans="1:72">
      <c r="A519" s="9"/>
      <c r="B519" s="34"/>
      <c r="C519" s="34"/>
      <c r="D519" s="1805"/>
      <c r="E519" s="35">
        <f t="shared" si="293"/>
        <v>0</v>
      </c>
      <c r="F519" s="36"/>
      <c r="G519" s="37">
        <f t="shared" si="268"/>
        <v>0</v>
      </c>
      <c r="H519" s="38">
        <f t="shared" si="269"/>
        <v>0</v>
      </c>
      <c r="I519" s="39"/>
      <c r="J519" s="39"/>
      <c r="K519" s="39"/>
      <c r="L519" s="39"/>
      <c r="M519" s="39"/>
      <c r="N519" s="39"/>
      <c r="O519" s="39"/>
      <c r="P519" s="39"/>
      <c r="Q519" s="39"/>
      <c r="R519" s="39"/>
      <c r="S519" s="39"/>
      <c r="T519" s="39"/>
      <c r="U519" s="39"/>
      <c r="V519" s="39"/>
      <c r="W519" s="39"/>
      <c r="X519" s="39"/>
      <c r="Y519" s="39"/>
      <c r="Z519" s="39"/>
      <c r="AA519" s="39"/>
      <c r="AB519" s="39"/>
      <c r="AC519" s="35">
        <f t="shared" si="270"/>
        <v>0</v>
      </c>
      <c r="AD519" s="40"/>
      <c r="AE519" s="40"/>
      <c r="AF519" s="40"/>
      <c r="AG519" s="40"/>
      <c r="AH519" s="40"/>
      <c r="AI519" s="40"/>
      <c r="AJ519" s="40"/>
      <c r="AK519" s="40"/>
      <c r="AL519" s="40"/>
      <c r="AM519" s="40"/>
      <c r="AN519" s="40"/>
      <c r="AO519" s="40"/>
      <c r="AP519" s="40"/>
      <c r="AQ519" s="40"/>
      <c r="AR519" s="40"/>
      <c r="AS519" s="40"/>
      <c r="AT519" s="41"/>
      <c r="AU519" s="1806"/>
      <c r="AV519" s="1517">
        <f t="shared" si="294"/>
        <v>0</v>
      </c>
      <c r="AW519" s="1517">
        <f t="shared" si="295"/>
        <v>0</v>
      </c>
      <c r="AX519" s="1517">
        <f t="shared" si="296"/>
        <v>0</v>
      </c>
      <c r="AY519" s="42">
        <f t="shared" si="271"/>
        <v>0</v>
      </c>
      <c r="AZ519" s="35">
        <f t="shared" si="272"/>
        <v>0</v>
      </c>
      <c r="BA519" s="35">
        <f t="shared" si="273"/>
        <v>0</v>
      </c>
      <c r="BB519" s="35">
        <f t="shared" si="274"/>
        <v>0</v>
      </c>
      <c r="BC519" s="35">
        <f t="shared" si="275"/>
        <v>0</v>
      </c>
      <c r="BD519" s="35">
        <f t="shared" si="276"/>
        <v>0</v>
      </c>
      <c r="BE519" s="35">
        <f t="shared" si="277"/>
        <v>0</v>
      </c>
      <c r="BF519" s="35">
        <f t="shared" si="278"/>
        <v>0</v>
      </c>
      <c r="BG519" s="35">
        <f t="shared" si="279"/>
        <v>0</v>
      </c>
      <c r="BH519" s="35">
        <f t="shared" si="280"/>
        <v>0</v>
      </c>
      <c r="BI519" s="35">
        <f t="shared" si="281"/>
        <v>0</v>
      </c>
      <c r="BJ519" s="35">
        <f t="shared" si="282"/>
        <v>0</v>
      </c>
      <c r="BK519" s="35">
        <f t="shared" si="283"/>
        <v>0</v>
      </c>
      <c r="BL519" s="35">
        <f t="shared" si="284"/>
        <v>0</v>
      </c>
      <c r="BM519" s="35">
        <f t="shared" si="285"/>
        <v>0</v>
      </c>
      <c r="BN519" s="35">
        <f t="shared" si="286"/>
        <v>0</v>
      </c>
      <c r="BO519" s="35">
        <f t="shared" si="287"/>
        <v>0</v>
      </c>
      <c r="BP519" s="35">
        <f t="shared" si="288"/>
        <v>0</v>
      </c>
      <c r="BQ519" s="35">
        <f t="shared" si="289"/>
        <v>0</v>
      </c>
      <c r="BR519" s="35">
        <f t="shared" si="290"/>
        <v>0</v>
      </c>
      <c r="BS519" s="35">
        <f t="shared" si="291"/>
        <v>0</v>
      </c>
      <c r="BT519" s="43">
        <f t="shared" si="292"/>
        <v>0</v>
      </c>
    </row>
    <row r="520" spans="1:72">
      <c r="A520" s="9"/>
      <c r="B520" s="34"/>
      <c r="C520" s="34"/>
      <c r="D520" s="1805"/>
      <c r="E520" s="35">
        <f t="shared" ref="E520:E551" si="297">IF($C$3="是",ROUND($A$3*G520/$B$3,2),ROUND($A$3*(G520-AT520)/$B$3,2))</f>
        <v>0</v>
      </c>
      <c r="F520" s="36"/>
      <c r="G520" s="37">
        <f t="shared" si="268"/>
        <v>0</v>
      </c>
      <c r="H520" s="38">
        <f t="shared" si="269"/>
        <v>0</v>
      </c>
      <c r="I520" s="39"/>
      <c r="J520" s="39"/>
      <c r="K520" s="39"/>
      <c r="L520" s="39"/>
      <c r="M520" s="39"/>
      <c r="N520" s="39"/>
      <c r="O520" s="39"/>
      <c r="P520" s="39"/>
      <c r="Q520" s="39"/>
      <c r="R520" s="39"/>
      <c r="S520" s="39"/>
      <c r="T520" s="39"/>
      <c r="U520" s="39"/>
      <c r="V520" s="39"/>
      <c r="W520" s="39"/>
      <c r="X520" s="39"/>
      <c r="Y520" s="39"/>
      <c r="Z520" s="39"/>
      <c r="AA520" s="39"/>
      <c r="AB520" s="39"/>
      <c r="AC520" s="35">
        <f t="shared" si="270"/>
        <v>0</v>
      </c>
      <c r="AD520" s="40"/>
      <c r="AE520" s="40"/>
      <c r="AF520" s="40"/>
      <c r="AG520" s="40"/>
      <c r="AH520" s="40"/>
      <c r="AI520" s="40"/>
      <c r="AJ520" s="40"/>
      <c r="AK520" s="40"/>
      <c r="AL520" s="40"/>
      <c r="AM520" s="40"/>
      <c r="AN520" s="40"/>
      <c r="AO520" s="40"/>
      <c r="AP520" s="40"/>
      <c r="AQ520" s="40"/>
      <c r="AR520" s="40"/>
      <c r="AS520" s="40"/>
      <c r="AT520" s="41"/>
      <c r="AU520" s="1806"/>
      <c r="AV520" s="1517">
        <f t="shared" si="294"/>
        <v>0</v>
      </c>
      <c r="AW520" s="1517">
        <f t="shared" si="295"/>
        <v>0</v>
      </c>
      <c r="AX520" s="1517">
        <f t="shared" si="296"/>
        <v>0</v>
      </c>
      <c r="AY520" s="42">
        <f t="shared" si="271"/>
        <v>0</v>
      </c>
      <c r="AZ520" s="35">
        <f t="shared" si="272"/>
        <v>0</v>
      </c>
      <c r="BA520" s="35">
        <f t="shared" si="273"/>
        <v>0</v>
      </c>
      <c r="BB520" s="35">
        <f t="shared" si="274"/>
        <v>0</v>
      </c>
      <c r="BC520" s="35">
        <f t="shared" si="275"/>
        <v>0</v>
      </c>
      <c r="BD520" s="35">
        <f t="shared" si="276"/>
        <v>0</v>
      </c>
      <c r="BE520" s="35">
        <f t="shared" si="277"/>
        <v>0</v>
      </c>
      <c r="BF520" s="35">
        <f t="shared" si="278"/>
        <v>0</v>
      </c>
      <c r="BG520" s="35">
        <f t="shared" si="279"/>
        <v>0</v>
      </c>
      <c r="BH520" s="35">
        <f t="shared" si="280"/>
        <v>0</v>
      </c>
      <c r="BI520" s="35">
        <f t="shared" si="281"/>
        <v>0</v>
      </c>
      <c r="BJ520" s="35">
        <f t="shared" si="282"/>
        <v>0</v>
      </c>
      <c r="BK520" s="35">
        <f t="shared" si="283"/>
        <v>0</v>
      </c>
      <c r="BL520" s="35">
        <f t="shared" si="284"/>
        <v>0</v>
      </c>
      <c r="BM520" s="35">
        <f t="shared" si="285"/>
        <v>0</v>
      </c>
      <c r="BN520" s="35">
        <f t="shared" si="286"/>
        <v>0</v>
      </c>
      <c r="BO520" s="35">
        <f t="shared" si="287"/>
        <v>0</v>
      </c>
      <c r="BP520" s="35">
        <f t="shared" si="288"/>
        <v>0</v>
      </c>
      <c r="BQ520" s="35">
        <f t="shared" si="289"/>
        <v>0</v>
      </c>
      <c r="BR520" s="35">
        <f t="shared" si="290"/>
        <v>0</v>
      </c>
      <c r="BS520" s="35">
        <f t="shared" si="291"/>
        <v>0</v>
      </c>
      <c r="BT520" s="43">
        <f t="shared" si="292"/>
        <v>0</v>
      </c>
    </row>
    <row r="521" spans="1:72">
      <c r="A521" s="9"/>
      <c r="B521" s="34"/>
      <c r="C521" s="34"/>
      <c r="D521" s="1805"/>
      <c r="E521" s="35">
        <f t="shared" si="297"/>
        <v>0</v>
      </c>
      <c r="F521" s="36"/>
      <c r="G521" s="37">
        <f t="shared" si="268"/>
        <v>0</v>
      </c>
      <c r="H521" s="38">
        <f t="shared" si="269"/>
        <v>0</v>
      </c>
      <c r="I521" s="39"/>
      <c r="J521" s="39"/>
      <c r="K521" s="39"/>
      <c r="L521" s="39"/>
      <c r="M521" s="39"/>
      <c r="N521" s="39"/>
      <c r="O521" s="39"/>
      <c r="P521" s="39"/>
      <c r="Q521" s="39"/>
      <c r="R521" s="39"/>
      <c r="S521" s="39"/>
      <c r="T521" s="39"/>
      <c r="U521" s="39"/>
      <c r="V521" s="39"/>
      <c r="W521" s="39"/>
      <c r="X521" s="39"/>
      <c r="Y521" s="39"/>
      <c r="Z521" s="39"/>
      <c r="AA521" s="39"/>
      <c r="AB521" s="39"/>
      <c r="AC521" s="35">
        <f t="shared" si="270"/>
        <v>0</v>
      </c>
      <c r="AD521" s="40"/>
      <c r="AE521" s="40"/>
      <c r="AF521" s="40"/>
      <c r="AG521" s="40"/>
      <c r="AH521" s="40"/>
      <c r="AI521" s="40"/>
      <c r="AJ521" s="40"/>
      <c r="AK521" s="40"/>
      <c r="AL521" s="40"/>
      <c r="AM521" s="40"/>
      <c r="AN521" s="40"/>
      <c r="AO521" s="40"/>
      <c r="AP521" s="40"/>
      <c r="AQ521" s="40"/>
      <c r="AR521" s="40"/>
      <c r="AS521" s="40"/>
      <c r="AT521" s="41"/>
      <c r="AU521" s="1806"/>
      <c r="AV521" s="1517">
        <f t="shared" ref="AV521:AV552" si="298">A521</f>
        <v>0</v>
      </c>
      <c r="AW521" s="1517">
        <f t="shared" ref="AW521:AW552" si="299">B521</f>
        <v>0</v>
      </c>
      <c r="AX521" s="1517">
        <f t="shared" ref="AX521:AX552" si="300">C521</f>
        <v>0</v>
      </c>
      <c r="AY521" s="42">
        <f t="shared" si="271"/>
        <v>0</v>
      </c>
      <c r="AZ521" s="35">
        <f t="shared" si="272"/>
        <v>0</v>
      </c>
      <c r="BA521" s="35">
        <f t="shared" si="273"/>
        <v>0</v>
      </c>
      <c r="BB521" s="35">
        <f t="shared" si="274"/>
        <v>0</v>
      </c>
      <c r="BC521" s="35">
        <f t="shared" si="275"/>
        <v>0</v>
      </c>
      <c r="BD521" s="35">
        <f t="shared" si="276"/>
        <v>0</v>
      </c>
      <c r="BE521" s="35">
        <f t="shared" si="277"/>
        <v>0</v>
      </c>
      <c r="BF521" s="35">
        <f t="shared" si="278"/>
        <v>0</v>
      </c>
      <c r="BG521" s="35">
        <f t="shared" si="279"/>
        <v>0</v>
      </c>
      <c r="BH521" s="35">
        <f t="shared" si="280"/>
        <v>0</v>
      </c>
      <c r="BI521" s="35">
        <f t="shared" si="281"/>
        <v>0</v>
      </c>
      <c r="BJ521" s="35">
        <f t="shared" si="282"/>
        <v>0</v>
      </c>
      <c r="BK521" s="35">
        <f t="shared" si="283"/>
        <v>0</v>
      </c>
      <c r="BL521" s="35">
        <f t="shared" si="284"/>
        <v>0</v>
      </c>
      <c r="BM521" s="35">
        <f t="shared" si="285"/>
        <v>0</v>
      </c>
      <c r="BN521" s="35">
        <f t="shared" si="286"/>
        <v>0</v>
      </c>
      <c r="BO521" s="35">
        <f t="shared" si="287"/>
        <v>0</v>
      </c>
      <c r="BP521" s="35">
        <f t="shared" si="288"/>
        <v>0</v>
      </c>
      <c r="BQ521" s="35">
        <f t="shared" si="289"/>
        <v>0</v>
      </c>
      <c r="BR521" s="35">
        <f t="shared" si="290"/>
        <v>0</v>
      </c>
      <c r="BS521" s="35">
        <f t="shared" si="291"/>
        <v>0</v>
      </c>
      <c r="BT521" s="43">
        <f t="shared" si="292"/>
        <v>0</v>
      </c>
    </row>
    <row r="522" spans="1:72">
      <c r="A522" s="9"/>
      <c r="B522" s="34"/>
      <c r="C522" s="34"/>
      <c r="D522" s="1805"/>
      <c r="E522" s="35">
        <f t="shared" si="297"/>
        <v>0</v>
      </c>
      <c r="F522" s="36"/>
      <c r="G522" s="37">
        <f t="shared" ref="G522:G552" si="301">H522+AC522+AT522</f>
        <v>0</v>
      </c>
      <c r="H522" s="38">
        <f t="shared" ref="H522:H552" si="302">SUMIF(I$12:AB$12,"总值",I522:AB522)</f>
        <v>0</v>
      </c>
      <c r="I522" s="39"/>
      <c r="J522" s="39"/>
      <c r="K522" s="39"/>
      <c r="L522" s="39"/>
      <c r="M522" s="39"/>
      <c r="N522" s="39"/>
      <c r="O522" s="39"/>
      <c r="P522" s="39"/>
      <c r="Q522" s="39"/>
      <c r="R522" s="39"/>
      <c r="S522" s="39"/>
      <c r="T522" s="39"/>
      <c r="U522" s="39"/>
      <c r="V522" s="39"/>
      <c r="W522" s="39"/>
      <c r="X522" s="39"/>
      <c r="Y522" s="39"/>
      <c r="Z522" s="39"/>
      <c r="AA522" s="39"/>
      <c r="AB522" s="39"/>
      <c r="AC522" s="35">
        <f t="shared" ref="AC522:AC552" si="303">SUMIF(AD$12:AS$12,"总值",AD522:AS522)</f>
        <v>0</v>
      </c>
      <c r="AD522" s="40"/>
      <c r="AE522" s="40"/>
      <c r="AF522" s="40"/>
      <c r="AG522" s="40"/>
      <c r="AH522" s="40"/>
      <c r="AI522" s="40"/>
      <c r="AJ522" s="40"/>
      <c r="AK522" s="40"/>
      <c r="AL522" s="40"/>
      <c r="AM522" s="40"/>
      <c r="AN522" s="40"/>
      <c r="AO522" s="40"/>
      <c r="AP522" s="40"/>
      <c r="AQ522" s="40"/>
      <c r="AR522" s="40"/>
      <c r="AS522" s="40"/>
      <c r="AT522" s="41"/>
      <c r="AU522" s="1806"/>
      <c r="AV522" s="1517">
        <f t="shared" si="298"/>
        <v>0</v>
      </c>
      <c r="AW522" s="1517">
        <f t="shared" si="299"/>
        <v>0</v>
      </c>
      <c r="AX522" s="1517">
        <f t="shared" si="300"/>
        <v>0</v>
      </c>
      <c r="AY522" s="42">
        <f t="shared" ref="AY522:AY552" si="304">ROUND($AY$6*AZ522/$AZ$5,2)</f>
        <v>0</v>
      </c>
      <c r="AZ522" s="35">
        <f t="shared" ref="AZ522:AZ552" si="305">BA522+BL522</f>
        <v>0</v>
      </c>
      <c r="BA522" s="35">
        <f t="shared" ref="BA522:BA552" si="306">SUM(BB522:BK522)</f>
        <v>0</v>
      </c>
      <c r="BB522" s="35">
        <f t="shared" ref="BB522:BB552" si="307">IF($D522="是",I522-J522,0)</f>
        <v>0</v>
      </c>
      <c r="BC522" s="35">
        <f t="shared" ref="BC522:BC552" si="308">IF($D522="是",K522-L522,0)</f>
        <v>0</v>
      </c>
      <c r="BD522" s="35">
        <f t="shared" ref="BD522:BD552" si="309">IF($D522="是",M522-N522,0)</f>
        <v>0</v>
      </c>
      <c r="BE522" s="35">
        <f t="shared" ref="BE522:BE552" si="310">IF($D522="是",O522-P522,0)</f>
        <v>0</v>
      </c>
      <c r="BF522" s="35">
        <f t="shared" ref="BF522:BF552" si="311">IF($D522="是",Q522-R522,0)</f>
        <v>0</v>
      </c>
      <c r="BG522" s="35">
        <f t="shared" ref="BG522:BG552" si="312">IF($D522="是",S522-T522,0)</f>
        <v>0</v>
      </c>
      <c r="BH522" s="35">
        <f t="shared" ref="BH522:BH552" si="313">IF($D522="是",U522-V522,0)</f>
        <v>0</v>
      </c>
      <c r="BI522" s="35">
        <f t="shared" ref="BI522:BI552" si="314">IF($D522="是",W522-X522,0)</f>
        <v>0</v>
      </c>
      <c r="BJ522" s="35">
        <f t="shared" ref="BJ522:BJ552" si="315">IF($D522="是",Y522-Z522,0)</f>
        <v>0</v>
      </c>
      <c r="BK522" s="35">
        <f t="shared" ref="BK522:BK552" si="316">IF($D522="是",AA522-AB522,0)</f>
        <v>0</v>
      </c>
      <c r="BL522" s="35">
        <f t="shared" ref="BL522:BL552" si="317">SUM(BM522:BT522)</f>
        <v>0</v>
      </c>
      <c r="BM522" s="35">
        <f t="shared" ref="BM522:BM552" si="318">IF($D522="是",AD522-AE522,0)</f>
        <v>0</v>
      </c>
      <c r="BN522" s="35">
        <f t="shared" ref="BN522:BN552" si="319">IF($D522="是",AF522-AG522,0)</f>
        <v>0</v>
      </c>
      <c r="BO522" s="35">
        <f t="shared" ref="BO522:BO552" si="320">IF($D522="是",AH522-AI522,0)</f>
        <v>0</v>
      </c>
      <c r="BP522" s="35">
        <f t="shared" ref="BP522:BP552" si="321">IF($D522="是",AJ522-AK522,0)</f>
        <v>0</v>
      </c>
      <c r="BQ522" s="35">
        <f t="shared" ref="BQ522:BQ552" si="322">IF($D522="是",AL522-AM522,0)</f>
        <v>0</v>
      </c>
      <c r="BR522" s="35">
        <f t="shared" ref="BR522:BR552" si="323">IF($D522="是",AN522-AO522,0)</f>
        <v>0</v>
      </c>
      <c r="BS522" s="35">
        <f t="shared" ref="BS522:BS552" si="324">IF($D522="是",AP522-AQ522,0)</f>
        <v>0</v>
      </c>
      <c r="BT522" s="43">
        <f t="shared" ref="BT522:BT552" si="325">IF($D522="是",AR522-AS522,0)</f>
        <v>0</v>
      </c>
    </row>
    <row r="523" spans="1:72">
      <c r="A523" s="9"/>
      <c r="B523" s="34"/>
      <c r="C523" s="34"/>
      <c r="D523" s="1805"/>
      <c r="E523" s="35">
        <f t="shared" si="297"/>
        <v>0</v>
      </c>
      <c r="F523" s="36"/>
      <c r="G523" s="37">
        <f t="shared" si="301"/>
        <v>0</v>
      </c>
      <c r="H523" s="38">
        <f t="shared" si="302"/>
        <v>0</v>
      </c>
      <c r="I523" s="39"/>
      <c r="J523" s="39"/>
      <c r="K523" s="39"/>
      <c r="L523" s="39"/>
      <c r="M523" s="39"/>
      <c r="N523" s="39"/>
      <c r="O523" s="39"/>
      <c r="P523" s="39"/>
      <c r="Q523" s="39"/>
      <c r="R523" s="39"/>
      <c r="S523" s="39"/>
      <c r="T523" s="39"/>
      <c r="U523" s="39"/>
      <c r="V523" s="39"/>
      <c r="W523" s="39"/>
      <c r="X523" s="39"/>
      <c r="Y523" s="39"/>
      <c r="Z523" s="39"/>
      <c r="AA523" s="39"/>
      <c r="AB523" s="39"/>
      <c r="AC523" s="35">
        <f t="shared" si="303"/>
        <v>0</v>
      </c>
      <c r="AD523" s="40"/>
      <c r="AE523" s="40"/>
      <c r="AF523" s="40"/>
      <c r="AG523" s="40"/>
      <c r="AH523" s="40"/>
      <c r="AI523" s="40"/>
      <c r="AJ523" s="40"/>
      <c r="AK523" s="40"/>
      <c r="AL523" s="40"/>
      <c r="AM523" s="40"/>
      <c r="AN523" s="40"/>
      <c r="AO523" s="40"/>
      <c r="AP523" s="40"/>
      <c r="AQ523" s="40"/>
      <c r="AR523" s="40"/>
      <c r="AS523" s="40"/>
      <c r="AT523" s="41"/>
      <c r="AU523" s="1806"/>
      <c r="AV523" s="1517">
        <f t="shared" si="298"/>
        <v>0</v>
      </c>
      <c r="AW523" s="1517">
        <f t="shared" si="299"/>
        <v>0</v>
      </c>
      <c r="AX523" s="1517">
        <f t="shared" si="300"/>
        <v>0</v>
      </c>
      <c r="AY523" s="42">
        <f t="shared" si="304"/>
        <v>0</v>
      </c>
      <c r="AZ523" s="35">
        <f t="shared" si="305"/>
        <v>0</v>
      </c>
      <c r="BA523" s="35">
        <f t="shared" si="306"/>
        <v>0</v>
      </c>
      <c r="BB523" s="35">
        <f t="shared" si="307"/>
        <v>0</v>
      </c>
      <c r="BC523" s="35">
        <f t="shared" si="308"/>
        <v>0</v>
      </c>
      <c r="BD523" s="35">
        <f t="shared" si="309"/>
        <v>0</v>
      </c>
      <c r="BE523" s="35">
        <f t="shared" si="310"/>
        <v>0</v>
      </c>
      <c r="BF523" s="35">
        <f t="shared" si="311"/>
        <v>0</v>
      </c>
      <c r="BG523" s="35">
        <f t="shared" si="312"/>
        <v>0</v>
      </c>
      <c r="BH523" s="35">
        <f t="shared" si="313"/>
        <v>0</v>
      </c>
      <c r="BI523" s="35">
        <f t="shared" si="314"/>
        <v>0</v>
      </c>
      <c r="BJ523" s="35">
        <f t="shared" si="315"/>
        <v>0</v>
      </c>
      <c r="BK523" s="35">
        <f t="shared" si="316"/>
        <v>0</v>
      </c>
      <c r="BL523" s="35">
        <f t="shared" si="317"/>
        <v>0</v>
      </c>
      <c r="BM523" s="35">
        <f t="shared" si="318"/>
        <v>0</v>
      </c>
      <c r="BN523" s="35">
        <f t="shared" si="319"/>
        <v>0</v>
      </c>
      <c r="BO523" s="35">
        <f t="shared" si="320"/>
        <v>0</v>
      </c>
      <c r="BP523" s="35">
        <f t="shared" si="321"/>
        <v>0</v>
      </c>
      <c r="BQ523" s="35">
        <f t="shared" si="322"/>
        <v>0</v>
      </c>
      <c r="BR523" s="35">
        <f t="shared" si="323"/>
        <v>0</v>
      </c>
      <c r="BS523" s="35">
        <f t="shared" si="324"/>
        <v>0</v>
      </c>
      <c r="BT523" s="43">
        <f t="shared" si="325"/>
        <v>0</v>
      </c>
    </row>
    <row r="524" spans="1:72">
      <c r="A524" s="9"/>
      <c r="B524" s="34"/>
      <c r="C524" s="34"/>
      <c r="D524" s="1805"/>
      <c r="E524" s="35">
        <f t="shared" si="297"/>
        <v>0</v>
      </c>
      <c r="F524" s="36"/>
      <c r="G524" s="37">
        <f t="shared" si="301"/>
        <v>0</v>
      </c>
      <c r="H524" s="38">
        <f t="shared" si="302"/>
        <v>0</v>
      </c>
      <c r="I524" s="39"/>
      <c r="J524" s="39"/>
      <c r="K524" s="39"/>
      <c r="L524" s="39"/>
      <c r="M524" s="39"/>
      <c r="N524" s="39"/>
      <c r="O524" s="39"/>
      <c r="P524" s="39"/>
      <c r="Q524" s="39"/>
      <c r="R524" s="39"/>
      <c r="S524" s="39"/>
      <c r="T524" s="39"/>
      <c r="U524" s="39"/>
      <c r="V524" s="39"/>
      <c r="W524" s="39"/>
      <c r="X524" s="39"/>
      <c r="Y524" s="39"/>
      <c r="Z524" s="39"/>
      <c r="AA524" s="39"/>
      <c r="AB524" s="39"/>
      <c r="AC524" s="35">
        <f t="shared" si="303"/>
        <v>0</v>
      </c>
      <c r="AD524" s="40"/>
      <c r="AE524" s="40"/>
      <c r="AF524" s="40"/>
      <c r="AG524" s="40"/>
      <c r="AH524" s="40"/>
      <c r="AI524" s="40"/>
      <c r="AJ524" s="40"/>
      <c r="AK524" s="40"/>
      <c r="AL524" s="40"/>
      <c r="AM524" s="40"/>
      <c r="AN524" s="40"/>
      <c r="AO524" s="40"/>
      <c r="AP524" s="40"/>
      <c r="AQ524" s="40"/>
      <c r="AR524" s="40"/>
      <c r="AS524" s="40"/>
      <c r="AT524" s="41"/>
      <c r="AU524" s="1806"/>
      <c r="AV524" s="1517">
        <f t="shared" si="298"/>
        <v>0</v>
      </c>
      <c r="AW524" s="1517">
        <f t="shared" si="299"/>
        <v>0</v>
      </c>
      <c r="AX524" s="1517">
        <f t="shared" si="300"/>
        <v>0</v>
      </c>
      <c r="AY524" s="42">
        <f t="shared" si="304"/>
        <v>0</v>
      </c>
      <c r="AZ524" s="35">
        <f t="shared" si="305"/>
        <v>0</v>
      </c>
      <c r="BA524" s="35">
        <f t="shared" si="306"/>
        <v>0</v>
      </c>
      <c r="BB524" s="35">
        <f t="shared" si="307"/>
        <v>0</v>
      </c>
      <c r="BC524" s="35">
        <f t="shared" si="308"/>
        <v>0</v>
      </c>
      <c r="BD524" s="35">
        <f t="shared" si="309"/>
        <v>0</v>
      </c>
      <c r="BE524" s="35">
        <f t="shared" si="310"/>
        <v>0</v>
      </c>
      <c r="BF524" s="35">
        <f t="shared" si="311"/>
        <v>0</v>
      </c>
      <c r="BG524" s="35">
        <f t="shared" si="312"/>
        <v>0</v>
      </c>
      <c r="BH524" s="35">
        <f t="shared" si="313"/>
        <v>0</v>
      </c>
      <c r="BI524" s="35">
        <f t="shared" si="314"/>
        <v>0</v>
      </c>
      <c r="BJ524" s="35">
        <f t="shared" si="315"/>
        <v>0</v>
      </c>
      <c r="BK524" s="35">
        <f t="shared" si="316"/>
        <v>0</v>
      </c>
      <c r="BL524" s="35">
        <f t="shared" si="317"/>
        <v>0</v>
      </c>
      <c r="BM524" s="35">
        <f t="shared" si="318"/>
        <v>0</v>
      </c>
      <c r="BN524" s="35">
        <f t="shared" si="319"/>
        <v>0</v>
      </c>
      <c r="BO524" s="35">
        <f t="shared" si="320"/>
        <v>0</v>
      </c>
      <c r="BP524" s="35">
        <f t="shared" si="321"/>
        <v>0</v>
      </c>
      <c r="BQ524" s="35">
        <f t="shared" si="322"/>
        <v>0</v>
      </c>
      <c r="BR524" s="35">
        <f t="shared" si="323"/>
        <v>0</v>
      </c>
      <c r="BS524" s="35">
        <f t="shared" si="324"/>
        <v>0</v>
      </c>
      <c r="BT524" s="43">
        <f t="shared" si="325"/>
        <v>0</v>
      </c>
    </row>
    <row r="525" spans="1:72">
      <c r="A525" s="9"/>
      <c r="B525" s="34"/>
      <c r="C525" s="34"/>
      <c r="D525" s="1805"/>
      <c r="E525" s="35">
        <f t="shared" si="297"/>
        <v>0</v>
      </c>
      <c r="F525" s="36"/>
      <c r="G525" s="37">
        <f t="shared" si="301"/>
        <v>0</v>
      </c>
      <c r="H525" s="38">
        <f t="shared" si="302"/>
        <v>0</v>
      </c>
      <c r="I525" s="39"/>
      <c r="J525" s="39"/>
      <c r="K525" s="39"/>
      <c r="L525" s="39"/>
      <c r="M525" s="39"/>
      <c r="N525" s="39"/>
      <c r="O525" s="39"/>
      <c r="P525" s="39"/>
      <c r="Q525" s="39"/>
      <c r="R525" s="39"/>
      <c r="S525" s="39"/>
      <c r="T525" s="39"/>
      <c r="U525" s="39"/>
      <c r="V525" s="39"/>
      <c r="W525" s="39"/>
      <c r="X525" s="39"/>
      <c r="Y525" s="39"/>
      <c r="Z525" s="39"/>
      <c r="AA525" s="39"/>
      <c r="AB525" s="39"/>
      <c r="AC525" s="35">
        <f t="shared" si="303"/>
        <v>0</v>
      </c>
      <c r="AD525" s="40"/>
      <c r="AE525" s="40"/>
      <c r="AF525" s="40"/>
      <c r="AG525" s="40"/>
      <c r="AH525" s="40"/>
      <c r="AI525" s="40"/>
      <c r="AJ525" s="40"/>
      <c r="AK525" s="40"/>
      <c r="AL525" s="40"/>
      <c r="AM525" s="40"/>
      <c r="AN525" s="40"/>
      <c r="AO525" s="40"/>
      <c r="AP525" s="40"/>
      <c r="AQ525" s="40"/>
      <c r="AR525" s="40"/>
      <c r="AS525" s="40"/>
      <c r="AT525" s="41"/>
      <c r="AU525" s="1806"/>
      <c r="AV525" s="1517">
        <f t="shared" si="298"/>
        <v>0</v>
      </c>
      <c r="AW525" s="1517">
        <f t="shared" si="299"/>
        <v>0</v>
      </c>
      <c r="AX525" s="1517">
        <f t="shared" si="300"/>
        <v>0</v>
      </c>
      <c r="AY525" s="42">
        <f t="shared" si="304"/>
        <v>0</v>
      </c>
      <c r="AZ525" s="35">
        <f t="shared" si="305"/>
        <v>0</v>
      </c>
      <c r="BA525" s="35">
        <f t="shared" si="306"/>
        <v>0</v>
      </c>
      <c r="BB525" s="35">
        <f t="shared" si="307"/>
        <v>0</v>
      </c>
      <c r="BC525" s="35">
        <f t="shared" si="308"/>
        <v>0</v>
      </c>
      <c r="BD525" s="35">
        <f t="shared" si="309"/>
        <v>0</v>
      </c>
      <c r="BE525" s="35">
        <f t="shared" si="310"/>
        <v>0</v>
      </c>
      <c r="BF525" s="35">
        <f t="shared" si="311"/>
        <v>0</v>
      </c>
      <c r="BG525" s="35">
        <f t="shared" si="312"/>
        <v>0</v>
      </c>
      <c r="BH525" s="35">
        <f t="shared" si="313"/>
        <v>0</v>
      </c>
      <c r="BI525" s="35">
        <f t="shared" si="314"/>
        <v>0</v>
      </c>
      <c r="BJ525" s="35">
        <f t="shared" si="315"/>
        <v>0</v>
      </c>
      <c r="BK525" s="35">
        <f t="shared" si="316"/>
        <v>0</v>
      </c>
      <c r="BL525" s="35">
        <f t="shared" si="317"/>
        <v>0</v>
      </c>
      <c r="BM525" s="35">
        <f t="shared" si="318"/>
        <v>0</v>
      </c>
      <c r="BN525" s="35">
        <f t="shared" si="319"/>
        <v>0</v>
      </c>
      <c r="BO525" s="35">
        <f t="shared" si="320"/>
        <v>0</v>
      </c>
      <c r="BP525" s="35">
        <f t="shared" si="321"/>
        <v>0</v>
      </c>
      <c r="BQ525" s="35">
        <f t="shared" si="322"/>
        <v>0</v>
      </c>
      <c r="BR525" s="35">
        <f t="shared" si="323"/>
        <v>0</v>
      </c>
      <c r="BS525" s="35">
        <f t="shared" si="324"/>
        <v>0</v>
      </c>
      <c r="BT525" s="43">
        <f t="shared" si="325"/>
        <v>0</v>
      </c>
    </row>
    <row r="526" spans="1:72">
      <c r="A526" s="9"/>
      <c r="B526" s="34"/>
      <c r="C526" s="34"/>
      <c r="D526" s="1805"/>
      <c r="E526" s="35">
        <f t="shared" si="297"/>
        <v>0</v>
      </c>
      <c r="F526" s="36"/>
      <c r="G526" s="37">
        <f t="shared" si="301"/>
        <v>0</v>
      </c>
      <c r="H526" s="38">
        <f t="shared" si="302"/>
        <v>0</v>
      </c>
      <c r="I526" s="39"/>
      <c r="J526" s="39"/>
      <c r="K526" s="39"/>
      <c r="L526" s="39"/>
      <c r="M526" s="39"/>
      <c r="N526" s="39"/>
      <c r="O526" s="39"/>
      <c r="P526" s="39"/>
      <c r="Q526" s="39"/>
      <c r="R526" s="39"/>
      <c r="S526" s="39"/>
      <c r="T526" s="39"/>
      <c r="U526" s="39"/>
      <c r="V526" s="39"/>
      <c r="W526" s="39"/>
      <c r="X526" s="39"/>
      <c r="Y526" s="39"/>
      <c r="Z526" s="39"/>
      <c r="AA526" s="39"/>
      <c r="AB526" s="39"/>
      <c r="AC526" s="35">
        <f t="shared" si="303"/>
        <v>0</v>
      </c>
      <c r="AD526" s="40"/>
      <c r="AE526" s="40"/>
      <c r="AF526" s="40"/>
      <c r="AG526" s="40"/>
      <c r="AH526" s="40"/>
      <c r="AI526" s="40"/>
      <c r="AJ526" s="40"/>
      <c r="AK526" s="40"/>
      <c r="AL526" s="40"/>
      <c r="AM526" s="40"/>
      <c r="AN526" s="40"/>
      <c r="AO526" s="40"/>
      <c r="AP526" s="40"/>
      <c r="AQ526" s="40"/>
      <c r="AR526" s="40"/>
      <c r="AS526" s="40"/>
      <c r="AT526" s="41"/>
      <c r="AU526" s="1806"/>
      <c r="AV526" s="1517">
        <f t="shared" si="298"/>
        <v>0</v>
      </c>
      <c r="AW526" s="1517">
        <f t="shared" si="299"/>
        <v>0</v>
      </c>
      <c r="AX526" s="1517">
        <f t="shared" si="300"/>
        <v>0</v>
      </c>
      <c r="AY526" s="42">
        <f t="shared" si="304"/>
        <v>0</v>
      </c>
      <c r="AZ526" s="35">
        <f t="shared" si="305"/>
        <v>0</v>
      </c>
      <c r="BA526" s="35">
        <f t="shared" si="306"/>
        <v>0</v>
      </c>
      <c r="BB526" s="35">
        <f t="shared" si="307"/>
        <v>0</v>
      </c>
      <c r="BC526" s="35">
        <f t="shared" si="308"/>
        <v>0</v>
      </c>
      <c r="BD526" s="35">
        <f t="shared" si="309"/>
        <v>0</v>
      </c>
      <c r="BE526" s="35">
        <f t="shared" si="310"/>
        <v>0</v>
      </c>
      <c r="BF526" s="35">
        <f t="shared" si="311"/>
        <v>0</v>
      </c>
      <c r="BG526" s="35">
        <f t="shared" si="312"/>
        <v>0</v>
      </c>
      <c r="BH526" s="35">
        <f t="shared" si="313"/>
        <v>0</v>
      </c>
      <c r="BI526" s="35">
        <f t="shared" si="314"/>
        <v>0</v>
      </c>
      <c r="BJ526" s="35">
        <f t="shared" si="315"/>
        <v>0</v>
      </c>
      <c r="BK526" s="35">
        <f t="shared" si="316"/>
        <v>0</v>
      </c>
      <c r="BL526" s="35">
        <f t="shared" si="317"/>
        <v>0</v>
      </c>
      <c r="BM526" s="35">
        <f t="shared" si="318"/>
        <v>0</v>
      </c>
      <c r="BN526" s="35">
        <f t="shared" si="319"/>
        <v>0</v>
      </c>
      <c r="BO526" s="35">
        <f t="shared" si="320"/>
        <v>0</v>
      </c>
      <c r="BP526" s="35">
        <f t="shared" si="321"/>
        <v>0</v>
      </c>
      <c r="BQ526" s="35">
        <f t="shared" si="322"/>
        <v>0</v>
      </c>
      <c r="BR526" s="35">
        <f t="shared" si="323"/>
        <v>0</v>
      </c>
      <c r="BS526" s="35">
        <f t="shared" si="324"/>
        <v>0</v>
      </c>
      <c r="BT526" s="43">
        <f t="shared" si="325"/>
        <v>0</v>
      </c>
    </row>
    <row r="527" spans="1:72">
      <c r="A527" s="9"/>
      <c r="B527" s="34"/>
      <c r="C527" s="34"/>
      <c r="D527" s="1805"/>
      <c r="E527" s="35">
        <f t="shared" si="297"/>
        <v>0</v>
      </c>
      <c r="F527" s="36"/>
      <c r="G527" s="37">
        <f t="shared" si="301"/>
        <v>0</v>
      </c>
      <c r="H527" s="38">
        <f t="shared" si="302"/>
        <v>0</v>
      </c>
      <c r="I527" s="39"/>
      <c r="J527" s="39"/>
      <c r="K527" s="39"/>
      <c r="L527" s="39"/>
      <c r="M527" s="39"/>
      <c r="N527" s="39"/>
      <c r="O527" s="39"/>
      <c r="P527" s="39"/>
      <c r="Q527" s="39"/>
      <c r="R527" s="39"/>
      <c r="S527" s="39"/>
      <c r="T527" s="39"/>
      <c r="U527" s="39"/>
      <c r="V527" s="39"/>
      <c r="W527" s="39"/>
      <c r="X527" s="39"/>
      <c r="Y527" s="39"/>
      <c r="Z527" s="39"/>
      <c r="AA527" s="39"/>
      <c r="AB527" s="39"/>
      <c r="AC527" s="35">
        <f t="shared" si="303"/>
        <v>0</v>
      </c>
      <c r="AD527" s="40"/>
      <c r="AE527" s="40"/>
      <c r="AF527" s="40"/>
      <c r="AG527" s="40"/>
      <c r="AH527" s="40"/>
      <c r="AI527" s="40"/>
      <c r="AJ527" s="40"/>
      <c r="AK527" s="40"/>
      <c r="AL527" s="40"/>
      <c r="AM527" s="40"/>
      <c r="AN527" s="40"/>
      <c r="AO527" s="40"/>
      <c r="AP527" s="40"/>
      <c r="AQ527" s="40"/>
      <c r="AR527" s="40"/>
      <c r="AS527" s="40"/>
      <c r="AT527" s="41"/>
      <c r="AU527" s="1806"/>
      <c r="AV527" s="1517">
        <f t="shared" si="298"/>
        <v>0</v>
      </c>
      <c r="AW527" s="1517">
        <f t="shared" si="299"/>
        <v>0</v>
      </c>
      <c r="AX527" s="1517">
        <f t="shared" si="300"/>
        <v>0</v>
      </c>
      <c r="AY527" s="42">
        <f t="shared" si="304"/>
        <v>0</v>
      </c>
      <c r="AZ527" s="35">
        <f t="shared" si="305"/>
        <v>0</v>
      </c>
      <c r="BA527" s="35">
        <f t="shared" si="306"/>
        <v>0</v>
      </c>
      <c r="BB527" s="35">
        <f t="shared" si="307"/>
        <v>0</v>
      </c>
      <c r="BC527" s="35">
        <f t="shared" si="308"/>
        <v>0</v>
      </c>
      <c r="BD527" s="35">
        <f t="shared" si="309"/>
        <v>0</v>
      </c>
      <c r="BE527" s="35">
        <f t="shared" si="310"/>
        <v>0</v>
      </c>
      <c r="BF527" s="35">
        <f t="shared" si="311"/>
        <v>0</v>
      </c>
      <c r="BG527" s="35">
        <f t="shared" si="312"/>
        <v>0</v>
      </c>
      <c r="BH527" s="35">
        <f t="shared" si="313"/>
        <v>0</v>
      </c>
      <c r="BI527" s="35">
        <f t="shared" si="314"/>
        <v>0</v>
      </c>
      <c r="BJ527" s="35">
        <f t="shared" si="315"/>
        <v>0</v>
      </c>
      <c r="BK527" s="35">
        <f t="shared" si="316"/>
        <v>0</v>
      </c>
      <c r="BL527" s="35">
        <f t="shared" si="317"/>
        <v>0</v>
      </c>
      <c r="BM527" s="35">
        <f t="shared" si="318"/>
        <v>0</v>
      </c>
      <c r="BN527" s="35">
        <f t="shared" si="319"/>
        <v>0</v>
      </c>
      <c r="BO527" s="35">
        <f t="shared" si="320"/>
        <v>0</v>
      </c>
      <c r="BP527" s="35">
        <f t="shared" si="321"/>
        <v>0</v>
      </c>
      <c r="BQ527" s="35">
        <f t="shared" si="322"/>
        <v>0</v>
      </c>
      <c r="BR527" s="35">
        <f t="shared" si="323"/>
        <v>0</v>
      </c>
      <c r="BS527" s="35">
        <f t="shared" si="324"/>
        <v>0</v>
      </c>
      <c r="BT527" s="43">
        <f t="shared" si="325"/>
        <v>0</v>
      </c>
    </row>
    <row r="528" spans="1:72">
      <c r="A528" s="9"/>
      <c r="B528" s="34"/>
      <c r="C528" s="34"/>
      <c r="D528" s="1805"/>
      <c r="E528" s="35">
        <f t="shared" si="297"/>
        <v>0</v>
      </c>
      <c r="F528" s="36"/>
      <c r="G528" s="37">
        <f t="shared" si="301"/>
        <v>0</v>
      </c>
      <c r="H528" s="38">
        <f t="shared" si="302"/>
        <v>0</v>
      </c>
      <c r="I528" s="39"/>
      <c r="J528" s="39"/>
      <c r="K528" s="39"/>
      <c r="L528" s="39"/>
      <c r="M528" s="39"/>
      <c r="N528" s="39"/>
      <c r="O528" s="39"/>
      <c r="P528" s="39"/>
      <c r="Q528" s="39"/>
      <c r="R528" s="39"/>
      <c r="S528" s="39"/>
      <c r="T528" s="39"/>
      <c r="U528" s="39"/>
      <c r="V528" s="39"/>
      <c r="W528" s="39"/>
      <c r="X528" s="39"/>
      <c r="Y528" s="39"/>
      <c r="Z528" s="39"/>
      <c r="AA528" s="39"/>
      <c r="AB528" s="39"/>
      <c r="AC528" s="35">
        <f t="shared" si="303"/>
        <v>0</v>
      </c>
      <c r="AD528" s="40"/>
      <c r="AE528" s="40"/>
      <c r="AF528" s="40"/>
      <c r="AG528" s="40"/>
      <c r="AH528" s="40"/>
      <c r="AI528" s="40"/>
      <c r="AJ528" s="40"/>
      <c r="AK528" s="40"/>
      <c r="AL528" s="40"/>
      <c r="AM528" s="40"/>
      <c r="AN528" s="40"/>
      <c r="AO528" s="40"/>
      <c r="AP528" s="40"/>
      <c r="AQ528" s="40"/>
      <c r="AR528" s="40"/>
      <c r="AS528" s="40"/>
      <c r="AT528" s="41"/>
      <c r="AU528" s="1806"/>
      <c r="AV528" s="1517">
        <f t="shared" si="298"/>
        <v>0</v>
      </c>
      <c r="AW528" s="1517">
        <f t="shared" si="299"/>
        <v>0</v>
      </c>
      <c r="AX528" s="1517">
        <f t="shared" si="300"/>
        <v>0</v>
      </c>
      <c r="AY528" s="42">
        <f t="shared" si="304"/>
        <v>0</v>
      </c>
      <c r="AZ528" s="35">
        <f t="shared" si="305"/>
        <v>0</v>
      </c>
      <c r="BA528" s="35">
        <f t="shared" si="306"/>
        <v>0</v>
      </c>
      <c r="BB528" s="35">
        <f t="shared" si="307"/>
        <v>0</v>
      </c>
      <c r="BC528" s="35">
        <f t="shared" si="308"/>
        <v>0</v>
      </c>
      <c r="BD528" s="35">
        <f t="shared" si="309"/>
        <v>0</v>
      </c>
      <c r="BE528" s="35">
        <f t="shared" si="310"/>
        <v>0</v>
      </c>
      <c r="BF528" s="35">
        <f t="shared" si="311"/>
        <v>0</v>
      </c>
      <c r="BG528" s="35">
        <f t="shared" si="312"/>
        <v>0</v>
      </c>
      <c r="BH528" s="35">
        <f t="shared" si="313"/>
        <v>0</v>
      </c>
      <c r="BI528" s="35">
        <f t="shared" si="314"/>
        <v>0</v>
      </c>
      <c r="BJ528" s="35">
        <f t="shared" si="315"/>
        <v>0</v>
      </c>
      <c r="BK528" s="35">
        <f t="shared" si="316"/>
        <v>0</v>
      </c>
      <c r="BL528" s="35">
        <f t="shared" si="317"/>
        <v>0</v>
      </c>
      <c r="BM528" s="35">
        <f t="shared" si="318"/>
        <v>0</v>
      </c>
      <c r="BN528" s="35">
        <f t="shared" si="319"/>
        <v>0</v>
      </c>
      <c r="BO528" s="35">
        <f t="shared" si="320"/>
        <v>0</v>
      </c>
      <c r="BP528" s="35">
        <f t="shared" si="321"/>
        <v>0</v>
      </c>
      <c r="BQ528" s="35">
        <f t="shared" si="322"/>
        <v>0</v>
      </c>
      <c r="BR528" s="35">
        <f t="shared" si="323"/>
        <v>0</v>
      </c>
      <c r="BS528" s="35">
        <f t="shared" si="324"/>
        <v>0</v>
      </c>
      <c r="BT528" s="43">
        <f t="shared" si="325"/>
        <v>0</v>
      </c>
    </row>
    <row r="529" spans="1:72">
      <c r="A529" s="9"/>
      <c r="B529" s="34"/>
      <c r="C529" s="34"/>
      <c r="D529" s="1805"/>
      <c r="E529" s="35">
        <f t="shared" si="297"/>
        <v>0</v>
      </c>
      <c r="F529" s="36"/>
      <c r="G529" s="37">
        <f t="shared" si="301"/>
        <v>0</v>
      </c>
      <c r="H529" s="38">
        <f t="shared" si="302"/>
        <v>0</v>
      </c>
      <c r="I529" s="39"/>
      <c r="J529" s="39"/>
      <c r="K529" s="39"/>
      <c r="L529" s="39"/>
      <c r="M529" s="39"/>
      <c r="N529" s="39"/>
      <c r="O529" s="39"/>
      <c r="P529" s="39"/>
      <c r="Q529" s="39"/>
      <c r="R529" s="39"/>
      <c r="S529" s="39"/>
      <c r="T529" s="39"/>
      <c r="U529" s="39"/>
      <c r="V529" s="39"/>
      <c r="W529" s="39"/>
      <c r="X529" s="39"/>
      <c r="Y529" s="39"/>
      <c r="Z529" s="39"/>
      <c r="AA529" s="39"/>
      <c r="AB529" s="39"/>
      <c r="AC529" s="35">
        <f t="shared" si="303"/>
        <v>0</v>
      </c>
      <c r="AD529" s="40"/>
      <c r="AE529" s="40"/>
      <c r="AF529" s="40"/>
      <c r="AG529" s="40"/>
      <c r="AH529" s="40"/>
      <c r="AI529" s="40"/>
      <c r="AJ529" s="40"/>
      <c r="AK529" s="40"/>
      <c r="AL529" s="40"/>
      <c r="AM529" s="40"/>
      <c r="AN529" s="40"/>
      <c r="AO529" s="40"/>
      <c r="AP529" s="40"/>
      <c r="AQ529" s="40"/>
      <c r="AR529" s="40"/>
      <c r="AS529" s="40"/>
      <c r="AT529" s="41"/>
      <c r="AU529" s="1806"/>
      <c r="AV529" s="1517">
        <f t="shared" si="298"/>
        <v>0</v>
      </c>
      <c r="AW529" s="1517">
        <f t="shared" si="299"/>
        <v>0</v>
      </c>
      <c r="AX529" s="1517">
        <f t="shared" si="300"/>
        <v>0</v>
      </c>
      <c r="AY529" s="42">
        <f t="shared" si="304"/>
        <v>0</v>
      </c>
      <c r="AZ529" s="35">
        <f t="shared" si="305"/>
        <v>0</v>
      </c>
      <c r="BA529" s="35">
        <f t="shared" si="306"/>
        <v>0</v>
      </c>
      <c r="BB529" s="35">
        <f t="shared" si="307"/>
        <v>0</v>
      </c>
      <c r="BC529" s="35">
        <f t="shared" si="308"/>
        <v>0</v>
      </c>
      <c r="BD529" s="35">
        <f t="shared" si="309"/>
        <v>0</v>
      </c>
      <c r="BE529" s="35">
        <f t="shared" si="310"/>
        <v>0</v>
      </c>
      <c r="BF529" s="35">
        <f t="shared" si="311"/>
        <v>0</v>
      </c>
      <c r="BG529" s="35">
        <f t="shared" si="312"/>
        <v>0</v>
      </c>
      <c r="BH529" s="35">
        <f t="shared" si="313"/>
        <v>0</v>
      </c>
      <c r="BI529" s="35">
        <f t="shared" si="314"/>
        <v>0</v>
      </c>
      <c r="BJ529" s="35">
        <f t="shared" si="315"/>
        <v>0</v>
      </c>
      <c r="BK529" s="35">
        <f t="shared" si="316"/>
        <v>0</v>
      </c>
      <c r="BL529" s="35">
        <f t="shared" si="317"/>
        <v>0</v>
      </c>
      <c r="BM529" s="35">
        <f t="shared" si="318"/>
        <v>0</v>
      </c>
      <c r="BN529" s="35">
        <f t="shared" si="319"/>
        <v>0</v>
      </c>
      <c r="BO529" s="35">
        <f t="shared" si="320"/>
        <v>0</v>
      </c>
      <c r="BP529" s="35">
        <f t="shared" si="321"/>
        <v>0</v>
      </c>
      <c r="BQ529" s="35">
        <f t="shared" si="322"/>
        <v>0</v>
      </c>
      <c r="BR529" s="35">
        <f t="shared" si="323"/>
        <v>0</v>
      </c>
      <c r="BS529" s="35">
        <f t="shared" si="324"/>
        <v>0</v>
      </c>
      <c r="BT529" s="43">
        <f t="shared" si="325"/>
        <v>0</v>
      </c>
    </row>
    <row r="530" spans="1:72">
      <c r="A530" s="9"/>
      <c r="B530" s="34"/>
      <c r="C530" s="34"/>
      <c r="D530" s="1805"/>
      <c r="E530" s="35">
        <f t="shared" si="297"/>
        <v>0</v>
      </c>
      <c r="F530" s="36"/>
      <c r="G530" s="37">
        <f t="shared" si="301"/>
        <v>0</v>
      </c>
      <c r="H530" s="38">
        <f t="shared" si="302"/>
        <v>0</v>
      </c>
      <c r="I530" s="39"/>
      <c r="J530" s="39"/>
      <c r="K530" s="39"/>
      <c r="L530" s="39"/>
      <c r="M530" s="39"/>
      <c r="N530" s="39"/>
      <c r="O530" s="39"/>
      <c r="P530" s="39"/>
      <c r="Q530" s="39"/>
      <c r="R530" s="39"/>
      <c r="S530" s="39"/>
      <c r="T530" s="39"/>
      <c r="U530" s="39"/>
      <c r="V530" s="39"/>
      <c r="W530" s="39"/>
      <c r="X530" s="39"/>
      <c r="Y530" s="39"/>
      <c r="Z530" s="39"/>
      <c r="AA530" s="39"/>
      <c r="AB530" s="39"/>
      <c r="AC530" s="35">
        <f t="shared" si="303"/>
        <v>0</v>
      </c>
      <c r="AD530" s="40"/>
      <c r="AE530" s="40"/>
      <c r="AF530" s="40"/>
      <c r="AG530" s="40"/>
      <c r="AH530" s="40"/>
      <c r="AI530" s="40"/>
      <c r="AJ530" s="40"/>
      <c r="AK530" s="40"/>
      <c r="AL530" s="40"/>
      <c r="AM530" s="40"/>
      <c r="AN530" s="40"/>
      <c r="AO530" s="40"/>
      <c r="AP530" s="40"/>
      <c r="AQ530" s="40"/>
      <c r="AR530" s="40"/>
      <c r="AS530" s="40"/>
      <c r="AT530" s="41"/>
      <c r="AU530" s="1806"/>
      <c r="AV530" s="1517">
        <f t="shared" si="298"/>
        <v>0</v>
      </c>
      <c r="AW530" s="1517">
        <f t="shared" si="299"/>
        <v>0</v>
      </c>
      <c r="AX530" s="1517">
        <f t="shared" si="300"/>
        <v>0</v>
      </c>
      <c r="AY530" s="42">
        <f t="shared" si="304"/>
        <v>0</v>
      </c>
      <c r="AZ530" s="35">
        <f t="shared" si="305"/>
        <v>0</v>
      </c>
      <c r="BA530" s="35">
        <f t="shared" si="306"/>
        <v>0</v>
      </c>
      <c r="BB530" s="35">
        <f t="shared" si="307"/>
        <v>0</v>
      </c>
      <c r="BC530" s="35">
        <f t="shared" si="308"/>
        <v>0</v>
      </c>
      <c r="BD530" s="35">
        <f t="shared" si="309"/>
        <v>0</v>
      </c>
      <c r="BE530" s="35">
        <f t="shared" si="310"/>
        <v>0</v>
      </c>
      <c r="BF530" s="35">
        <f t="shared" si="311"/>
        <v>0</v>
      </c>
      <c r="BG530" s="35">
        <f t="shared" si="312"/>
        <v>0</v>
      </c>
      <c r="BH530" s="35">
        <f t="shared" si="313"/>
        <v>0</v>
      </c>
      <c r="BI530" s="35">
        <f t="shared" si="314"/>
        <v>0</v>
      </c>
      <c r="BJ530" s="35">
        <f t="shared" si="315"/>
        <v>0</v>
      </c>
      <c r="BK530" s="35">
        <f t="shared" si="316"/>
        <v>0</v>
      </c>
      <c r="BL530" s="35">
        <f t="shared" si="317"/>
        <v>0</v>
      </c>
      <c r="BM530" s="35">
        <f t="shared" si="318"/>
        <v>0</v>
      </c>
      <c r="BN530" s="35">
        <f t="shared" si="319"/>
        <v>0</v>
      </c>
      <c r="BO530" s="35">
        <f t="shared" si="320"/>
        <v>0</v>
      </c>
      <c r="BP530" s="35">
        <f t="shared" si="321"/>
        <v>0</v>
      </c>
      <c r="BQ530" s="35">
        <f t="shared" si="322"/>
        <v>0</v>
      </c>
      <c r="BR530" s="35">
        <f t="shared" si="323"/>
        <v>0</v>
      </c>
      <c r="BS530" s="35">
        <f t="shared" si="324"/>
        <v>0</v>
      </c>
      <c r="BT530" s="43">
        <f t="shared" si="325"/>
        <v>0</v>
      </c>
    </row>
    <row r="531" spans="1:72">
      <c r="A531" s="9"/>
      <c r="B531" s="34"/>
      <c r="C531" s="34"/>
      <c r="D531" s="1805"/>
      <c r="E531" s="35">
        <f t="shared" si="297"/>
        <v>0</v>
      </c>
      <c r="F531" s="36"/>
      <c r="G531" s="37">
        <f t="shared" si="301"/>
        <v>0</v>
      </c>
      <c r="H531" s="38">
        <f t="shared" si="302"/>
        <v>0</v>
      </c>
      <c r="I531" s="39"/>
      <c r="J531" s="39"/>
      <c r="K531" s="39"/>
      <c r="L531" s="39"/>
      <c r="M531" s="39"/>
      <c r="N531" s="39"/>
      <c r="O531" s="39"/>
      <c r="P531" s="39"/>
      <c r="Q531" s="39"/>
      <c r="R531" s="39"/>
      <c r="S531" s="39"/>
      <c r="T531" s="39"/>
      <c r="U531" s="39"/>
      <c r="V531" s="39"/>
      <c r="W531" s="39"/>
      <c r="X531" s="39"/>
      <c r="Y531" s="39"/>
      <c r="Z531" s="39"/>
      <c r="AA531" s="39"/>
      <c r="AB531" s="39"/>
      <c r="AC531" s="35">
        <f t="shared" si="303"/>
        <v>0</v>
      </c>
      <c r="AD531" s="40"/>
      <c r="AE531" s="40"/>
      <c r="AF531" s="40"/>
      <c r="AG531" s="40"/>
      <c r="AH531" s="40"/>
      <c r="AI531" s="40"/>
      <c r="AJ531" s="40"/>
      <c r="AK531" s="40"/>
      <c r="AL531" s="40"/>
      <c r="AM531" s="40"/>
      <c r="AN531" s="40"/>
      <c r="AO531" s="40"/>
      <c r="AP531" s="40"/>
      <c r="AQ531" s="40"/>
      <c r="AR531" s="40"/>
      <c r="AS531" s="40"/>
      <c r="AT531" s="41"/>
      <c r="AU531" s="1806"/>
      <c r="AV531" s="1517">
        <f t="shared" si="298"/>
        <v>0</v>
      </c>
      <c r="AW531" s="1517">
        <f t="shared" si="299"/>
        <v>0</v>
      </c>
      <c r="AX531" s="1517">
        <f t="shared" si="300"/>
        <v>0</v>
      </c>
      <c r="AY531" s="42">
        <f t="shared" si="304"/>
        <v>0</v>
      </c>
      <c r="AZ531" s="35">
        <f t="shared" si="305"/>
        <v>0</v>
      </c>
      <c r="BA531" s="35">
        <f t="shared" si="306"/>
        <v>0</v>
      </c>
      <c r="BB531" s="35">
        <f t="shared" si="307"/>
        <v>0</v>
      </c>
      <c r="BC531" s="35">
        <f t="shared" si="308"/>
        <v>0</v>
      </c>
      <c r="BD531" s="35">
        <f t="shared" si="309"/>
        <v>0</v>
      </c>
      <c r="BE531" s="35">
        <f t="shared" si="310"/>
        <v>0</v>
      </c>
      <c r="BF531" s="35">
        <f t="shared" si="311"/>
        <v>0</v>
      </c>
      <c r="BG531" s="35">
        <f t="shared" si="312"/>
        <v>0</v>
      </c>
      <c r="BH531" s="35">
        <f t="shared" si="313"/>
        <v>0</v>
      </c>
      <c r="BI531" s="35">
        <f t="shared" si="314"/>
        <v>0</v>
      </c>
      <c r="BJ531" s="35">
        <f t="shared" si="315"/>
        <v>0</v>
      </c>
      <c r="BK531" s="35">
        <f t="shared" si="316"/>
        <v>0</v>
      </c>
      <c r="BL531" s="35">
        <f t="shared" si="317"/>
        <v>0</v>
      </c>
      <c r="BM531" s="35">
        <f t="shared" si="318"/>
        <v>0</v>
      </c>
      <c r="BN531" s="35">
        <f t="shared" si="319"/>
        <v>0</v>
      </c>
      <c r="BO531" s="35">
        <f t="shared" si="320"/>
        <v>0</v>
      </c>
      <c r="BP531" s="35">
        <f t="shared" si="321"/>
        <v>0</v>
      </c>
      <c r="BQ531" s="35">
        <f t="shared" si="322"/>
        <v>0</v>
      </c>
      <c r="BR531" s="35">
        <f t="shared" si="323"/>
        <v>0</v>
      </c>
      <c r="BS531" s="35">
        <f t="shared" si="324"/>
        <v>0</v>
      </c>
      <c r="BT531" s="43">
        <f t="shared" si="325"/>
        <v>0</v>
      </c>
    </row>
    <row r="532" spans="1:72">
      <c r="A532" s="9"/>
      <c r="B532" s="34"/>
      <c r="C532" s="34"/>
      <c r="D532" s="1805"/>
      <c r="E532" s="35">
        <f t="shared" si="297"/>
        <v>0</v>
      </c>
      <c r="F532" s="36"/>
      <c r="G532" s="37">
        <f t="shared" si="301"/>
        <v>0</v>
      </c>
      <c r="H532" s="38">
        <f t="shared" si="302"/>
        <v>0</v>
      </c>
      <c r="I532" s="39"/>
      <c r="J532" s="39"/>
      <c r="K532" s="39"/>
      <c r="L532" s="39"/>
      <c r="M532" s="39"/>
      <c r="N532" s="39"/>
      <c r="O532" s="39"/>
      <c r="P532" s="39"/>
      <c r="Q532" s="39"/>
      <c r="R532" s="39"/>
      <c r="S532" s="39"/>
      <c r="T532" s="39"/>
      <c r="U532" s="39"/>
      <c r="V532" s="39"/>
      <c r="W532" s="39"/>
      <c r="X532" s="39"/>
      <c r="Y532" s="39"/>
      <c r="Z532" s="39"/>
      <c r="AA532" s="39"/>
      <c r="AB532" s="39"/>
      <c r="AC532" s="35">
        <f t="shared" si="303"/>
        <v>0</v>
      </c>
      <c r="AD532" s="40"/>
      <c r="AE532" s="40"/>
      <c r="AF532" s="40"/>
      <c r="AG532" s="40"/>
      <c r="AH532" s="40"/>
      <c r="AI532" s="40"/>
      <c r="AJ532" s="40"/>
      <c r="AK532" s="40"/>
      <c r="AL532" s="40"/>
      <c r="AM532" s="40"/>
      <c r="AN532" s="40"/>
      <c r="AO532" s="40"/>
      <c r="AP532" s="40"/>
      <c r="AQ532" s="40"/>
      <c r="AR532" s="40"/>
      <c r="AS532" s="40"/>
      <c r="AT532" s="41"/>
      <c r="AU532" s="1806"/>
      <c r="AV532" s="1517">
        <f t="shared" si="298"/>
        <v>0</v>
      </c>
      <c r="AW532" s="1517">
        <f t="shared" si="299"/>
        <v>0</v>
      </c>
      <c r="AX532" s="1517">
        <f t="shared" si="300"/>
        <v>0</v>
      </c>
      <c r="AY532" s="42">
        <f t="shared" si="304"/>
        <v>0</v>
      </c>
      <c r="AZ532" s="35">
        <f t="shared" si="305"/>
        <v>0</v>
      </c>
      <c r="BA532" s="35">
        <f t="shared" si="306"/>
        <v>0</v>
      </c>
      <c r="BB532" s="35">
        <f t="shared" si="307"/>
        <v>0</v>
      </c>
      <c r="BC532" s="35">
        <f t="shared" si="308"/>
        <v>0</v>
      </c>
      <c r="BD532" s="35">
        <f t="shared" si="309"/>
        <v>0</v>
      </c>
      <c r="BE532" s="35">
        <f t="shared" si="310"/>
        <v>0</v>
      </c>
      <c r="BF532" s="35">
        <f t="shared" si="311"/>
        <v>0</v>
      </c>
      <c r="BG532" s="35">
        <f t="shared" si="312"/>
        <v>0</v>
      </c>
      <c r="BH532" s="35">
        <f t="shared" si="313"/>
        <v>0</v>
      </c>
      <c r="BI532" s="35">
        <f t="shared" si="314"/>
        <v>0</v>
      </c>
      <c r="BJ532" s="35">
        <f t="shared" si="315"/>
        <v>0</v>
      </c>
      <c r="BK532" s="35">
        <f t="shared" si="316"/>
        <v>0</v>
      </c>
      <c r="BL532" s="35">
        <f t="shared" si="317"/>
        <v>0</v>
      </c>
      <c r="BM532" s="35">
        <f t="shared" si="318"/>
        <v>0</v>
      </c>
      <c r="BN532" s="35">
        <f t="shared" si="319"/>
        <v>0</v>
      </c>
      <c r="BO532" s="35">
        <f t="shared" si="320"/>
        <v>0</v>
      </c>
      <c r="BP532" s="35">
        <f t="shared" si="321"/>
        <v>0</v>
      </c>
      <c r="BQ532" s="35">
        <f t="shared" si="322"/>
        <v>0</v>
      </c>
      <c r="BR532" s="35">
        <f t="shared" si="323"/>
        <v>0</v>
      </c>
      <c r="BS532" s="35">
        <f t="shared" si="324"/>
        <v>0</v>
      </c>
      <c r="BT532" s="43">
        <f t="shared" si="325"/>
        <v>0</v>
      </c>
    </row>
    <row r="533" spans="1:72">
      <c r="A533" s="9"/>
      <c r="B533" s="34"/>
      <c r="C533" s="34"/>
      <c r="D533" s="1805"/>
      <c r="E533" s="35">
        <f t="shared" si="297"/>
        <v>0</v>
      </c>
      <c r="F533" s="36"/>
      <c r="G533" s="37">
        <f t="shared" si="301"/>
        <v>0</v>
      </c>
      <c r="H533" s="38">
        <f t="shared" si="302"/>
        <v>0</v>
      </c>
      <c r="I533" s="39"/>
      <c r="J533" s="39"/>
      <c r="K533" s="39"/>
      <c r="L533" s="39"/>
      <c r="M533" s="39"/>
      <c r="N533" s="39"/>
      <c r="O533" s="39"/>
      <c r="P533" s="39"/>
      <c r="Q533" s="39"/>
      <c r="R533" s="39"/>
      <c r="S533" s="39"/>
      <c r="T533" s="39"/>
      <c r="U533" s="39"/>
      <c r="V533" s="39"/>
      <c r="W533" s="39"/>
      <c r="X533" s="39"/>
      <c r="Y533" s="39"/>
      <c r="Z533" s="39"/>
      <c r="AA533" s="39"/>
      <c r="AB533" s="39"/>
      <c r="AC533" s="35">
        <f t="shared" si="303"/>
        <v>0</v>
      </c>
      <c r="AD533" s="40"/>
      <c r="AE533" s="40"/>
      <c r="AF533" s="40"/>
      <c r="AG533" s="40"/>
      <c r="AH533" s="40"/>
      <c r="AI533" s="40"/>
      <c r="AJ533" s="40"/>
      <c r="AK533" s="40"/>
      <c r="AL533" s="40"/>
      <c r="AM533" s="40"/>
      <c r="AN533" s="40"/>
      <c r="AO533" s="40"/>
      <c r="AP533" s="40"/>
      <c r="AQ533" s="40"/>
      <c r="AR533" s="40"/>
      <c r="AS533" s="40"/>
      <c r="AT533" s="41"/>
      <c r="AU533" s="1806"/>
      <c r="AV533" s="1517">
        <f t="shared" si="298"/>
        <v>0</v>
      </c>
      <c r="AW533" s="1517">
        <f t="shared" si="299"/>
        <v>0</v>
      </c>
      <c r="AX533" s="1517">
        <f t="shared" si="300"/>
        <v>0</v>
      </c>
      <c r="AY533" s="42">
        <f t="shared" si="304"/>
        <v>0</v>
      </c>
      <c r="AZ533" s="35">
        <f t="shared" si="305"/>
        <v>0</v>
      </c>
      <c r="BA533" s="35">
        <f t="shared" si="306"/>
        <v>0</v>
      </c>
      <c r="BB533" s="35">
        <f t="shared" si="307"/>
        <v>0</v>
      </c>
      <c r="BC533" s="35">
        <f t="shared" si="308"/>
        <v>0</v>
      </c>
      <c r="BD533" s="35">
        <f t="shared" si="309"/>
        <v>0</v>
      </c>
      <c r="BE533" s="35">
        <f t="shared" si="310"/>
        <v>0</v>
      </c>
      <c r="BF533" s="35">
        <f t="shared" si="311"/>
        <v>0</v>
      </c>
      <c r="BG533" s="35">
        <f t="shared" si="312"/>
        <v>0</v>
      </c>
      <c r="BH533" s="35">
        <f t="shared" si="313"/>
        <v>0</v>
      </c>
      <c r="BI533" s="35">
        <f t="shared" si="314"/>
        <v>0</v>
      </c>
      <c r="BJ533" s="35">
        <f t="shared" si="315"/>
        <v>0</v>
      </c>
      <c r="BK533" s="35">
        <f t="shared" si="316"/>
        <v>0</v>
      </c>
      <c r="BL533" s="35">
        <f t="shared" si="317"/>
        <v>0</v>
      </c>
      <c r="BM533" s="35">
        <f t="shared" si="318"/>
        <v>0</v>
      </c>
      <c r="BN533" s="35">
        <f t="shared" si="319"/>
        <v>0</v>
      </c>
      <c r="BO533" s="35">
        <f t="shared" si="320"/>
        <v>0</v>
      </c>
      <c r="BP533" s="35">
        <f t="shared" si="321"/>
        <v>0</v>
      </c>
      <c r="BQ533" s="35">
        <f t="shared" si="322"/>
        <v>0</v>
      </c>
      <c r="BR533" s="35">
        <f t="shared" si="323"/>
        <v>0</v>
      </c>
      <c r="BS533" s="35">
        <f t="shared" si="324"/>
        <v>0</v>
      </c>
      <c r="BT533" s="43">
        <f t="shared" si="325"/>
        <v>0</v>
      </c>
    </row>
    <row r="534" spans="1:72">
      <c r="A534" s="9"/>
      <c r="B534" s="34"/>
      <c r="C534" s="34"/>
      <c r="D534" s="1805"/>
      <c r="E534" s="35">
        <f t="shared" si="297"/>
        <v>0</v>
      </c>
      <c r="F534" s="36"/>
      <c r="G534" s="37">
        <f t="shared" si="301"/>
        <v>0</v>
      </c>
      <c r="H534" s="38">
        <f t="shared" si="302"/>
        <v>0</v>
      </c>
      <c r="I534" s="39"/>
      <c r="J534" s="39"/>
      <c r="K534" s="39"/>
      <c r="L534" s="39"/>
      <c r="M534" s="39"/>
      <c r="N534" s="39"/>
      <c r="O534" s="39"/>
      <c r="P534" s="39"/>
      <c r="Q534" s="39"/>
      <c r="R534" s="39"/>
      <c r="S534" s="39"/>
      <c r="T534" s="39"/>
      <c r="U534" s="39"/>
      <c r="V534" s="39"/>
      <c r="W534" s="39"/>
      <c r="X534" s="39"/>
      <c r="Y534" s="39"/>
      <c r="Z534" s="39"/>
      <c r="AA534" s="39"/>
      <c r="AB534" s="39"/>
      <c r="AC534" s="35">
        <f t="shared" si="303"/>
        <v>0</v>
      </c>
      <c r="AD534" s="40"/>
      <c r="AE534" s="40"/>
      <c r="AF534" s="40"/>
      <c r="AG534" s="40"/>
      <c r="AH534" s="40"/>
      <c r="AI534" s="40"/>
      <c r="AJ534" s="40"/>
      <c r="AK534" s="40"/>
      <c r="AL534" s="40"/>
      <c r="AM534" s="40"/>
      <c r="AN534" s="40"/>
      <c r="AO534" s="40"/>
      <c r="AP534" s="40"/>
      <c r="AQ534" s="40"/>
      <c r="AR534" s="40"/>
      <c r="AS534" s="40"/>
      <c r="AT534" s="41"/>
      <c r="AU534" s="1806"/>
      <c r="AV534" s="1517">
        <f t="shared" si="298"/>
        <v>0</v>
      </c>
      <c r="AW534" s="1517">
        <f t="shared" si="299"/>
        <v>0</v>
      </c>
      <c r="AX534" s="1517">
        <f t="shared" si="300"/>
        <v>0</v>
      </c>
      <c r="AY534" s="42">
        <f t="shared" si="304"/>
        <v>0</v>
      </c>
      <c r="AZ534" s="35">
        <f t="shared" si="305"/>
        <v>0</v>
      </c>
      <c r="BA534" s="35">
        <f t="shared" si="306"/>
        <v>0</v>
      </c>
      <c r="BB534" s="35">
        <f t="shared" si="307"/>
        <v>0</v>
      </c>
      <c r="BC534" s="35">
        <f t="shared" si="308"/>
        <v>0</v>
      </c>
      <c r="BD534" s="35">
        <f t="shared" si="309"/>
        <v>0</v>
      </c>
      <c r="BE534" s="35">
        <f t="shared" si="310"/>
        <v>0</v>
      </c>
      <c r="BF534" s="35">
        <f t="shared" si="311"/>
        <v>0</v>
      </c>
      <c r="BG534" s="35">
        <f t="shared" si="312"/>
        <v>0</v>
      </c>
      <c r="BH534" s="35">
        <f t="shared" si="313"/>
        <v>0</v>
      </c>
      <c r="BI534" s="35">
        <f t="shared" si="314"/>
        <v>0</v>
      </c>
      <c r="BJ534" s="35">
        <f t="shared" si="315"/>
        <v>0</v>
      </c>
      <c r="BK534" s="35">
        <f t="shared" si="316"/>
        <v>0</v>
      </c>
      <c r="BL534" s="35">
        <f t="shared" si="317"/>
        <v>0</v>
      </c>
      <c r="BM534" s="35">
        <f t="shared" si="318"/>
        <v>0</v>
      </c>
      <c r="BN534" s="35">
        <f t="shared" si="319"/>
        <v>0</v>
      </c>
      <c r="BO534" s="35">
        <f t="shared" si="320"/>
        <v>0</v>
      </c>
      <c r="BP534" s="35">
        <f t="shared" si="321"/>
        <v>0</v>
      </c>
      <c r="BQ534" s="35">
        <f t="shared" si="322"/>
        <v>0</v>
      </c>
      <c r="BR534" s="35">
        <f t="shared" si="323"/>
        <v>0</v>
      </c>
      <c r="BS534" s="35">
        <f t="shared" si="324"/>
        <v>0</v>
      </c>
      <c r="BT534" s="43">
        <f t="shared" si="325"/>
        <v>0</v>
      </c>
    </row>
    <row r="535" spans="1:72">
      <c r="A535" s="9"/>
      <c r="B535" s="34"/>
      <c r="C535" s="34"/>
      <c r="D535" s="1805"/>
      <c r="E535" s="35">
        <f t="shared" si="297"/>
        <v>0</v>
      </c>
      <c r="F535" s="36"/>
      <c r="G535" s="37">
        <f t="shared" si="301"/>
        <v>0</v>
      </c>
      <c r="H535" s="38">
        <f t="shared" si="302"/>
        <v>0</v>
      </c>
      <c r="I535" s="39"/>
      <c r="J535" s="39"/>
      <c r="K535" s="39"/>
      <c r="L535" s="39"/>
      <c r="M535" s="39"/>
      <c r="N535" s="39"/>
      <c r="O535" s="39"/>
      <c r="P535" s="39"/>
      <c r="Q535" s="39"/>
      <c r="R535" s="39"/>
      <c r="S535" s="39"/>
      <c r="T535" s="39"/>
      <c r="U535" s="39"/>
      <c r="V535" s="39"/>
      <c r="W535" s="39"/>
      <c r="X535" s="39"/>
      <c r="Y535" s="39"/>
      <c r="Z535" s="39"/>
      <c r="AA535" s="39"/>
      <c r="AB535" s="39"/>
      <c r="AC535" s="35">
        <f t="shared" si="303"/>
        <v>0</v>
      </c>
      <c r="AD535" s="40"/>
      <c r="AE535" s="40"/>
      <c r="AF535" s="40"/>
      <c r="AG535" s="40"/>
      <c r="AH535" s="40"/>
      <c r="AI535" s="40"/>
      <c r="AJ535" s="40"/>
      <c r="AK535" s="40"/>
      <c r="AL535" s="40"/>
      <c r="AM535" s="40"/>
      <c r="AN535" s="40"/>
      <c r="AO535" s="40"/>
      <c r="AP535" s="40"/>
      <c r="AQ535" s="40"/>
      <c r="AR535" s="40"/>
      <c r="AS535" s="40"/>
      <c r="AT535" s="41"/>
      <c r="AU535" s="1806"/>
      <c r="AV535" s="1517">
        <f t="shared" si="298"/>
        <v>0</v>
      </c>
      <c r="AW535" s="1517">
        <f t="shared" si="299"/>
        <v>0</v>
      </c>
      <c r="AX535" s="1517">
        <f t="shared" si="300"/>
        <v>0</v>
      </c>
      <c r="AY535" s="42">
        <f t="shared" si="304"/>
        <v>0</v>
      </c>
      <c r="AZ535" s="35">
        <f t="shared" si="305"/>
        <v>0</v>
      </c>
      <c r="BA535" s="35">
        <f t="shared" si="306"/>
        <v>0</v>
      </c>
      <c r="BB535" s="35">
        <f t="shared" si="307"/>
        <v>0</v>
      </c>
      <c r="BC535" s="35">
        <f t="shared" si="308"/>
        <v>0</v>
      </c>
      <c r="BD535" s="35">
        <f t="shared" si="309"/>
        <v>0</v>
      </c>
      <c r="BE535" s="35">
        <f t="shared" si="310"/>
        <v>0</v>
      </c>
      <c r="BF535" s="35">
        <f t="shared" si="311"/>
        <v>0</v>
      </c>
      <c r="BG535" s="35">
        <f t="shared" si="312"/>
        <v>0</v>
      </c>
      <c r="BH535" s="35">
        <f t="shared" si="313"/>
        <v>0</v>
      </c>
      <c r="BI535" s="35">
        <f t="shared" si="314"/>
        <v>0</v>
      </c>
      <c r="BJ535" s="35">
        <f t="shared" si="315"/>
        <v>0</v>
      </c>
      <c r="BK535" s="35">
        <f t="shared" si="316"/>
        <v>0</v>
      </c>
      <c r="BL535" s="35">
        <f t="shared" si="317"/>
        <v>0</v>
      </c>
      <c r="BM535" s="35">
        <f t="shared" si="318"/>
        <v>0</v>
      </c>
      <c r="BN535" s="35">
        <f t="shared" si="319"/>
        <v>0</v>
      </c>
      <c r="BO535" s="35">
        <f t="shared" si="320"/>
        <v>0</v>
      </c>
      <c r="BP535" s="35">
        <f t="shared" si="321"/>
        <v>0</v>
      </c>
      <c r="BQ535" s="35">
        <f t="shared" si="322"/>
        <v>0</v>
      </c>
      <c r="BR535" s="35">
        <f t="shared" si="323"/>
        <v>0</v>
      </c>
      <c r="BS535" s="35">
        <f t="shared" si="324"/>
        <v>0</v>
      </c>
      <c r="BT535" s="43">
        <f t="shared" si="325"/>
        <v>0</v>
      </c>
    </row>
    <row r="536" spans="1:72">
      <c r="A536" s="9"/>
      <c r="B536" s="34"/>
      <c r="C536" s="34"/>
      <c r="D536" s="1805"/>
      <c r="E536" s="35">
        <f t="shared" si="297"/>
        <v>0</v>
      </c>
      <c r="F536" s="36"/>
      <c r="G536" s="37">
        <f t="shared" si="301"/>
        <v>0</v>
      </c>
      <c r="H536" s="38">
        <f t="shared" si="302"/>
        <v>0</v>
      </c>
      <c r="I536" s="39"/>
      <c r="J536" s="39"/>
      <c r="K536" s="39"/>
      <c r="L536" s="39"/>
      <c r="M536" s="39"/>
      <c r="N536" s="39"/>
      <c r="O536" s="39"/>
      <c r="P536" s="39"/>
      <c r="Q536" s="39"/>
      <c r="R536" s="39"/>
      <c r="S536" s="39"/>
      <c r="T536" s="39"/>
      <c r="U536" s="39"/>
      <c r="V536" s="39"/>
      <c r="W536" s="39"/>
      <c r="X536" s="39"/>
      <c r="Y536" s="39"/>
      <c r="Z536" s="39"/>
      <c r="AA536" s="39"/>
      <c r="AB536" s="39"/>
      <c r="AC536" s="35">
        <f t="shared" si="303"/>
        <v>0</v>
      </c>
      <c r="AD536" s="40"/>
      <c r="AE536" s="40"/>
      <c r="AF536" s="40"/>
      <c r="AG536" s="40"/>
      <c r="AH536" s="40"/>
      <c r="AI536" s="40"/>
      <c r="AJ536" s="40"/>
      <c r="AK536" s="40"/>
      <c r="AL536" s="40"/>
      <c r="AM536" s="40"/>
      <c r="AN536" s="40"/>
      <c r="AO536" s="40"/>
      <c r="AP536" s="40"/>
      <c r="AQ536" s="40"/>
      <c r="AR536" s="40"/>
      <c r="AS536" s="40"/>
      <c r="AT536" s="41"/>
      <c r="AU536" s="1806"/>
      <c r="AV536" s="1517">
        <f t="shared" si="298"/>
        <v>0</v>
      </c>
      <c r="AW536" s="1517">
        <f t="shared" si="299"/>
        <v>0</v>
      </c>
      <c r="AX536" s="1517">
        <f t="shared" si="300"/>
        <v>0</v>
      </c>
      <c r="AY536" s="42">
        <f t="shared" si="304"/>
        <v>0</v>
      </c>
      <c r="AZ536" s="35">
        <f t="shared" si="305"/>
        <v>0</v>
      </c>
      <c r="BA536" s="35">
        <f t="shared" si="306"/>
        <v>0</v>
      </c>
      <c r="BB536" s="35">
        <f t="shared" si="307"/>
        <v>0</v>
      </c>
      <c r="BC536" s="35">
        <f t="shared" si="308"/>
        <v>0</v>
      </c>
      <c r="BD536" s="35">
        <f t="shared" si="309"/>
        <v>0</v>
      </c>
      <c r="BE536" s="35">
        <f t="shared" si="310"/>
        <v>0</v>
      </c>
      <c r="BF536" s="35">
        <f t="shared" si="311"/>
        <v>0</v>
      </c>
      <c r="BG536" s="35">
        <f t="shared" si="312"/>
        <v>0</v>
      </c>
      <c r="BH536" s="35">
        <f t="shared" si="313"/>
        <v>0</v>
      </c>
      <c r="BI536" s="35">
        <f t="shared" si="314"/>
        <v>0</v>
      </c>
      <c r="BJ536" s="35">
        <f t="shared" si="315"/>
        <v>0</v>
      </c>
      <c r="BK536" s="35">
        <f t="shared" si="316"/>
        <v>0</v>
      </c>
      <c r="BL536" s="35">
        <f t="shared" si="317"/>
        <v>0</v>
      </c>
      <c r="BM536" s="35">
        <f t="shared" si="318"/>
        <v>0</v>
      </c>
      <c r="BN536" s="35">
        <f t="shared" si="319"/>
        <v>0</v>
      </c>
      <c r="BO536" s="35">
        <f t="shared" si="320"/>
        <v>0</v>
      </c>
      <c r="BP536" s="35">
        <f t="shared" si="321"/>
        <v>0</v>
      </c>
      <c r="BQ536" s="35">
        <f t="shared" si="322"/>
        <v>0</v>
      </c>
      <c r="BR536" s="35">
        <f t="shared" si="323"/>
        <v>0</v>
      </c>
      <c r="BS536" s="35">
        <f t="shared" si="324"/>
        <v>0</v>
      </c>
      <c r="BT536" s="43">
        <f t="shared" si="325"/>
        <v>0</v>
      </c>
    </row>
    <row r="537" spans="1:72">
      <c r="A537" s="9"/>
      <c r="B537" s="34"/>
      <c r="C537" s="34"/>
      <c r="D537" s="1805"/>
      <c r="E537" s="35">
        <f t="shared" si="297"/>
        <v>0</v>
      </c>
      <c r="F537" s="36"/>
      <c r="G537" s="37">
        <f t="shared" si="301"/>
        <v>0</v>
      </c>
      <c r="H537" s="38">
        <f t="shared" si="302"/>
        <v>0</v>
      </c>
      <c r="I537" s="39"/>
      <c r="J537" s="39"/>
      <c r="K537" s="39"/>
      <c r="L537" s="39"/>
      <c r="M537" s="39"/>
      <c r="N537" s="39"/>
      <c r="O537" s="39"/>
      <c r="P537" s="39"/>
      <c r="Q537" s="39"/>
      <c r="R537" s="39"/>
      <c r="S537" s="39"/>
      <c r="T537" s="39"/>
      <c r="U537" s="39"/>
      <c r="V537" s="39"/>
      <c r="W537" s="39"/>
      <c r="X537" s="39"/>
      <c r="Y537" s="39"/>
      <c r="Z537" s="39"/>
      <c r="AA537" s="39"/>
      <c r="AB537" s="39"/>
      <c r="AC537" s="35">
        <f t="shared" si="303"/>
        <v>0</v>
      </c>
      <c r="AD537" s="40"/>
      <c r="AE537" s="40"/>
      <c r="AF537" s="40"/>
      <c r="AG537" s="40"/>
      <c r="AH537" s="40"/>
      <c r="AI537" s="40"/>
      <c r="AJ537" s="40"/>
      <c r="AK537" s="40"/>
      <c r="AL537" s="40"/>
      <c r="AM537" s="40"/>
      <c r="AN537" s="40"/>
      <c r="AO537" s="40"/>
      <c r="AP537" s="40"/>
      <c r="AQ537" s="40"/>
      <c r="AR537" s="40"/>
      <c r="AS537" s="40"/>
      <c r="AT537" s="41"/>
      <c r="AU537" s="1806"/>
      <c r="AV537" s="1517">
        <f t="shared" si="298"/>
        <v>0</v>
      </c>
      <c r="AW537" s="1517">
        <f t="shared" si="299"/>
        <v>0</v>
      </c>
      <c r="AX537" s="1517">
        <f t="shared" si="300"/>
        <v>0</v>
      </c>
      <c r="AY537" s="42">
        <f t="shared" si="304"/>
        <v>0</v>
      </c>
      <c r="AZ537" s="35">
        <f t="shared" si="305"/>
        <v>0</v>
      </c>
      <c r="BA537" s="35">
        <f t="shared" si="306"/>
        <v>0</v>
      </c>
      <c r="BB537" s="35">
        <f t="shared" si="307"/>
        <v>0</v>
      </c>
      <c r="BC537" s="35">
        <f t="shared" si="308"/>
        <v>0</v>
      </c>
      <c r="BD537" s="35">
        <f t="shared" si="309"/>
        <v>0</v>
      </c>
      <c r="BE537" s="35">
        <f t="shared" si="310"/>
        <v>0</v>
      </c>
      <c r="BF537" s="35">
        <f t="shared" si="311"/>
        <v>0</v>
      </c>
      <c r="BG537" s="35">
        <f t="shared" si="312"/>
        <v>0</v>
      </c>
      <c r="BH537" s="35">
        <f t="shared" si="313"/>
        <v>0</v>
      </c>
      <c r="BI537" s="35">
        <f t="shared" si="314"/>
        <v>0</v>
      </c>
      <c r="BJ537" s="35">
        <f t="shared" si="315"/>
        <v>0</v>
      </c>
      <c r="BK537" s="35">
        <f t="shared" si="316"/>
        <v>0</v>
      </c>
      <c r="BL537" s="35">
        <f t="shared" si="317"/>
        <v>0</v>
      </c>
      <c r="BM537" s="35">
        <f t="shared" si="318"/>
        <v>0</v>
      </c>
      <c r="BN537" s="35">
        <f t="shared" si="319"/>
        <v>0</v>
      </c>
      <c r="BO537" s="35">
        <f t="shared" si="320"/>
        <v>0</v>
      </c>
      <c r="BP537" s="35">
        <f t="shared" si="321"/>
        <v>0</v>
      </c>
      <c r="BQ537" s="35">
        <f t="shared" si="322"/>
        <v>0</v>
      </c>
      <c r="BR537" s="35">
        <f t="shared" si="323"/>
        <v>0</v>
      </c>
      <c r="BS537" s="35">
        <f t="shared" si="324"/>
        <v>0</v>
      </c>
      <c r="BT537" s="43">
        <f t="shared" si="325"/>
        <v>0</v>
      </c>
    </row>
    <row r="538" spans="1:72">
      <c r="A538" s="9"/>
      <c r="B538" s="34"/>
      <c r="C538" s="34"/>
      <c r="D538" s="1805"/>
      <c r="E538" s="35">
        <f t="shared" si="297"/>
        <v>0</v>
      </c>
      <c r="F538" s="36"/>
      <c r="G538" s="37">
        <f t="shared" si="301"/>
        <v>0</v>
      </c>
      <c r="H538" s="38">
        <f t="shared" si="302"/>
        <v>0</v>
      </c>
      <c r="I538" s="39"/>
      <c r="J538" s="39"/>
      <c r="K538" s="39"/>
      <c r="L538" s="39"/>
      <c r="M538" s="39"/>
      <c r="N538" s="39"/>
      <c r="O538" s="39"/>
      <c r="P538" s="39"/>
      <c r="Q538" s="39"/>
      <c r="R538" s="39"/>
      <c r="S538" s="39"/>
      <c r="T538" s="39"/>
      <c r="U538" s="39"/>
      <c r="V538" s="39"/>
      <c r="W538" s="39"/>
      <c r="X538" s="39"/>
      <c r="Y538" s="39"/>
      <c r="Z538" s="39"/>
      <c r="AA538" s="39"/>
      <c r="AB538" s="39"/>
      <c r="AC538" s="35">
        <f t="shared" si="303"/>
        <v>0</v>
      </c>
      <c r="AD538" s="40"/>
      <c r="AE538" s="40"/>
      <c r="AF538" s="40"/>
      <c r="AG538" s="40"/>
      <c r="AH538" s="40"/>
      <c r="AI538" s="40"/>
      <c r="AJ538" s="40"/>
      <c r="AK538" s="40"/>
      <c r="AL538" s="40"/>
      <c r="AM538" s="40"/>
      <c r="AN538" s="40"/>
      <c r="AO538" s="40"/>
      <c r="AP538" s="40"/>
      <c r="AQ538" s="40"/>
      <c r="AR538" s="40"/>
      <c r="AS538" s="40"/>
      <c r="AT538" s="41"/>
      <c r="AU538" s="1806"/>
      <c r="AV538" s="1517">
        <f t="shared" si="298"/>
        <v>0</v>
      </c>
      <c r="AW538" s="1517">
        <f t="shared" si="299"/>
        <v>0</v>
      </c>
      <c r="AX538" s="1517">
        <f t="shared" si="300"/>
        <v>0</v>
      </c>
      <c r="AY538" s="42">
        <f t="shared" si="304"/>
        <v>0</v>
      </c>
      <c r="AZ538" s="35">
        <f t="shared" si="305"/>
        <v>0</v>
      </c>
      <c r="BA538" s="35">
        <f t="shared" si="306"/>
        <v>0</v>
      </c>
      <c r="BB538" s="35">
        <f t="shared" si="307"/>
        <v>0</v>
      </c>
      <c r="BC538" s="35">
        <f t="shared" si="308"/>
        <v>0</v>
      </c>
      <c r="BD538" s="35">
        <f t="shared" si="309"/>
        <v>0</v>
      </c>
      <c r="BE538" s="35">
        <f t="shared" si="310"/>
        <v>0</v>
      </c>
      <c r="BF538" s="35">
        <f t="shared" si="311"/>
        <v>0</v>
      </c>
      <c r="BG538" s="35">
        <f t="shared" si="312"/>
        <v>0</v>
      </c>
      <c r="BH538" s="35">
        <f t="shared" si="313"/>
        <v>0</v>
      </c>
      <c r="BI538" s="35">
        <f t="shared" si="314"/>
        <v>0</v>
      </c>
      <c r="BJ538" s="35">
        <f t="shared" si="315"/>
        <v>0</v>
      </c>
      <c r="BK538" s="35">
        <f t="shared" si="316"/>
        <v>0</v>
      </c>
      <c r="BL538" s="35">
        <f t="shared" si="317"/>
        <v>0</v>
      </c>
      <c r="BM538" s="35">
        <f t="shared" si="318"/>
        <v>0</v>
      </c>
      <c r="BN538" s="35">
        <f t="shared" si="319"/>
        <v>0</v>
      </c>
      <c r="BO538" s="35">
        <f t="shared" si="320"/>
        <v>0</v>
      </c>
      <c r="BP538" s="35">
        <f t="shared" si="321"/>
        <v>0</v>
      </c>
      <c r="BQ538" s="35">
        <f t="shared" si="322"/>
        <v>0</v>
      </c>
      <c r="BR538" s="35">
        <f t="shared" si="323"/>
        <v>0</v>
      </c>
      <c r="BS538" s="35">
        <f t="shared" si="324"/>
        <v>0</v>
      </c>
      <c r="BT538" s="43">
        <f t="shared" si="325"/>
        <v>0</v>
      </c>
    </row>
    <row r="539" spans="1:72">
      <c r="A539" s="9"/>
      <c r="B539" s="34"/>
      <c r="C539" s="34"/>
      <c r="D539" s="1805"/>
      <c r="E539" s="35">
        <f t="shared" si="297"/>
        <v>0</v>
      </c>
      <c r="F539" s="36"/>
      <c r="G539" s="37">
        <f t="shared" si="301"/>
        <v>0</v>
      </c>
      <c r="H539" s="38">
        <f t="shared" si="302"/>
        <v>0</v>
      </c>
      <c r="I539" s="39"/>
      <c r="J539" s="39"/>
      <c r="K539" s="39"/>
      <c r="L539" s="39"/>
      <c r="M539" s="39"/>
      <c r="N539" s="39"/>
      <c r="O539" s="39"/>
      <c r="P539" s="39"/>
      <c r="Q539" s="39"/>
      <c r="R539" s="39"/>
      <c r="S539" s="39"/>
      <c r="T539" s="39"/>
      <c r="U539" s="39"/>
      <c r="V539" s="39"/>
      <c r="W539" s="39"/>
      <c r="X539" s="39"/>
      <c r="Y539" s="39"/>
      <c r="Z539" s="39"/>
      <c r="AA539" s="39"/>
      <c r="AB539" s="39"/>
      <c r="AC539" s="35">
        <f t="shared" si="303"/>
        <v>0</v>
      </c>
      <c r="AD539" s="40"/>
      <c r="AE539" s="40"/>
      <c r="AF539" s="40"/>
      <c r="AG539" s="40"/>
      <c r="AH539" s="40"/>
      <c r="AI539" s="40"/>
      <c r="AJ539" s="40"/>
      <c r="AK539" s="40"/>
      <c r="AL539" s="40"/>
      <c r="AM539" s="40"/>
      <c r="AN539" s="40"/>
      <c r="AO539" s="40"/>
      <c r="AP539" s="40"/>
      <c r="AQ539" s="40"/>
      <c r="AR539" s="40"/>
      <c r="AS539" s="40"/>
      <c r="AT539" s="41"/>
      <c r="AU539" s="1806"/>
      <c r="AV539" s="1517">
        <f t="shared" si="298"/>
        <v>0</v>
      </c>
      <c r="AW539" s="1517">
        <f t="shared" si="299"/>
        <v>0</v>
      </c>
      <c r="AX539" s="1517">
        <f t="shared" si="300"/>
        <v>0</v>
      </c>
      <c r="AY539" s="42">
        <f t="shared" si="304"/>
        <v>0</v>
      </c>
      <c r="AZ539" s="35">
        <f t="shared" si="305"/>
        <v>0</v>
      </c>
      <c r="BA539" s="35">
        <f t="shared" si="306"/>
        <v>0</v>
      </c>
      <c r="BB539" s="35">
        <f t="shared" si="307"/>
        <v>0</v>
      </c>
      <c r="BC539" s="35">
        <f t="shared" si="308"/>
        <v>0</v>
      </c>
      <c r="BD539" s="35">
        <f t="shared" si="309"/>
        <v>0</v>
      </c>
      <c r="BE539" s="35">
        <f t="shared" si="310"/>
        <v>0</v>
      </c>
      <c r="BF539" s="35">
        <f t="shared" si="311"/>
        <v>0</v>
      </c>
      <c r="BG539" s="35">
        <f t="shared" si="312"/>
        <v>0</v>
      </c>
      <c r="BH539" s="35">
        <f t="shared" si="313"/>
        <v>0</v>
      </c>
      <c r="BI539" s="35">
        <f t="shared" si="314"/>
        <v>0</v>
      </c>
      <c r="BJ539" s="35">
        <f t="shared" si="315"/>
        <v>0</v>
      </c>
      <c r="BK539" s="35">
        <f t="shared" si="316"/>
        <v>0</v>
      </c>
      <c r="BL539" s="35">
        <f t="shared" si="317"/>
        <v>0</v>
      </c>
      <c r="BM539" s="35">
        <f t="shared" si="318"/>
        <v>0</v>
      </c>
      <c r="BN539" s="35">
        <f t="shared" si="319"/>
        <v>0</v>
      </c>
      <c r="BO539" s="35">
        <f t="shared" si="320"/>
        <v>0</v>
      </c>
      <c r="BP539" s="35">
        <f t="shared" si="321"/>
        <v>0</v>
      </c>
      <c r="BQ539" s="35">
        <f t="shared" si="322"/>
        <v>0</v>
      </c>
      <c r="BR539" s="35">
        <f t="shared" si="323"/>
        <v>0</v>
      </c>
      <c r="BS539" s="35">
        <f t="shared" si="324"/>
        <v>0</v>
      </c>
      <c r="BT539" s="43">
        <f t="shared" si="325"/>
        <v>0</v>
      </c>
    </row>
    <row r="540" spans="1:72">
      <c r="A540" s="9"/>
      <c r="B540" s="34"/>
      <c r="C540" s="34"/>
      <c r="D540" s="1805"/>
      <c r="E540" s="35">
        <f t="shared" si="297"/>
        <v>0</v>
      </c>
      <c r="F540" s="36"/>
      <c r="G540" s="37">
        <f t="shared" si="301"/>
        <v>0</v>
      </c>
      <c r="H540" s="38">
        <f t="shared" si="302"/>
        <v>0</v>
      </c>
      <c r="I540" s="39"/>
      <c r="J540" s="39"/>
      <c r="K540" s="39"/>
      <c r="L540" s="39"/>
      <c r="M540" s="39"/>
      <c r="N540" s="39"/>
      <c r="O540" s="39"/>
      <c r="P540" s="39"/>
      <c r="Q540" s="39"/>
      <c r="R540" s="39"/>
      <c r="S540" s="39"/>
      <c r="T540" s="39"/>
      <c r="U540" s="39"/>
      <c r="V540" s="39"/>
      <c r="W540" s="39"/>
      <c r="X540" s="39"/>
      <c r="Y540" s="39"/>
      <c r="Z540" s="39"/>
      <c r="AA540" s="39"/>
      <c r="AB540" s="39"/>
      <c r="AC540" s="35">
        <f t="shared" si="303"/>
        <v>0</v>
      </c>
      <c r="AD540" s="40"/>
      <c r="AE540" s="40"/>
      <c r="AF540" s="40"/>
      <c r="AG540" s="40"/>
      <c r="AH540" s="40"/>
      <c r="AI540" s="40"/>
      <c r="AJ540" s="40"/>
      <c r="AK540" s="40"/>
      <c r="AL540" s="40"/>
      <c r="AM540" s="40"/>
      <c r="AN540" s="40"/>
      <c r="AO540" s="40"/>
      <c r="AP540" s="40"/>
      <c r="AQ540" s="40"/>
      <c r="AR540" s="40"/>
      <c r="AS540" s="40"/>
      <c r="AT540" s="41"/>
      <c r="AU540" s="1806"/>
      <c r="AV540" s="1517">
        <f t="shared" si="298"/>
        <v>0</v>
      </c>
      <c r="AW540" s="1517">
        <f t="shared" si="299"/>
        <v>0</v>
      </c>
      <c r="AX540" s="1517">
        <f t="shared" si="300"/>
        <v>0</v>
      </c>
      <c r="AY540" s="42">
        <f t="shared" si="304"/>
        <v>0</v>
      </c>
      <c r="AZ540" s="35">
        <f t="shared" si="305"/>
        <v>0</v>
      </c>
      <c r="BA540" s="35">
        <f t="shared" si="306"/>
        <v>0</v>
      </c>
      <c r="BB540" s="35">
        <f t="shared" si="307"/>
        <v>0</v>
      </c>
      <c r="BC540" s="35">
        <f t="shared" si="308"/>
        <v>0</v>
      </c>
      <c r="BD540" s="35">
        <f t="shared" si="309"/>
        <v>0</v>
      </c>
      <c r="BE540" s="35">
        <f t="shared" si="310"/>
        <v>0</v>
      </c>
      <c r="BF540" s="35">
        <f t="shared" si="311"/>
        <v>0</v>
      </c>
      <c r="BG540" s="35">
        <f t="shared" si="312"/>
        <v>0</v>
      </c>
      <c r="BH540" s="35">
        <f t="shared" si="313"/>
        <v>0</v>
      </c>
      <c r="BI540" s="35">
        <f t="shared" si="314"/>
        <v>0</v>
      </c>
      <c r="BJ540" s="35">
        <f t="shared" si="315"/>
        <v>0</v>
      </c>
      <c r="BK540" s="35">
        <f t="shared" si="316"/>
        <v>0</v>
      </c>
      <c r="BL540" s="35">
        <f t="shared" si="317"/>
        <v>0</v>
      </c>
      <c r="BM540" s="35">
        <f t="shared" si="318"/>
        <v>0</v>
      </c>
      <c r="BN540" s="35">
        <f t="shared" si="319"/>
        <v>0</v>
      </c>
      <c r="BO540" s="35">
        <f t="shared" si="320"/>
        <v>0</v>
      </c>
      <c r="BP540" s="35">
        <f t="shared" si="321"/>
        <v>0</v>
      </c>
      <c r="BQ540" s="35">
        <f t="shared" si="322"/>
        <v>0</v>
      </c>
      <c r="BR540" s="35">
        <f t="shared" si="323"/>
        <v>0</v>
      </c>
      <c r="BS540" s="35">
        <f t="shared" si="324"/>
        <v>0</v>
      </c>
      <c r="BT540" s="43">
        <f t="shared" si="325"/>
        <v>0</v>
      </c>
    </row>
    <row r="541" spans="1:72">
      <c r="A541" s="9"/>
      <c r="B541" s="34"/>
      <c r="C541" s="34"/>
      <c r="D541" s="1805"/>
      <c r="E541" s="35">
        <f t="shared" si="297"/>
        <v>0</v>
      </c>
      <c r="F541" s="36"/>
      <c r="G541" s="37">
        <f t="shared" si="301"/>
        <v>0</v>
      </c>
      <c r="H541" s="38">
        <f t="shared" si="302"/>
        <v>0</v>
      </c>
      <c r="I541" s="39"/>
      <c r="J541" s="39"/>
      <c r="K541" s="39"/>
      <c r="L541" s="39"/>
      <c r="M541" s="39"/>
      <c r="N541" s="39"/>
      <c r="O541" s="39"/>
      <c r="P541" s="39"/>
      <c r="Q541" s="39"/>
      <c r="R541" s="39"/>
      <c r="S541" s="39"/>
      <c r="T541" s="39"/>
      <c r="U541" s="39"/>
      <c r="V541" s="39"/>
      <c r="W541" s="39"/>
      <c r="X541" s="39"/>
      <c r="Y541" s="39"/>
      <c r="Z541" s="39"/>
      <c r="AA541" s="39"/>
      <c r="AB541" s="39"/>
      <c r="AC541" s="35">
        <f t="shared" si="303"/>
        <v>0</v>
      </c>
      <c r="AD541" s="40"/>
      <c r="AE541" s="40"/>
      <c r="AF541" s="40"/>
      <c r="AG541" s="40"/>
      <c r="AH541" s="40"/>
      <c r="AI541" s="40"/>
      <c r="AJ541" s="40"/>
      <c r="AK541" s="40"/>
      <c r="AL541" s="40"/>
      <c r="AM541" s="40"/>
      <c r="AN541" s="40"/>
      <c r="AO541" s="40"/>
      <c r="AP541" s="40"/>
      <c r="AQ541" s="40"/>
      <c r="AR541" s="40"/>
      <c r="AS541" s="40"/>
      <c r="AT541" s="41"/>
      <c r="AU541" s="1806"/>
      <c r="AV541" s="1517">
        <f t="shared" si="298"/>
        <v>0</v>
      </c>
      <c r="AW541" s="1517">
        <f t="shared" si="299"/>
        <v>0</v>
      </c>
      <c r="AX541" s="1517">
        <f t="shared" si="300"/>
        <v>0</v>
      </c>
      <c r="AY541" s="42">
        <f t="shared" si="304"/>
        <v>0</v>
      </c>
      <c r="AZ541" s="35">
        <f t="shared" si="305"/>
        <v>0</v>
      </c>
      <c r="BA541" s="35">
        <f t="shared" si="306"/>
        <v>0</v>
      </c>
      <c r="BB541" s="35">
        <f t="shared" si="307"/>
        <v>0</v>
      </c>
      <c r="BC541" s="35">
        <f t="shared" si="308"/>
        <v>0</v>
      </c>
      <c r="BD541" s="35">
        <f t="shared" si="309"/>
        <v>0</v>
      </c>
      <c r="BE541" s="35">
        <f t="shared" si="310"/>
        <v>0</v>
      </c>
      <c r="BF541" s="35">
        <f t="shared" si="311"/>
        <v>0</v>
      </c>
      <c r="BG541" s="35">
        <f t="shared" si="312"/>
        <v>0</v>
      </c>
      <c r="BH541" s="35">
        <f t="shared" si="313"/>
        <v>0</v>
      </c>
      <c r="BI541" s="35">
        <f t="shared" si="314"/>
        <v>0</v>
      </c>
      <c r="BJ541" s="35">
        <f t="shared" si="315"/>
        <v>0</v>
      </c>
      <c r="BK541" s="35">
        <f t="shared" si="316"/>
        <v>0</v>
      </c>
      <c r="BL541" s="35">
        <f t="shared" si="317"/>
        <v>0</v>
      </c>
      <c r="BM541" s="35">
        <f t="shared" si="318"/>
        <v>0</v>
      </c>
      <c r="BN541" s="35">
        <f t="shared" si="319"/>
        <v>0</v>
      </c>
      <c r="BO541" s="35">
        <f t="shared" si="320"/>
        <v>0</v>
      </c>
      <c r="BP541" s="35">
        <f t="shared" si="321"/>
        <v>0</v>
      </c>
      <c r="BQ541" s="35">
        <f t="shared" si="322"/>
        <v>0</v>
      </c>
      <c r="BR541" s="35">
        <f t="shared" si="323"/>
        <v>0</v>
      </c>
      <c r="BS541" s="35">
        <f t="shared" si="324"/>
        <v>0</v>
      </c>
      <c r="BT541" s="43">
        <f t="shared" si="325"/>
        <v>0</v>
      </c>
    </row>
    <row r="542" spans="1:72">
      <c r="A542" s="9"/>
      <c r="B542" s="34"/>
      <c r="C542" s="34"/>
      <c r="D542" s="1805"/>
      <c r="E542" s="35">
        <f t="shared" si="297"/>
        <v>0</v>
      </c>
      <c r="F542" s="36"/>
      <c r="G542" s="37">
        <f t="shared" si="301"/>
        <v>0</v>
      </c>
      <c r="H542" s="38">
        <f t="shared" si="302"/>
        <v>0</v>
      </c>
      <c r="I542" s="39"/>
      <c r="J542" s="39"/>
      <c r="K542" s="39"/>
      <c r="L542" s="39"/>
      <c r="M542" s="39"/>
      <c r="N542" s="39"/>
      <c r="O542" s="39"/>
      <c r="P542" s="39"/>
      <c r="Q542" s="39"/>
      <c r="R542" s="39"/>
      <c r="S542" s="39"/>
      <c r="T542" s="39"/>
      <c r="U542" s="39"/>
      <c r="V542" s="39"/>
      <c r="W542" s="39"/>
      <c r="X542" s="39"/>
      <c r="Y542" s="39"/>
      <c r="Z542" s="39"/>
      <c r="AA542" s="39"/>
      <c r="AB542" s="39"/>
      <c r="AC542" s="35">
        <f t="shared" si="303"/>
        <v>0</v>
      </c>
      <c r="AD542" s="40"/>
      <c r="AE542" s="40"/>
      <c r="AF542" s="40"/>
      <c r="AG542" s="40"/>
      <c r="AH542" s="40"/>
      <c r="AI542" s="40"/>
      <c r="AJ542" s="40"/>
      <c r="AK542" s="40"/>
      <c r="AL542" s="40"/>
      <c r="AM542" s="40"/>
      <c r="AN542" s="40"/>
      <c r="AO542" s="40"/>
      <c r="AP542" s="40"/>
      <c r="AQ542" s="40"/>
      <c r="AR542" s="40"/>
      <c r="AS542" s="40"/>
      <c r="AT542" s="41"/>
      <c r="AU542" s="1806"/>
      <c r="AV542" s="1517">
        <f t="shared" si="298"/>
        <v>0</v>
      </c>
      <c r="AW542" s="1517">
        <f t="shared" si="299"/>
        <v>0</v>
      </c>
      <c r="AX542" s="1517">
        <f t="shared" si="300"/>
        <v>0</v>
      </c>
      <c r="AY542" s="42">
        <f t="shared" si="304"/>
        <v>0</v>
      </c>
      <c r="AZ542" s="35">
        <f t="shared" si="305"/>
        <v>0</v>
      </c>
      <c r="BA542" s="35">
        <f t="shared" si="306"/>
        <v>0</v>
      </c>
      <c r="BB542" s="35">
        <f t="shared" si="307"/>
        <v>0</v>
      </c>
      <c r="BC542" s="35">
        <f t="shared" si="308"/>
        <v>0</v>
      </c>
      <c r="BD542" s="35">
        <f t="shared" si="309"/>
        <v>0</v>
      </c>
      <c r="BE542" s="35">
        <f t="shared" si="310"/>
        <v>0</v>
      </c>
      <c r="BF542" s="35">
        <f t="shared" si="311"/>
        <v>0</v>
      </c>
      <c r="BG542" s="35">
        <f t="shared" si="312"/>
        <v>0</v>
      </c>
      <c r="BH542" s="35">
        <f t="shared" si="313"/>
        <v>0</v>
      </c>
      <c r="BI542" s="35">
        <f t="shared" si="314"/>
        <v>0</v>
      </c>
      <c r="BJ542" s="35">
        <f t="shared" si="315"/>
        <v>0</v>
      </c>
      <c r="BK542" s="35">
        <f t="shared" si="316"/>
        <v>0</v>
      </c>
      <c r="BL542" s="35">
        <f t="shared" si="317"/>
        <v>0</v>
      </c>
      <c r="BM542" s="35">
        <f t="shared" si="318"/>
        <v>0</v>
      </c>
      <c r="BN542" s="35">
        <f t="shared" si="319"/>
        <v>0</v>
      </c>
      <c r="BO542" s="35">
        <f t="shared" si="320"/>
        <v>0</v>
      </c>
      <c r="BP542" s="35">
        <f t="shared" si="321"/>
        <v>0</v>
      </c>
      <c r="BQ542" s="35">
        <f t="shared" si="322"/>
        <v>0</v>
      </c>
      <c r="BR542" s="35">
        <f t="shared" si="323"/>
        <v>0</v>
      </c>
      <c r="BS542" s="35">
        <f t="shared" si="324"/>
        <v>0</v>
      </c>
      <c r="BT542" s="43">
        <f t="shared" si="325"/>
        <v>0</v>
      </c>
    </row>
    <row r="543" spans="1:72">
      <c r="A543" s="9"/>
      <c r="B543" s="34"/>
      <c r="C543" s="34"/>
      <c r="D543" s="1805"/>
      <c r="E543" s="35">
        <f t="shared" si="297"/>
        <v>0</v>
      </c>
      <c r="F543" s="36"/>
      <c r="G543" s="37">
        <f t="shared" si="301"/>
        <v>0</v>
      </c>
      <c r="H543" s="38">
        <f t="shared" si="302"/>
        <v>0</v>
      </c>
      <c r="I543" s="39"/>
      <c r="J543" s="39"/>
      <c r="K543" s="39"/>
      <c r="L543" s="39"/>
      <c r="M543" s="39"/>
      <c r="N543" s="39"/>
      <c r="O543" s="39"/>
      <c r="P543" s="39"/>
      <c r="Q543" s="39"/>
      <c r="R543" s="39"/>
      <c r="S543" s="39"/>
      <c r="T543" s="39"/>
      <c r="U543" s="39"/>
      <c r="V543" s="39"/>
      <c r="W543" s="39"/>
      <c r="X543" s="39"/>
      <c r="Y543" s="39"/>
      <c r="Z543" s="39"/>
      <c r="AA543" s="39"/>
      <c r="AB543" s="39"/>
      <c r="AC543" s="35">
        <f t="shared" si="303"/>
        <v>0</v>
      </c>
      <c r="AD543" s="40"/>
      <c r="AE543" s="40"/>
      <c r="AF543" s="40"/>
      <c r="AG543" s="40"/>
      <c r="AH543" s="40"/>
      <c r="AI543" s="40"/>
      <c r="AJ543" s="40"/>
      <c r="AK543" s="40"/>
      <c r="AL543" s="40"/>
      <c r="AM543" s="40"/>
      <c r="AN543" s="40"/>
      <c r="AO543" s="40"/>
      <c r="AP543" s="40"/>
      <c r="AQ543" s="40"/>
      <c r="AR543" s="40"/>
      <c r="AS543" s="40"/>
      <c r="AT543" s="41"/>
      <c r="AU543" s="1806"/>
      <c r="AV543" s="1517">
        <f t="shared" si="298"/>
        <v>0</v>
      </c>
      <c r="AW543" s="1517">
        <f t="shared" si="299"/>
        <v>0</v>
      </c>
      <c r="AX543" s="1517">
        <f t="shared" si="300"/>
        <v>0</v>
      </c>
      <c r="AY543" s="42">
        <f t="shared" si="304"/>
        <v>0</v>
      </c>
      <c r="AZ543" s="35">
        <f t="shared" si="305"/>
        <v>0</v>
      </c>
      <c r="BA543" s="35">
        <f t="shared" si="306"/>
        <v>0</v>
      </c>
      <c r="BB543" s="35">
        <f t="shared" si="307"/>
        <v>0</v>
      </c>
      <c r="BC543" s="35">
        <f t="shared" si="308"/>
        <v>0</v>
      </c>
      <c r="BD543" s="35">
        <f t="shared" si="309"/>
        <v>0</v>
      </c>
      <c r="BE543" s="35">
        <f t="shared" si="310"/>
        <v>0</v>
      </c>
      <c r="BF543" s="35">
        <f t="shared" si="311"/>
        <v>0</v>
      </c>
      <c r="BG543" s="35">
        <f t="shared" si="312"/>
        <v>0</v>
      </c>
      <c r="BH543" s="35">
        <f t="shared" si="313"/>
        <v>0</v>
      </c>
      <c r="BI543" s="35">
        <f t="shared" si="314"/>
        <v>0</v>
      </c>
      <c r="BJ543" s="35">
        <f t="shared" si="315"/>
        <v>0</v>
      </c>
      <c r="BK543" s="35">
        <f t="shared" si="316"/>
        <v>0</v>
      </c>
      <c r="BL543" s="35">
        <f t="shared" si="317"/>
        <v>0</v>
      </c>
      <c r="BM543" s="35">
        <f t="shared" si="318"/>
        <v>0</v>
      </c>
      <c r="BN543" s="35">
        <f t="shared" si="319"/>
        <v>0</v>
      </c>
      <c r="BO543" s="35">
        <f t="shared" si="320"/>
        <v>0</v>
      </c>
      <c r="BP543" s="35">
        <f t="shared" si="321"/>
        <v>0</v>
      </c>
      <c r="BQ543" s="35">
        <f t="shared" si="322"/>
        <v>0</v>
      </c>
      <c r="BR543" s="35">
        <f t="shared" si="323"/>
        <v>0</v>
      </c>
      <c r="BS543" s="35">
        <f t="shared" si="324"/>
        <v>0</v>
      </c>
      <c r="BT543" s="43">
        <f t="shared" si="325"/>
        <v>0</v>
      </c>
    </row>
    <row r="544" spans="1:72">
      <c r="A544" s="9"/>
      <c r="B544" s="34"/>
      <c r="C544" s="34"/>
      <c r="D544" s="1805"/>
      <c r="E544" s="35">
        <f t="shared" si="297"/>
        <v>0</v>
      </c>
      <c r="F544" s="36"/>
      <c r="G544" s="37">
        <f t="shared" si="301"/>
        <v>0</v>
      </c>
      <c r="H544" s="38">
        <f t="shared" si="302"/>
        <v>0</v>
      </c>
      <c r="I544" s="39"/>
      <c r="J544" s="39"/>
      <c r="K544" s="39"/>
      <c r="L544" s="39"/>
      <c r="M544" s="39"/>
      <c r="N544" s="39"/>
      <c r="O544" s="39"/>
      <c r="P544" s="39"/>
      <c r="Q544" s="39"/>
      <c r="R544" s="39"/>
      <c r="S544" s="39"/>
      <c r="T544" s="39"/>
      <c r="U544" s="39"/>
      <c r="V544" s="39"/>
      <c r="W544" s="39"/>
      <c r="X544" s="39"/>
      <c r="Y544" s="39"/>
      <c r="Z544" s="39"/>
      <c r="AA544" s="39"/>
      <c r="AB544" s="39"/>
      <c r="AC544" s="35">
        <f t="shared" si="303"/>
        <v>0</v>
      </c>
      <c r="AD544" s="40"/>
      <c r="AE544" s="40"/>
      <c r="AF544" s="40"/>
      <c r="AG544" s="40"/>
      <c r="AH544" s="40"/>
      <c r="AI544" s="40"/>
      <c r="AJ544" s="40"/>
      <c r="AK544" s="40"/>
      <c r="AL544" s="40"/>
      <c r="AM544" s="40"/>
      <c r="AN544" s="40"/>
      <c r="AO544" s="40"/>
      <c r="AP544" s="40"/>
      <c r="AQ544" s="40"/>
      <c r="AR544" s="40"/>
      <c r="AS544" s="40"/>
      <c r="AT544" s="41"/>
      <c r="AU544" s="1806"/>
      <c r="AV544" s="1517">
        <f t="shared" si="298"/>
        <v>0</v>
      </c>
      <c r="AW544" s="1517">
        <f t="shared" si="299"/>
        <v>0</v>
      </c>
      <c r="AX544" s="1517">
        <f t="shared" si="300"/>
        <v>0</v>
      </c>
      <c r="AY544" s="42">
        <f t="shared" si="304"/>
        <v>0</v>
      </c>
      <c r="AZ544" s="35">
        <f t="shared" si="305"/>
        <v>0</v>
      </c>
      <c r="BA544" s="35">
        <f t="shared" si="306"/>
        <v>0</v>
      </c>
      <c r="BB544" s="35">
        <f t="shared" si="307"/>
        <v>0</v>
      </c>
      <c r="BC544" s="35">
        <f t="shared" si="308"/>
        <v>0</v>
      </c>
      <c r="BD544" s="35">
        <f t="shared" si="309"/>
        <v>0</v>
      </c>
      <c r="BE544" s="35">
        <f t="shared" si="310"/>
        <v>0</v>
      </c>
      <c r="BF544" s="35">
        <f t="shared" si="311"/>
        <v>0</v>
      </c>
      <c r="BG544" s="35">
        <f t="shared" si="312"/>
        <v>0</v>
      </c>
      <c r="BH544" s="35">
        <f t="shared" si="313"/>
        <v>0</v>
      </c>
      <c r="BI544" s="35">
        <f t="shared" si="314"/>
        <v>0</v>
      </c>
      <c r="BJ544" s="35">
        <f t="shared" si="315"/>
        <v>0</v>
      </c>
      <c r="BK544" s="35">
        <f t="shared" si="316"/>
        <v>0</v>
      </c>
      <c r="BL544" s="35">
        <f t="shared" si="317"/>
        <v>0</v>
      </c>
      <c r="BM544" s="35">
        <f t="shared" si="318"/>
        <v>0</v>
      </c>
      <c r="BN544" s="35">
        <f t="shared" si="319"/>
        <v>0</v>
      </c>
      <c r="BO544" s="35">
        <f t="shared" si="320"/>
        <v>0</v>
      </c>
      <c r="BP544" s="35">
        <f t="shared" si="321"/>
        <v>0</v>
      </c>
      <c r="BQ544" s="35">
        <f t="shared" si="322"/>
        <v>0</v>
      </c>
      <c r="BR544" s="35">
        <f t="shared" si="323"/>
        <v>0</v>
      </c>
      <c r="BS544" s="35">
        <f t="shared" si="324"/>
        <v>0</v>
      </c>
      <c r="BT544" s="43">
        <f t="shared" si="325"/>
        <v>0</v>
      </c>
    </row>
    <row r="545" spans="1:72">
      <c r="A545" s="9"/>
      <c r="B545" s="34"/>
      <c r="C545" s="34"/>
      <c r="D545" s="1805"/>
      <c r="E545" s="35">
        <f t="shared" si="297"/>
        <v>0</v>
      </c>
      <c r="F545" s="36"/>
      <c r="G545" s="37">
        <f t="shared" si="301"/>
        <v>0</v>
      </c>
      <c r="H545" s="38">
        <f t="shared" si="302"/>
        <v>0</v>
      </c>
      <c r="I545" s="39"/>
      <c r="J545" s="39"/>
      <c r="K545" s="39"/>
      <c r="L545" s="39"/>
      <c r="M545" s="39"/>
      <c r="N545" s="39"/>
      <c r="O545" s="39"/>
      <c r="P545" s="39"/>
      <c r="Q545" s="39"/>
      <c r="R545" s="39"/>
      <c r="S545" s="39"/>
      <c r="T545" s="39"/>
      <c r="U545" s="39"/>
      <c r="V545" s="39"/>
      <c r="W545" s="39"/>
      <c r="X545" s="39"/>
      <c r="Y545" s="39"/>
      <c r="Z545" s="39"/>
      <c r="AA545" s="39"/>
      <c r="AB545" s="39"/>
      <c r="AC545" s="35">
        <f t="shared" si="303"/>
        <v>0</v>
      </c>
      <c r="AD545" s="40"/>
      <c r="AE545" s="40"/>
      <c r="AF545" s="40"/>
      <c r="AG545" s="40"/>
      <c r="AH545" s="40"/>
      <c r="AI545" s="40"/>
      <c r="AJ545" s="40"/>
      <c r="AK545" s="40"/>
      <c r="AL545" s="40"/>
      <c r="AM545" s="40"/>
      <c r="AN545" s="40"/>
      <c r="AO545" s="40"/>
      <c r="AP545" s="40"/>
      <c r="AQ545" s="40"/>
      <c r="AR545" s="40"/>
      <c r="AS545" s="40"/>
      <c r="AT545" s="41"/>
      <c r="AU545" s="1806"/>
      <c r="AV545" s="1517">
        <f t="shared" si="298"/>
        <v>0</v>
      </c>
      <c r="AW545" s="1517">
        <f t="shared" si="299"/>
        <v>0</v>
      </c>
      <c r="AX545" s="1517">
        <f t="shared" si="300"/>
        <v>0</v>
      </c>
      <c r="AY545" s="42">
        <f t="shared" si="304"/>
        <v>0</v>
      </c>
      <c r="AZ545" s="35">
        <f t="shared" si="305"/>
        <v>0</v>
      </c>
      <c r="BA545" s="35">
        <f t="shared" si="306"/>
        <v>0</v>
      </c>
      <c r="BB545" s="35">
        <f t="shared" si="307"/>
        <v>0</v>
      </c>
      <c r="BC545" s="35">
        <f t="shared" si="308"/>
        <v>0</v>
      </c>
      <c r="BD545" s="35">
        <f t="shared" si="309"/>
        <v>0</v>
      </c>
      <c r="BE545" s="35">
        <f t="shared" si="310"/>
        <v>0</v>
      </c>
      <c r="BF545" s="35">
        <f t="shared" si="311"/>
        <v>0</v>
      </c>
      <c r="BG545" s="35">
        <f t="shared" si="312"/>
        <v>0</v>
      </c>
      <c r="BH545" s="35">
        <f t="shared" si="313"/>
        <v>0</v>
      </c>
      <c r="BI545" s="35">
        <f t="shared" si="314"/>
        <v>0</v>
      </c>
      <c r="BJ545" s="35">
        <f t="shared" si="315"/>
        <v>0</v>
      </c>
      <c r="BK545" s="35">
        <f t="shared" si="316"/>
        <v>0</v>
      </c>
      <c r="BL545" s="35">
        <f t="shared" si="317"/>
        <v>0</v>
      </c>
      <c r="BM545" s="35">
        <f t="shared" si="318"/>
        <v>0</v>
      </c>
      <c r="BN545" s="35">
        <f t="shared" si="319"/>
        <v>0</v>
      </c>
      <c r="BO545" s="35">
        <f t="shared" si="320"/>
        <v>0</v>
      </c>
      <c r="BP545" s="35">
        <f t="shared" si="321"/>
        <v>0</v>
      </c>
      <c r="BQ545" s="35">
        <f t="shared" si="322"/>
        <v>0</v>
      </c>
      <c r="BR545" s="35">
        <f t="shared" si="323"/>
        <v>0</v>
      </c>
      <c r="BS545" s="35">
        <f t="shared" si="324"/>
        <v>0</v>
      </c>
      <c r="BT545" s="43">
        <f t="shared" si="325"/>
        <v>0</v>
      </c>
    </row>
    <row r="546" spans="1:72">
      <c r="A546" s="9"/>
      <c r="B546" s="34"/>
      <c r="C546" s="34"/>
      <c r="D546" s="1805"/>
      <c r="E546" s="35">
        <f t="shared" si="297"/>
        <v>0</v>
      </c>
      <c r="F546" s="36"/>
      <c r="G546" s="37">
        <f t="shared" si="301"/>
        <v>0</v>
      </c>
      <c r="H546" s="38">
        <f t="shared" si="302"/>
        <v>0</v>
      </c>
      <c r="I546" s="39"/>
      <c r="J546" s="39"/>
      <c r="K546" s="39"/>
      <c r="L546" s="39"/>
      <c r="M546" s="39"/>
      <c r="N546" s="39"/>
      <c r="O546" s="39"/>
      <c r="P546" s="39"/>
      <c r="Q546" s="39"/>
      <c r="R546" s="39"/>
      <c r="S546" s="39"/>
      <c r="T546" s="39"/>
      <c r="U546" s="39"/>
      <c r="V546" s="39"/>
      <c r="W546" s="39"/>
      <c r="X546" s="39"/>
      <c r="Y546" s="39"/>
      <c r="Z546" s="39"/>
      <c r="AA546" s="39"/>
      <c r="AB546" s="39"/>
      <c r="AC546" s="35">
        <f t="shared" si="303"/>
        <v>0</v>
      </c>
      <c r="AD546" s="40"/>
      <c r="AE546" s="40"/>
      <c r="AF546" s="40"/>
      <c r="AG546" s="40"/>
      <c r="AH546" s="40"/>
      <c r="AI546" s="40"/>
      <c r="AJ546" s="40"/>
      <c r="AK546" s="40"/>
      <c r="AL546" s="40"/>
      <c r="AM546" s="40"/>
      <c r="AN546" s="40"/>
      <c r="AO546" s="40"/>
      <c r="AP546" s="40"/>
      <c r="AQ546" s="40"/>
      <c r="AR546" s="40"/>
      <c r="AS546" s="40"/>
      <c r="AT546" s="41"/>
      <c r="AU546" s="1806"/>
      <c r="AV546" s="1517">
        <f t="shared" si="298"/>
        <v>0</v>
      </c>
      <c r="AW546" s="1517">
        <f t="shared" si="299"/>
        <v>0</v>
      </c>
      <c r="AX546" s="1517">
        <f t="shared" si="300"/>
        <v>0</v>
      </c>
      <c r="AY546" s="42">
        <f t="shared" si="304"/>
        <v>0</v>
      </c>
      <c r="AZ546" s="35">
        <f t="shared" si="305"/>
        <v>0</v>
      </c>
      <c r="BA546" s="35">
        <f t="shared" si="306"/>
        <v>0</v>
      </c>
      <c r="BB546" s="35">
        <f t="shared" si="307"/>
        <v>0</v>
      </c>
      <c r="BC546" s="35">
        <f t="shared" si="308"/>
        <v>0</v>
      </c>
      <c r="BD546" s="35">
        <f t="shared" si="309"/>
        <v>0</v>
      </c>
      <c r="BE546" s="35">
        <f t="shared" si="310"/>
        <v>0</v>
      </c>
      <c r="BF546" s="35">
        <f t="shared" si="311"/>
        <v>0</v>
      </c>
      <c r="BG546" s="35">
        <f t="shared" si="312"/>
        <v>0</v>
      </c>
      <c r="BH546" s="35">
        <f t="shared" si="313"/>
        <v>0</v>
      </c>
      <c r="BI546" s="35">
        <f t="shared" si="314"/>
        <v>0</v>
      </c>
      <c r="BJ546" s="35">
        <f t="shared" si="315"/>
        <v>0</v>
      </c>
      <c r="BK546" s="35">
        <f t="shared" si="316"/>
        <v>0</v>
      </c>
      <c r="BL546" s="35">
        <f t="shared" si="317"/>
        <v>0</v>
      </c>
      <c r="BM546" s="35">
        <f t="shared" si="318"/>
        <v>0</v>
      </c>
      <c r="BN546" s="35">
        <f t="shared" si="319"/>
        <v>0</v>
      </c>
      <c r="BO546" s="35">
        <f t="shared" si="320"/>
        <v>0</v>
      </c>
      <c r="BP546" s="35">
        <f t="shared" si="321"/>
        <v>0</v>
      </c>
      <c r="BQ546" s="35">
        <f t="shared" si="322"/>
        <v>0</v>
      </c>
      <c r="BR546" s="35">
        <f t="shared" si="323"/>
        <v>0</v>
      </c>
      <c r="BS546" s="35">
        <f t="shared" si="324"/>
        <v>0</v>
      </c>
      <c r="BT546" s="43">
        <f t="shared" si="325"/>
        <v>0</v>
      </c>
    </row>
    <row r="547" spans="1:72">
      <c r="A547" s="9"/>
      <c r="B547" s="34"/>
      <c r="C547" s="34"/>
      <c r="D547" s="1805"/>
      <c r="E547" s="35">
        <f t="shared" si="297"/>
        <v>0</v>
      </c>
      <c r="F547" s="36"/>
      <c r="G547" s="37">
        <f t="shared" si="301"/>
        <v>0</v>
      </c>
      <c r="H547" s="38">
        <f t="shared" si="302"/>
        <v>0</v>
      </c>
      <c r="I547" s="39"/>
      <c r="J547" s="39"/>
      <c r="K547" s="39"/>
      <c r="L547" s="39"/>
      <c r="M547" s="39"/>
      <c r="N547" s="39"/>
      <c r="O547" s="39"/>
      <c r="P547" s="39"/>
      <c r="Q547" s="39"/>
      <c r="R547" s="39"/>
      <c r="S547" s="39"/>
      <c r="T547" s="39"/>
      <c r="U547" s="39"/>
      <c r="V547" s="39"/>
      <c r="W547" s="39"/>
      <c r="X547" s="39"/>
      <c r="Y547" s="39"/>
      <c r="Z547" s="39"/>
      <c r="AA547" s="39"/>
      <c r="AB547" s="39"/>
      <c r="AC547" s="35">
        <f t="shared" si="303"/>
        <v>0</v>
      </c>
      <c r="AD547" s="40"/>
      <c r="AE547" s="40"/>
      <c r="AF547" s="40"/>
      <c r="AG547" s="40"/>
      <c r="AH547" s="40"/>
      <c r="AI547" s="40"/>
      <c r="AJ547" s="40"/>
      <c r="AK547" s="40"/>
      <c r="AL547" s="40"/>
      <c r="AM547" s="40"/>
      <c r="AN547" s="40"/>
      <c r="AO547" s="40"/>
      <c r="AP547" s="40"/>
      <c r="AQ547" s="40"/>
      <c r="AR547" s="40"/>
      <c r="AS547" s="40"/>
      <c r="AT547" s="41"/>
      <c r="AU547" s="1806"/>
      <c r="AV547" s="1517">
        <f t="shared" si="298"/>
        <v>0</v>
      </c>
      <c r="AW547" s="1517">
        <f t="shared" si="299"/>
        <v>0</v>
      </c>
      <c r="AX547" s="1517">
        <f t="shared" si="300"/>
        <v>0</v>
      </c>
      <c r="AY547" s="42">
        <f t="shared" si="304"/>
        <v>0</v>
      </c>
      <c r="AZ547" s="35">
        <f t="shared" si="305"/>
        <v>0</v>
      </c>
      <c r="BA547" s="35">
        <f t="shared" si="306"/>
        <v>0</v>
      </c>
      <c r="BB547" s="35">
        <f t="shared" si="307"/>
        <v>0</v>
      </c>
      <c r="BC547" s="35">
        <f t="shared" si="308"/>
        <v>0</v>
      </c>
      <c r="BD547" s="35">
        <f t="shared" si="309"/>
        <v>0</v>
      </c>
      <c r="BE547" s="35">
        <f t="shared" si="310"/>
        <v>0</v>
      </c>
      <c r="BF547" s="35">
        <f t="shared" si="311"/>
        <v>0</v>
      </c>
      <c r="BG547" s="35">
        <f t="shared" si="312"/>
        <v>0</v>
      </c>
      <c r="BH547" s="35">
        <f t="shared" si="313"/>
        <v>0</v>
      </c>
      <c r="BI547" s="35">
        <f t="shared" si="314"/>
        <v>0</v>
      </c>
      <c r="BJ547" s="35">
        <f t="shared" si="315"/>
        <v>0</v>
      </c>
      <c r="BK547" s="35">
        <f t="shared" si="316"/>
        <v>0</v>
      </c>
      <c r="BL547" s="35">
        <f t="shared" si="317"/>
        <v>0</v>
      </c>
      <c r="BM547" s="35">
        <f t="shared" si="318"/>
        <v>0</v>
      </c>
      <c r="BN547" s="35">
        <f t="shared" si="319"/>
        <v>0</v>
      </c>
      <c r="BO547" s="35">
        <f t="shared" si="320"/>
        <v>0</v>
      </c>
      <c r="BP547" s="35">
        <f t="shared" si="321"/>
        <v>0</v>
      </c>
      <c r="BQ547" s="35">
        <f t="shared" si="322"/>
        <v>0</v>
      </c>
      <c r="BR547" s="35">
        <f t="shared" si="323"/>
        <v>0</v>
      </c>
      <c r="BS547" s="35">
        <f t="shared" si="324"/>
        <v>0</v>
      </c>
      <c r="BT547" s="43">
        <f t="shared" si="325"/>
        <v>0</v>
      </c>
    </row>
    <row r="548" spans="1:72">
      <c r="A548" s="9"/>
      <c r="B548" s="34"/>
      <c r="C548" s="34"/>
      <c r="D548" s="1805"/>
      <c r="E548" s="35">
        <f t="shared" si="297"/>
        <v>0</v>
      </c>
      <c r="F548" s="36"/>
      <c r="G548" s="37">
        <f t="shared" si="301"/>
        <v>0</v>
      </c>
      <c r="H548" s="38">
        <f t="shared" si="302"/>
        <v>0</v>
      </c>
      <c r="I548" s="39"/>
      <c r="J548" s="39"/>
      <c r="K548" s="39"/>
      <c r="L548" s="39"/>
      <c r="M548" s="39"/>
      <c r="N548" s="39"/>
      <c r="O548" s="39"/>
      <c r="P548" s="39"/>
      <c r="Q548" s="39"/>
      <c r="R548" s="39"/>
      <c r="S548" s="39"/>
      <c r="T548" s="39"/>
      <c r="U548" s="39"/>
      <c r="V548" s="39"/>
      <c r="W548" s="39"/>
      <c r="X548" s="39"/>
      <c r="Y548" s="39"/>
      <c r="Z548" s="39"/>
      <c r="AA548" s="39"/>
      <c r="AB548" s="39"/>
      <c r="AC548" s="35">
        <f t="shared" si="303"/>
        <v>0</v>
      </c>
      <c r="AD548" s="40"/>
      <c r="AE548" s="40"/>
      <c r="AF548" s="40"/>
      <c r="AG548" s="40"/>
      <c r="AH548" s="40"/>
      <c r="AI548" s="40"/>
      <c r="AJ548" s="40"/>
      <c r="AK548" s="40"/>
      <c r="AL548" s="40"/>
      <c r="AM548" s="40"/>
      <c r="AN548" s="40"/>
      <c r="AO548" s="40"/>
      <c r="AP548" s="40"/>
      <c r="AQ548" s="40"/>
      <c r="AR548" s="40"/>
      <c r="AS548" s="40"/>
      <c r="AT548" s="41"/>
      <c r="AU548" s="1806"/>
      <c r="AV548" s="1517">
        <f t="shared" si="298"/>
        <v>0</v>
      </c>
      <c r="AW548" s="1517">
        <f t="shared" si="299"/>
        <v>0</v>
      </c>
      <c r="AX548" s="1517">
        <f t="shared" si="300"/>
        <v>0</v>
      </c>
      <c r="AY548" s="42">
        <f t="shared" si="304"/>
        <v>0</v>
      </c>
      <c r="AZ548" s="35">
        <f t="shared" si="305"/>
        <v>0</v>
      </c>
      <c r="BA548" s="35">
        <f t="shared" si="306"/>
        <v>0</v>
      </c>
      <c r="BB548" s="35">
        <f t="shared" si="307"/>
        <v>0</v>
      </c>
      <c r="BC548" s="35">
        <f t="shared" si="308"/>
        <v>0</v>
      </c>
      <c r="BD548" s="35">
        <f t="shared" si="309"/>
        <v>0</v>
      </c>
      <c r="BE548" s="35">
        <f t="shared" si="310"/>
        <v>0</v>
      </c>
      <c r="BF548" s="35">
        <f t="shared" si="311"/>
        <v>0</v>
      </c>
      <c r="BG548" s="35">
        <f t="shared" si="312"/>
        <v>0</v>
      </c>
      <c r="BH548" s="35">
        <f t="shared" si="313"/>
        <v>0</v>
      </c>
      <c r="BI548" s="35">
        <f t="shared" si="314"/>
        <v>0</v>
      </c>
      <c r="BJ548" s="35">
        <f t="shared" si="315"/>
        <v>0</v>
      </c>
      <c r="BK548" s="35">
        <f t="shared" si="316"/>
        <v>0</v>
      </c>
      <c r="BL548" s="35">
        <f t="shared" si="317"/>
        <v>0</v>
      </c>
      <c r="BM548" s="35">
        <f t="shared" si="318"/>
        <v>0</v>
      </c>
      <c r="BN548" s="35">
        <f t="shared" si="319"/>
        <v>0</v>
      </c>
      <c r="BO548" s="35">
        <f t="shared" si="320"/>
        <v>0</v>
      </c>
      <c r="BP548" s="35">
        <f t="shared" si="321"/>
        <v>0</v>
      </c>
      <c r="BQ548" s="35">
        <f t="shared" si="322"/>
        <v>0</v>
      </c>
      <c r="BR548" s="35">
        <f t="shared" si="323"/>
        <v>0</v>
      </c>
      <c r="BS548" s="35">
        <f t="shared" si="324"/>
        <v>0</v>
      </c>
      <c r="BT548" s="43">
        <f t="shared" si="325"/>
        <v>0</v>
      </c>
    </row>
    <row r="549" spans="1:72">
      <c r="A549" s="9"/>
      <c r="B549" s="34"/>
      <c r="C549" s="34"/>
      <c r="D549" s="1805"/>
      <c r="E549" s="35">
        <f t="shared" si="297"/>
        <v>0</v>
      </c>
      <c r="F549" s="36"/>
      <c r="G549" s="37">
        <f t="shared" si="301"/>
        <v>0</v>
      </c>
      <c r="H549" s="38">
        <f t="shared" si="302"/>
        <v>0</v>
      </c>
      <c r="I549" s="39"/>
      <c r="J549" s="39"/>
      <c r="K549" s="39"/>
      <c r="L549" s="39"/>
      <c r="M549" s="39"/>
      <c r="N549" s="39"/>
      <c r="O549" s="39"/>
      <c r="P549" s="39"/>
      <c r="Q549" s="39"/>
      <c r="R549" s="39"/>
      <c r="S549" s="39"/>
      <c r="T549" s="39"/>
      <c r="U549" s="39"/>
      <c r="V549" s="39"/>
      <c r="W549" s="39"/>
      <c r="X549" s="39"/>
      <c r="Y549" s="39"/>
      <c r="Z549" s="39"/>
      <c r="AA549" s="39"/>
      <c r="AB549" s="39"/>
      <c r="AC549" s="35">
        <f t="shared" si="303"/>
        <v>0</v>
      </c>
      <c r="AD549" s="40"/>
      <c r="AE549" s="40"/>
      <c r="AF549" s="40"/>
      <c r="AG549" s="40"/>
      <c r="AH549" s="40"/>
      <c r="AI549" s="40"/>
      <c r="AJ549" s="40"/>
      <c r="AK549" s="40"/>
      <c r="AL549" s="40"/>
      <c r="AM549" s="40"/>
      <c r="AN549" s="40"/>
      <c r="AO549" s="40"/>
      <c r="AP549" s="40"/>
      <c r="AQ549" s="40"/>
      <c r="AR549" s="40"/>
      <c r="AS549" s="40"/>
      <c r="AT549" s="41"/>
      <c r="AU549" s="1806"/>
      <c r="AV549" s="1517">
        <f t="shared" si="298"/>
        <v>0</v>
      </c>
      <c r="AW549" s="1517">
        <f t="shared" si="299"/>
        <v>0</v>
      </c>
      <c r="AX549" s="1517">
        <f t="shared" si="300"/>
        <v>0</v>
      </c>
      <c r="AY549" s="42">
        <f t="shared" si="304"/>
        <v>0</v>
      </c>
      <c r="AZ549" s="35">
        <f t="shared" si="305"/>
        <v>0</v>
      </c>
      <c r="BA549" s="35">
        <f t="shared" si="306"/>
        <v>0</v>
      </c>
      <c r="BB549" s="35">
        <f t="shared" si="307"/>
        <v>0</v>
      </c>
      <c r="BC549" s="35">
        <f t="shared" si="308"/>
        <v>0</v>
      </c>
      <c r="BD549" s="35">
        <f t="shared" si="309"/>
        <v>0</v>
      </c>
      <c r="BE549" s="35">
        <f t="shared" si="310"/>
        <v>0</v>
      </c>
      <c r="BF549" s="35">
        <f t="shared" si="311"/>
        <v>0</v>
      </c>
      <c r="BG549" s="35">
        <f t="shared" si="312"/>
        <v>0</v>
      </c>
      <c r="BH549" s="35">
        <f t="shared" si="313"/>
        <v>0</v>
      </c>
      <c r="BI549" s="35">
        <f t="shared" si="314"/>
        <v>0</v>
      </c>
      <c r="BJ549" s="35">
        <f t="shared" si="315"/>
        <v>0</v>
      </c>
      <c r="BK549" s="35">
        <f t="shared" si="316"/>
        <v>0</v>
      </c>
      <c r="BL549" s="35">
        <f t="shared" si="317"/>
        <v>0</v>
      </c>
      <c r="BM549" s="35">
        <f t="shared" si="318"/>
        <v>0</v>
      </c>
      <c r="BN549" s="35">
        <f t="shared" si="319"/>
        <v>0</v>
      </c>
      <c r="BO549" s="35">
        <f t="shared" si="320"/>
        <v>0</v>
      </c>
      <c r="BP549" s="35">
        <f t="shared" si="321"/>
        <v>0</v>
      </c>
      <c r="BQ549" s="35">
        <f t="shared" si="322"/>
        <v>0</v>
      </c>
      <c r="BR549" s="35">
        <f t="shared" si="323"/>
        <v>0</v>
      </c>
      <c r="BS549" s="35">
        <f t="shared" si="324"/>
        <v>0</v>
      </c>
      <c r="BT549" s="43">
        <f t="shared" si="325"/>
        <v>0</v>
      </c>
    </row>
    <row r="550" spans="1:72">
      <c r="A550" s="9"/>
      <c r="B550" s="34"/>
      <c r="C550" s="34"/>
      <c r="D550" s="1805"/>
      <c r="E550" s="35">
        <f t="shared" si="297"/>
        <v>0</v>
      </c>
      <c r="F550" s="36"/>
      <c r="G550" s="37">
        <f t="shared" si="301"/>
        <v>0</v>
      </c>
      <c r="H550" s="38">
        <f t="shared" si="302"/>
        <v>0</v>
      </c>
      <c r="I550" s="39"/>
      <c r="J550" s="39"/>
      <c r="K550" s="39"/>
      <c r="L550" s="39"/>
      <c r="M550" s="39"/>
      <c r="N550" s="39"/>
      <c r="O550" s="39"/>
      <c r="P550" s="39"/>
      <c r="Q550" s="39"/>
      <c r="R550" s="39"/>
      <c r="S550" s="39"/>
      <c r="T550" s="39"/>
      <c r="U550" s="39"/>
      <c r="V550" s="39"/>
      <c r="W550" s="39"/>
      <c r="X550" s="39"/>
      <c r="Y550" s="39"/>
      <c r="Z550" s="39"/>
      <c r="AA550" s="39"/>
      <c r="AB550" s="39"/>
      <c r="AC550" s="35">
        <f t="shared" si="303"/>
        <v>0</v>
      </c>
      <c r="AD550" s="40"/>
      <c r="AE550" s="40"/>
      <c r="AF550" s="40"/>
      <c r="AG550" s="40"/>
      <c r="AH550" s="40"/>
      <c r="AI550" s="40"/>
      <c r="AJ550" s="40"/>
      <c r="AK550" s="40"/>
      <c r="AL550" s="40"/>
      <c r="AM550" s="40"/>
      <c r="AN550" s="40"/>
      <c r="AO550" s="40"/>
      <c r="AP550" s="40"/>
      <c r="AQ550" s="40"/>
      <c r="AR550" s="40"/>
      <c r="AS550" s="40"/>
      <c r="AT550" s="41"/>
      <c r="AU550" s="1806"/>
      <c r="AV550" s="1517">
        <f t="shared" si="298"/>
        <v>0</v>
      </c>
      <c r="AW550" s="1517">
        <f t="shared" si="299"/>
        <v>0</v>
      </c>
      <c r="AX550" s="1517">
        <f t="shared" si="300"/>
        <v>0</v>
      </c>
      <c r="AY550" s="42">
        <f t="shared" si="304"/>
        <v>0</v>
      </c>
      <c r="AZ550" s="35">
        <f t="shared" si="305"/>
        <v>0</v>
      </c>
      <c r="BA550" s="35">
        <f t="shared" si="306"/>
        <v>0</v>
      </c>
      <c r="BB550" s="35">
        <f t="shared" si="307"/>
        <v>0</v>
      </c>
      <c r="BC550" s="35">
        <f t="shared" si="308"/>
        <v>0</v>
      </c>
      <c r="BD550" s="35">
        <f t="shared" si="309"/>
        <v>0</v>
      </c>
      <c r="BE550" s="35">
        <f t="shared" si="310"/>
        <v>0</v>
      </c>
      <c r="BF550" s="35">
        <f t="shared" si="311"/>
        <v>0</v>
      </c>
      <c r="BG550" s="35">
        <f t="shared" si="312"/>
        <v>0</v>
      </c>
      <c r="BH550" s="35">
        <f t="shared" si="313"/>
        <v>0</v>
      </c>
      <c r="BI550" s="35">
        <f t="shared" si="314"/>
        <v>0</v>
      </c>
      <c r="BJ550" s="35">
        <f t="shared" si="315"/>
        <v>0</v>
      </c>
      <c r="BK550" s="35">
        <f t="shared" si="316"/>
        <v>0</v>
      </c>
      <c r="BL550" s="35">
        <f t="shared" si="317"/>
        <v>0</v>
      </c>
      <c r="BM550" s="35">
        <f t="shared" si="318"/>
        <v>0</v>
      </c>
      <c r="BN550" s="35">
        <f t="shared" si="319"/>
        <v>0</v>
      </c>
      <c r="BO550" s="35">
        <f t="shared" si="320"/>
        <v>0</v>
      </c>
      <c r="BP550" s="35">
        <f t="shared" si="321"/>
        <v>0</v>
      </c>
      <c r="BQ550" s="35">
        <f t="shared" si="322"/>
        <v>0</v>
      </c>
      <c r="BR550" s="35">
        <f t="shared" si="323"/>
        <v>0</v>
      </c>
      <c r="BS550" s="35">
        <f t="shared" si="324"/>
        <v>0</v>
      </c>
      <c r="BT550" s="43">
        <f t="shared" si="325"/>
        <v>0</v>
      </c>
    </row>
    <row r="551" spans="1:72">
      <c r="A551" s="9"/>
      <c r="B551" s="34"/>
      <c r="C551" s="34"/>
      <c r="D551" s="1805"/>
      <c r="E551" s="35">
        <f t="shared" si="297"/>
        <v>0</v>
      </c>
      <c r="F551" s="36"/>
      <c r="G551" s="37">
        <f t="shared" si="301"/>
        <v>0</v>
      </c>
      <c r="H551" s="38">
        <f t="shared" si="302"/>
        <v>0</v>
      </c>
      <c r="I551" s="39"/>
      <c r="J551" s="39"/>
      <c r="K551" s="39"/>
      <c r="L551" s="39"/>
      <c r="M551" s="39"/>
      <c r="N551" s="39"/>
      <c r="O551" s="39"/>
      <c r="P551" s="39"/>
      <c r="Q551" s="39"/>
      <c r="R551" s="39"/>
      <c r="S551" s="39"/>
      <c r="T551" s="39"/>
      <c r="U551" s="39"/>
      <c r="V551" s="39"/>
      <c r="W551" s="39"/>
      <c r="X551" s="39"/>
      <c r="Y551" s="39"/>
      <c r="Z551" s="39"/>
      <c r="AA551" s="39"/>
      <c r="AB551" s="39"/>
      <c r="AC551" s="35">
        <f t="shared" si="303"/>
        <v>0</v>
      </c>
      <c r="AD551" s="40"/>
      <c r="AE551" s="40"/>
      <c r="AF551" s="40"/>
      <c r="AG551" s="40"/>
      <c r="AH551" s="40"/>
      <c r="AI551" s="40"/>
      <c r="AJ551" s="40"/>
      <c r="AK551" s="40"/>
      <c r="AL551" s="40"/>
      <c r="AM551" s="40"/>
      <c r="AN551" s="40"/>
      <c r="AO551" s="40"/>
      <c r="AP551" s="40"/>
      <c r="AQ551" s="40"/>
      <c r="AR551" s="40"/>
      <c r="AS551" s="40"/>
      <c r="AT551" s="41"/>
      <c r="AU551" s="1806"/>
      <c r="AV551" s="1517">
        <f t="shared" si="298"/>
        <v>0</v>
      </c>
      <c r="AW551" s="1517">
        <f t="shared" si="299"/>
        <v>0</v>
      </c>
      <c r="AX551" s="1517">
        <f t="shared" si="300"/>
        <v>0</v>
      </c>
      <c r="AY551" s="42">
        <f t="shared" si="304"/>
        <v>0</v>
      </c>
      <c r="AZ551" s="35">
        <f t="shared" si="305"/>
        <v>0</v>
      </c>
      <c r="BA551" s="35">
        <f t="shared" si="306"/>
        <v>0</v>
      </c>
      <c r="BB551" s="35">
        <f t="shared" si="307"/>
        <v>0</v>
      </c>
      <c r="BC551" s="35">
        <f t="shared" si="308"/>
        <v>0</v>
      </c>
      <c r="BD551" s="35">
        <f t="shared" si="309"/>
        <v>0</v>
      </c>
      <c r="BE551" s="35">
        <f t="shared" si="310"/>
        <v>0</v>
      </c>
      <c r="BF551" s="35">
        <f t="shared" si="311"/>
        <v>0</v>
      </c>
      <c r="BG551" s="35">
        <f t="shared" si="312"/>
        <v>0</v>
      </c>
      <c r="BH551" s="35">
        <f t="shared" si="313"/>
        <v>0</v>
      </c>
      <c r="BI551" s="35">
        <f t="shared" si="314"/>
        <v>0</v>
      </c>
      <c r="BJ551" s="35">
        <f t="shared" si="315"/>
        <v>0</v>
      </c>
      <c r="BK551" s="35">
        <f t="shared" si="316"/>
        <v>0</v>
      </c>
      <c r="BL551" s="35">
        <f t="shared" si="317"/>
        <v>0</v>
      </c>
      <c r="BM551" s="35">
        <f t="shared" si="318"/>
        <v>0</v>
      </c>
      <c r="BN551" s="35">
        <f t="shared" si="319"/>
        <v>0</v>
      </c>
      <c r="BO551" s="35">
        <f t="shared" si="320"/>
        <v>0</v>
      </c>
      <c r="BP551" s="35">
        <f t="shared" si="321"/>
        <v>0</v>
      </c>
      <c r="BQ551" s="35">
        <f t="shared" si="322"/>
        <v>0</v>
      </c>
      <c r="BR551" s="35">
        <f t="shared" si="323"/>
        <v>0</v>
      </c>
      <c r="BS551" s="35">
        <f t="shared" si="324"/>
        <v>0</v>
      </c>
      <c r="BT551" s="43">
        <f t="shared" si="325"/>
        <v>0</v>
      </c>
    </row>
    <row r="552" spans="1:72">
      <c r="A552" s="9"/>
      <c r="B552" s="34"/>
      <c r="C552" s="34"/>
      <c r="D552" s="1805"/>
      <c r="E552" s="35">
        <f t="shared" ref="E552:E587" si="326">IF($C$3="是",ROUND($A$3*G552/$B$3,2),ROUND($A$3*(G552-AT552)/$B$3,2))</f>
        <v>0</v>
      </c>
      <c r="F552" s="36"/>
      <c r="G552" s="37">
        <f t="shared" si="301"/>
        <v>0</v>
      </c>
      <c r="H552" s="38">
        <f t="shared" si="302"/>
        <v>0</v>
      </c>
      <c r="I552" s="39"/>
      <c r="J552" s="39"/>
      <c r="K552" s="39"/>
      <c r="L552" s="39"/>
      <c r="M552" s="39"/>
      <c r="N552" s="39"/>
      <c r="O552" s="39"/>
      <c r="P552" s="39"/>
      <c r="Q552" s="39"/>
      <c r="R552" s="39"/>
      <c r="S552" s="39"/>
      <c r="T552" s="39"/>
      <c r="U552" s="39"/>
      <c r="V552" s="39"/>
      <c r="W552" s="39"/>
      <c r="X552" s="39"/>
      <c r="Y552" s="39"/>
      <c r="Z552" s="39"/>
      <c r="AA552" s="39"/>
      <c r="AB552" s="39"/>
      <c r="AC552" s="35">
        <f t="shared" si="303"/>
        <v>0</v>
      </c>
      <c r="AD552" s="40"/>
      <c r="AE552" s="40"/>
      <c r="AF552" s="40"/>
      <c r="AG552" s="40"/>
      <c r="AH552" s="40"/>
      <c r="AI552" s="40"/>
      <c r="AJ552" s="40"/>
      <c r="AK552" s="40"/>
      <c r="AL552" s="40"/>
      <c r="AM552" s="40"/>
      <c r="AN552" s="40"/>
      <c r="AO552" s="40"/>
      <c r="AP552" s="40"/>
      <c r="AQ552" s="40"/>
      <c r="AR552" s="40"/>
      <c r="AS552" s="40"/>
      <c r="AT552" s="41"/>
      <c r="AU552" s="1806"/>
      <c r="AV552" s="1517">
        <f t="shared" si="298"/>
        <v>0</v>
      </c>
      <c r="AW552" s="1517">
        <f t="shared" si="299"/>
        <v>0</v>
      </c>
      <c r="AX552" s="1517">
        <f t="shared" si="300"/>
        <v>0</v>
      </c>
      <c r="AY552" s="42">
        <f t="shared" si="304"/>
        <v>0</v>
      </c>
      <c r="AZ552" s="35">
        <f t="shared" si="305"/>
        <v>0</v>
      </c>
      <c r="BA552" s="35">
        <f t="shared" si="306"/>
        <v>0</v>
      </c>
      <c r="BB552" s="35">
        <f t="shared" si="307"/>
        <v>0</v>
      </c>
      <c r="BC552" s="35">
        <f t="shared" si="308"/>
        <v>0</v>
      </c>
      <c r="BD552" s="35">
        <f t="shared" si="309"/>
        <v>0</v>
      </c>
      <c r="BE552" s="35">
        <f t="shared" si="310"/>
        <v>0</v>
      </c>
      <c r="BF552" s="35">
        <f t="shared" si="311"/>
        <v>0</v>
      </c>
      <c r="BG552" s="35">
        <f t="shared" si="312"/>
        <v>0</v>
      </c>
      <c r="BH552" s="35">
        <f t="shared" si="313"/>
        <v>0</v>
      </c>
      <c r="BI552" s="35">
        <f t="shared" si="314"/>
        <v>0</v>
      </c>
      <c r="BJ552" s="35">
        <f t="shared" si="315"/>
        <v>0</v>
      </c>
      <c r="BK552" s="35">
        <f t="shared" si="316"/>
        <v>0</v>
      </c>
      <c r="BL552" s="35">
        <f t="shared" si="317"/>
        <v>0</v>
      </c>
      <c r="BM552" s="35">
        <f t="shared" si="318"/>
        <v>0</v>
      </c>
      <c r="BN552" s="35">
        <f t="shared" si="319"/>
        <v>0</v>
      </c>
      <c r="BO552" s="35">
        <f t="shared" si="320"/>
        <v>0</v>
      </c>
      <c r="BP552" s="35">
        <f t="shared" si="321"/>
        <v>0</v>
      </c>
      <c r="BQ552" s="35">
        <f t="shared" si="322"/>
        <v>0</v>
      </c>
      <c r="BR552" s="35">
        <f t="shared" si="323"/>
        <v>0</v>
      </c>
      <c r="BS552" s="35">
        <f t="shared" si="324"/>
        <v>0</v>
      </c>
      <c r="BT552" s="43">
        <f t="shared" si="325"/>
        <v>0</v>
      </c>
    </row>
    <row r="553" spans="1:72">
      <c r="A553" s="9"/>
      <c r="B553" s="34"/>
      <c r="C553" s="34"/>
      <c r="D553" s="1805"/>
      <c r="E553" s="35">
        <f t="shared" si="326"/>
        <v>0</v>
      </c>
      <c r="F553" s="36"/>
      <c r="G553" s="37">
        <f t="shared" ref="G553:G584" si="327">H553+AC553+AT553</f>
        <v>0</v>
      </c>
      <c r="H553" s="38">
        <f t="shared" ref="H553:H584" si="328">SUMIF(I$12:AB$12,"总值",I553:AB553)</f>
        <v>0</v>
      </c>
      <c r="I553" s="39"/>
      <c r="J553" s="39"/>
      <c r="K553" s="39"/>
      <c r="L553" s="39"/>
      <c r="M553" s="39"/>
      <c r="N553" s="39"/>
      <c r="O553" s="39"/>
      <c r="P553" s="39"/>
      <c r="Q553" s="39"/>
      <c r="R553" s="39"/>
      <c r="S553" s="39"/>
      <c r="T553" s="39"/>
      <c r="U553" s="39"/>
      <c r="V553" s="39"/>
      <c r="W553" s="39"/>
      <c r="X553" s="39"/>
      <c r="Y553" s="39"/>
      <c r="Z553" s="39"/>
      <c r="AA553" s="39"/>
      <c r="AB553" s="39"/>
      <c r="AC553" s="35">
        <f t="shared" ref="AC553:AC584" si="329">SUMIF(AD$12:AS$12,"总值",AD553:AS553)</f>
        <v>0</v>
      </c>
      <c r="AD553" s="40"/>
      <c r="AE553" s="40"/>
      <c r="AF553" s="40"/>
      <c r="AG553" s="40"/>
      <c r="AH553" s="40"/>
      <c r="AI553" s="40"/>
      <c r="AJ553" s="40"/>
      <c r="AK553" s="40"/>
      <c r="AL553" s="40"/>
      <c r="AM553" s="40"/>
      <c r="AN553" s="40"/>
      <c r="AO553" s="40"/>
      <c r="AP553" s="40"/>
      <c r="AQ553" s="40"/>
      <c r="AR553" s="40"/>
      <c r="AS553" s="40"/>
      <c r="AT553" s="41"/>
      <c r="AU553" s="1806"/>
      <c r="AV553" s="1517">
        <f t="shared" ref="AV553:AV587" si="330">A553</f>
        <v>0</v>
      </c>
      <c r="AW553" s="1517">
        <f t="shared" ref="AW553:AW587" si="331">B553</f>
        <v>0</v>
      </c>
      <c r="AX553" s="1517">
        <f t="shared" ref="AX553:AX587" si="332">C553</f>
        <v>0</v>
      </c>
      <c r="AY553" s="42">
        <f t="shared" ref="AY553:AY584" si="333">ROUND($AY$6*AZ553/$AZ$5,2)</f>
        <v>0</v>
      </c>
      <c r="AZ553" s="35">
        <f t="shared" ref="AZ553:AZ584" si="334">BA553+BL553</f>
        <v>0</v>
      </c>
      <c r="BA553" s="35">
        <f t="shared" ref="BA553:BA584" si="335">SUM(BB553:BK553)</f>
        <v>0</v>
      </c>
      <c r="BB553" s="35">
        <f t="shared" ref="BB553:BB584" si="336">IF($D553="是",I553-J553,0)</f>
        <v>0</v>
      </c>
      <c r="BC553" s="35">
        <f t="shared" ref="BC553:BC584" si="337">IF($D553="是",K553-L553,0)</f>
        <v>0</v>
      </c>
      <c r="BD553" s="35">
        <f t="shared" ref="BD553:BD584" si="338">IF($D553="是",M553-N553,0)</f>
        <v>0</v>
      </c>
      <c r="BE553" s="35">
        <f t="shared" ref="BE553:BE584" si="339">IF($D553="是",O553-P553,0)</f>
        <v>0</v>
      </c>
      <c r="BF553" s="35">
        <f t="shared" ref="BF553:BF584" si="340">IF($D553="是",Q553-R553,0)</f>
        <v>0</v>
      </c>
      <c r="BG553" s="35">
        <f t="shared" ref="BG553:BG584" si="341">IF($D553="是",S553-T553,0)</f>
        <v>0</v>
      </c>
      <c r="BH553" s="35">
        <f t="shared" ref="BH553:BH584" si="342">IF($D553="是",U553-V553,0)</f>
        <v>0</v>
      </c>
      <c r="BI553" s="35">
        <f t="shared" ref="BI553:BI584" si="343">IF($D553="是",W553-X553,0)</f>
        <v>0</v>
      </c>
      <c r="BJ553" s="35">
        <f t="shared" ref="BJ553:BJ584" si="344">IF($D553="是",Y553-Z553,0)</f>
        <v>0</v>
      </c>
      <c r="BK553" s="35">
        <f t="shared" ref="BK553:BK584" si="345">IF($D553="是",AA553-AB553,0)</f>
        <v>0</v>
      </c>
      <c r="BL553" s="35">
        <f t="shared" ref="BL553:BL584" si="346">SUM(BM553:BT553)</f>
        <v>0</v>
      </c>
      <c r="BM553" s="35">
        <f t="shared" ref="BM553:BM584" si="347">IF($D553="是",AD553-AE553,0)</f>
        <v>0</v>
      </c>
      <c r="BN553" s="35">
        <f t="shared" ref="BN553:BN584" si="348">IF($D553="是",AF553-AG553,0)</f>
        <v>0</v>
      </c>
      <c r="BO553" s="35">
        <f t="shared" ref="BO553:BO584" si="349">IF($D553="是",AH553-AI553,0)</f>
        <v>0</v>
      </c>
      <c r="BP553" s="35">
        <f t="shared" ref="BP553:BP584" si="350">IF($D553="是",AJ553-AK553,0)</f>
        <v>0</v>
      </c>
      <c r="BQ553" s="35">
        <f t="shared" ref="BQ553:BQ584" si="351">IF($D553="是",AL553-AM553,0)</f>
        <v>0</v>
      </c>
      <c r="BR553" s="35">
        <f t="shared" ref="BR553:BR584" si="352">IF($D553="是",AN553-AO553,0)</f>
        <v>0</v>
      </c>
      <c r="BS553" s="35">
        <f t="shared" ref="BS553:BS584" si="353">IF($D553="是",AP553-AQ553,0)</f>
        <v>0</v>
      </c>
      <c r="BT553" s="43">
        <f t="shared" ref="BT553:BT584" si="354">IF($D553="是",AR553-AS553,0)</f>
        <v>0</v>
      </c>
    </row>
    <row r="554" spans="1:72">
      <c r="A554" s="9"/>
      <c r="B554" s="34"/>
      <c r="C554" s="34"/>
      <c r="D554" s="1805"/>
      <c r="E554" s="35">
        <f t="shared" si="326"/>
        <v>0</v>
      </c>
      <c r="F554" s="36"/>
      <c r="G554" s="37">
        <f t="shared" si="327"/>
        <v>0</v>
      </c>
      <c r="H554" s="38">
        <f t="shared" si="328"/>
        <v>0</v>
      </c>
      <c r="I554" s="39"/>
      <c r="J554" s="39"/>
      <c r="K554" s="39"/>
      <c r="L554" s="39"/>
      <c r="M554" s="39"/>
      <c r="N554" s="39"/>
      <c r="O554" s="39"/>
      <c r="P554" s="39"/>
      <c r="Q554" s="39"/>
      <c r="R554" s="39"/>
      <c r="S554" s="39"/>
      <c r="T554" s="39"/>
      <c r="U554" s="39"/>
      <c r="V554" s="39"/>
      <c r="W554" s="39"/>
      <c r="X554" s="39"/>
      <c r="Y554" s="39"/>
      <c r="Z554" s="39"/>
      <c r="AA554" s="39"/>
      <c r="AB554" s="39"/>
      <c r="AC554" s="35">
        <f t="shared" si="329"/>
        <v>0</v>
      </c>
      <c r="AD554" s="40"/>
      <c r="AE554" s="40"/>
      <c r="AF554" s="40"/>
      <c r="AG554" s="40"/>
      <c r="AH554" s="40"/>
      <c r="AI554" s="40"/>
      <c r="AJ554" s="40"/>
      <c r="AK554" s="40"/>
      <c r="AL554" s="40"/>
      <c r="AM554" s="40"/>
      <c r="AN554" s="40"/>
      <c r="AO554" s="40"/>
      <c r="AP554" s="40"/>
      <c r="AQ554" s="40"/>
      <c r="AR554" s="40"/>
      <c r="AS554" s="40"/>
      <c r="AT554" s="41"/>
      <c r="AU554" s="1806"/>
      <c r="AV554" s="1517">
        <f t="shared" si="330"/>
        <v>0</v>
      </c>
      <c r="AW554" s="1517">
        <f t="shared" si="331"/>
        <v>0</v>
      </c>
      <c r="AX554" s="1517">
        <f t="shared" si="332"/>
        <v>0</v>
      </c>
      <c r="AY554" s="42">
        <f t="shared" si="333"/>
        <v>0</v>
      </c>
      <c r="AZ554" s="35">
        <f t="shared" si="334"/>
        <v>0</v>
      </c>
      <c r="BA554" s="35">
        <f t="shared" si="335"/>
        <v>0</v>
      </c>
      <c r="BB554" s="35">
        <f t="shared" si="336"/>
        <v>0</v>
      </c>
      <c r="BC554" s="35">
        <f t="shared" si="337"/>
        <v>0</v>
      </c>
      <c r="BD554" s="35">
        <f t="shared" si="338"/>
        <v>0</v>
      </c>
      <c r="BE554" s="35">
        <f t="shared" si="339"/>
        <v>0</v>
      </c>
      <c r="BF554" s="35">
        <f t="shared" si="340"/>
        <v>0</v>
      </c>
      <c r="BG554" s="35">
        <f t="shared" si="341"/>
        <v>0</v>
      </c>
      <c r="BH554" s="35">
        <f t="shared" si="342"/>
        <v>0</v>
      </c>
      <c r="BI554" s="35">
        <f t="shared" si="343"/>
        <v>0</v>
      </c>
      <c r="BJ554" s="35">
        <f t="shared" si="344"/>
        <v>0</v>
      </c>
      <c r="BK554" s="35">
        <f t="shared" si="345"/>
        <v>0</v>
      </c>
      <c r="BL554" s="35">
        <f t="shared" si="346"/>
        <v>0</v>
      </c>
      <c r="BM554" s="35">
        <f t="shared" si="347"/>
        <v>0</v>
      </c>
      <c r="BN554" s="35">
        <f t="shared" si="348"/>
        <v>0</v>
      </c>
      <c r="BO554" s="35">
        <f t="shared" si="349"/>
        <v>0</v>
      </c>
      <c r="BP554" s="35">
        <f t="shared" si="350"/>
        <v>0</v>
      </c>
      <c r="BQ554" s="35">
        <f t="shared" si="351"/>
        <v>0</v>
      </c>
      <c r="BR554" s="35">
        <f t="shared" si="352"/>
        <v>0</v>
      </c>
      <c r="BS554" s="35">
        <f t="shared" si="353"/>
        <v>0</v>
      </c>
      <c r="BT554" s="43">
        <f t="shared" si="354"/>
        <v>0</v>
      </c>
    </row>
    <row r="555" spans="1:72">
      <c r="A555" s="9"/>
      <c r="B555" s="34"/>
      <c r="C555" s="34"/>
      <c r="D555" s="1805"/>
      <c r="E555" s="35">
        <f t="shared" si="326"/>
        <v>0</v>
      </c>
      <c r="F555" s="36"/>
      <c r="G555" s="37">
        <f t="shared" si="327"/>
        <v>0</v>
      </c>
      <c r="H555" s="38">
        <f t="shared" si="328"/>
        <v>0</v>
      </c>
      <c r="I555" s="39"/>
      <c r="J555" s="39"/>
      <c r="K555" s="39"/>
      <c r="L555" s="39"/>
      <c r="M555" s="39"/>
      <c r="N555" s="39"/>
      <c r="O555" s="39"/>
      <c r="P555" s="39"/>
      <c r="Q555" s="39"/>
      <c r="R555" s="39"/>
      <c r="S555" s="39"/>
      <c r="T555" s="39"/>
      <c r="U555" s="39"/>
      <c r="V555" s="39"/>
      <c r="W555" s="39"/>
      <c r="X555" s="39"/>
      <c r="Y555" s="39"/>
      <c r="Z555" s="39"/>
      <c r="AA555" s="39"/>
      <c r="AB555" s="39"/>
      <c r="AC555" s="35">
        <f t="shared" si="329"/>
        <v>0</v>
      </c>
      <c r="AD555" s="40"/>
      <c r="AE555" s="40"/>
      <c r="AF555" s="40"/>
      <c r="AG555" s="40"/>
      <c r="AH555" s="40"/>
      <c r="AI555" s="40"/>
      <c r="AJ555" s="40"/>
      <c r="AK555" s="40"/>
      <c r="AL555" s="40"/>
      <c r="AM555" s="40"/>
      <c r="AN555" s="40"/>
      <c r="AO555" s="40"/>
      <c r="AP555" s="40"/>
      <c r="AQ555" s="40"/>
      <c r="AR555" s="40"/>
      <c r="AS555" s="40"/>
      <c r="AT555" s="41"/>
      <c r="AU555" s="1806"/>
      <c r="AV555" s="1517">
        <f t="shared" si="330"/>
        <v>0</v>
      </c>
      <c r="AW555" s="1517">
        <f t="shared" si="331"/>
        <v>0</v>
      </c>
      <c r="AX555" s="1517">
        <f t="shared" si="332"/>
        <v>0</v>
      </c>
      <c r="AY555" s="42">
        <f t="shared" si="333"/>
        <v>0</v>
      </c>
      <c r="AZ555" s="35">
        <f t="shared" si="334"/>
        <v>0</v>
      </c>
      <c r="BA555" s="35">
        <f t="shared" si="335"/>
        <v>0</v>
      </c>
      <c r="BB555" s="35">
        <f t="shared" si="336"/>
        <v>0</v>
      </c>
      <c r="BC555" s="35">
        <f t="shared" si="337"/>
        <v>0</v>
      </c>
      <c r="BD555" s="35">
        <f t="shared" si="338"/>
        <v>0</v>
      </c>
      <c r="BE555" s="35">
        <f t="shared" si="339"/>
        <v>0</v>
      </c>
      <c r="BF555" s="35">
        <f t="shared" si="340"/>
        <v>0</v>
      </c>
      <c r="BG555" s="35">
        <f t="shared" si="341"/>
        <v>0</v>
      </c>
      <c r="BH555" s="35">
        <f t="shared" si="342"/>
        <v>0</v>
      </c>
      <c r="BI555" s="35">
        <f t="shared" si="343"/>
        <v>0</v>
      </c>
      <c r="BJ555" s="35">
        <f t="shared" si="344"/>
        <v>0</v>
      </c>
      <c r="BK555" s="35">
        <f t="shared" si="345"/>
        <v>0</v>
      </c>
      <c r="BL555" s="35">
        <f t="shared" si="346"/>
        <v>0</v>
      </c>
      <c r="BM555" s="35">
        <f t="shared" si="347"/>
        <v>0</v>
      </c>
      <c r="BN555" s="35">
        <f t="shared" si="348"/>
        <v>0</v>
      </c>
      <c r="BO555" s="35">
        <f t="shared" si="349"/>
        <v>0</v>
      </c>
      <c r="BP555" s="35">
        <f t="shared" si="350"/>
        <v>0</v>
      </c>
      <c r="BQ555" s="35">
        <f t="shared" si="351"/>
        <v>0</v>
      </c>
      <c r="BR555" s="35">
        <f t="shared" si="352"/>
        <v>0</v>
      </c>
      <c r="BS555" s="35">
        <f t="shared" si="353"/>
        <v>0</v>
      </c>
      <c r="BT555" s="43">
        <f t="shared" si="354"/>
        <v>0</v>
      </c>
    </row>
    <row r="556" spans="1:72">
      <c r="A556" s="9"/>
      <c r="B556" s="34"/>
      <c r="C556" s="34"/>
      <c r="D556" s="1805"/>
      <c r="E556" s="35">
        <f t="shared" si="326"/>
        <v>0</v>
      </c>
      <c r="F556" s="36"/>
      <c r="G556" s="37">
        <f t="shared" si="327"/>
        <v>0</v>
      </c>
      <c r="H556" s="38">
        <f t="shared" si="328"/>
        <v>0</v>
      </c>
      <c r="I556" s="39"/>
      <c r="J556" s="39"/>
      <c r="K556" s="39"/>
      <c r="L556" s="39"/>
      <c r="M556" s="39"/>
      <c r="N556" s="39"/>
      <c r="O556" s="39"/>
      <c r="P556" s="39"/>
      <c r="Q556" s="39"/>
      <c r="R556" s="39"/>
      <c r="S556" s="39"/>
      <c r="T556" s="39"/>
      <c r="U556" s="39"/>
      <c r="V556" s="39"/>
      <c r="W556" s="39"/>
      <c r="X556" s="39"/>
      <c r="Y556" s="39"/>
      <c r="Z556" s="39"/>
      <c r="AA556" s="39"/>
      <c r="AB556" s="39"/>
      <c r="AC556" s="35">
        <f t="shared" si="329"/>
        <v>0</v>
      </c>
      <c r="AD556" s="40"/>
      <c r="AE556" s="40"/>
      <c r="AF556" s="40"/>
      <c r="AG556" s="40"/>
      <c r="AH556" s="40"/>
      <c r="AI556" s="40"/>
      <c r="AJ556" s="40"/>
      <c r="AK556" s="40"/>
      <c r="AL556" s="40"/>
      <c r="AM556" s="40"/>
      <c r="AN556" s="40"/>
      <c r="AO556" s="40"/>
      <c r="AP556" s="40"/>
      <c r="AQ556" s="40"/>
      <c r="AR556" s="40"/>
      <c r="AS556" s="40"/>
      <c r="AT556" s="41"/>
      <c r="AU556" s="1806"/>
      <c r="AV556" s="1517">
        <f t="shared" si="330"/>
        <v>0</v>
      </c>
      <c r="AW556" s="1517">
        <f t="shared" si="331"/>
        <v>0</v>
      </c>
      <c r="AX556" s="1517">
        <f t="shared" si="332"/>
        <v>0</v>
      </c>
      <c r="AY556" s="42">
        <f t="shared" si="333"/>
        <v>0</v>
      </c>
      <c r="AZ556" s="35">
        <f t="shared" si="334"/>
        <v>0</v>
      </c>
      <c r="BA556" s="35">
        <f t="shared" si="335"/>
        <v>0</v>
      </c>
      <c r="BB556" s="35">
        <f t="shared" si="336"/>
        <v>0</v>
      </c>
      <c r="BC556" s="35">
        <f t="shared" si="337"/>
        <v>0</v>
      </c>
      <c r="BD556" s="35">
        <f t="shared" si="338"/>
        <v>0</v>
      </c>
      <c r="BE556" s="35">
        <f t="shared" si="339"/>
        <v>0</v>
      </c>
      <c r="BF556" s="35">
        <f t="shared" si="340"/>
        <v>0</v>
      </c>
      <c r="BG556" s="35">
        <f t="shared" si="341"/>
        <v>0</v>
      </c>
      <c r="BH556" s="35">
        <f t="shared" si="342"/>
        <v>0</v>
      </c>
      <c r="BI556" s="35">
        <f t="shared" si="343"/>
        <v>0</v>
      </c>
      <c r="BJ556" s="35">
        <f t="shared" si="344"/>
        <v>0</v>
      </c>
      <c r="BK556" s="35">
        <f t="shared" si="345"/>
        <v>0</v>
      </c>
      <c r="BL556" s="35">
        <f t="shared" si="346"/>
        <v>0</v>
      </c>
      <c r="BM556" s="35">
        <f t="shared" si="347"/>
        <v>0</v>
      </c>
      <c r="BN556" s="35">
        <f t="shared" si="348"/>
        <v>0</v>
      </c>
      <c r="BO556" s="35">
        <f t="shared" si="349"/>
        <v>0</v>
      </c>
      <c r="BP556" s="35">
        <f t="shared" si="350"/>
        <v>0</v>
      </c>
      <c r="BQ556" s="35">
        <f t="shared" si="351"/>
        <v>0</v>
      </c>
      <c r="BR556" s="35">
        <f t="shared" si="352"/>
        <v>0</v>
      </c>
      <c r="BS556" s="35">
        <f t="shared" si="353"/>
        <v>0</v>
      </c>
      <c r="BT556" s="43">
        <f t="shared" si="354"/>
        <v>0</v>
      </c>
    </row>
    <row r="557" spans="1:72">
      <c r="A557" s="9"/>
      <c r="B557" s="34"/>
      <c r="C557" s="34"/>
      <c r="D557" s="1805"/>
      <c r="E557" s="35">
        <f t="shared" si="326"/>
        <v>0</v>
      </c>
      <c r="F557" s="36"/>
      <c r="G557" s="37">
        <f t="shared" si="327"/>
        <v>0</v>
      </c>
      <c r="H557" s="38">
        <f t="shared" si="328"/>
        <v>0</v>
      </c>
      <c r="I557" s="39"/>
      <c r="J557" s="39"/>
      <c r="K557" s="39"/>
      <c r="L557" s="39"/>
      <c r="M557" s="39"/>
      <c r="N557" s="39"/>
      <c r="O557" s="39"/>
      <c r="P557" s="39"/>
      <c r="Q557" s="39"/>
      <c r="R557" s="39"/>
      <c r="S557" s="39"/>
      <c r="T557" s="39"/>
      <c r="U557" s="39"/>
      <c r="V557" s="39"/>
      <c r="W557" s="39"/>
      <c r="X557" s="39"/>
      <c r="Y557" s="39"/>
      <c r="Z557" s="39"/>
      <c r="AA557" s="39"/>
      <c r="AB557" s="39"/>
      <c r="AC557" s="35">
        <f t="shared" si="329"/>
        <v>0</v>
      </c>
      <c r="AD557" s="40"/>
      <c r="AE557" s="40"/>
      <c r="AF557" s="40"/>
      <c r="AG557" s="40"/>
      <c r="AH557" s="40"/>
      <c r="AI557" s="40"/>
      <c r="AJ557" s="40"/>
      <c r="AK557" s="40"/>
      <c r="AL557" s="40"/>
      <c r="AM557" s="40"/>
      <c r="AN557" s="40"/>
      <c r="AO557" s="40"/>
      <c r="AP557" s="40"/>
      <c r="AQ557" s="40"/>
      <c r="AR557" s="40"/>
      <c r="AS557" s="40"/>
      <c r="AT557" s="41"/>
      <c r="AU557" s="1806"/>
      <c r="AV557" s="1517">
        <f t="shared" si="330"/>
        <v>0</v>
      </c>
      <c r="AW557" s="1517">
        <f t="shared" si="331"/>
        <v>0</v>
      </c>
      <c r="AX557" s="1517">
        <f t="shared" si="332"/>
        <v>0</v>
      </c>
      <c r="AY557" s="42">
        <f t="shared" si="333"/>
        <v>0</v>
      </c>
      <c r="AZ557" s="35">
        <f t="shared" si="334"/>
        <v>0</v>
      </c>
      <c r="BA557" s="35">
        <f t="shared" si="335"/>
        <v>0</v>
      </c>
      <c r="BB557" s="35">
        <f t="shared" si="336"/>
        <v>0</v>
      </c>
      <c r="BC557" s="35">
        <f t="shared" si="337"/>
        <v>0</v>
      </c>
      <c r="BD557" s="35">
        <f t="shared" si="338"/>
        <v>0</v>
      </c>
      <c r="BE557" s="35">
        <f t="shared" si="339"/>
        <v>0</v>
      </c>
      <c r="BF557" s="35">
        <f t="shared" si="340"/>
        <v>0</v>
      </c>
      <c r="BG557" s="35">
        <f t="shared" si="341"/>
        <v>0</v>
      </c>
      <c r="BH557" s="35">
        <f t="shared" si="342"/>
        <v>0</v>
      </c>
      <c r="BI557" s="35">
        <f t="shared" si="343"/>
        <v>0</v>
      </c>
      <c r="BJ557" s="35">
        <f t="shared" si="344"/>
        <v>0</v>
      </c>
      <c r="BK557" s="35">
        <f t="shared" si="345"/>
        <v>0</v>
      </c>
      <c r="BL557" s="35">
        <f t="shared" si="346"/>
        <v>0</v>
      </c>
      <c r="BM557" s="35">
        <f t="shared" si="347"/>
        <v>0</v>
      </c>
      <c r="BN557" s="35">
        <f t="shared" si="348"/>
        <v>0</v>
      </c>
      <c r="BO557" s="35">
        <f t="shared" si="349"/>
        <v>0</v>
      </c>
      <c r="BP557" s="35">
        <f t="shared" si="350"/>
        <v>0</v>
      </c>
      <c r="BQ557" s="35">
        <f t="shared" si="351"/>
        <v>0</v>
      </c>
      <c r="BR557" s="35">
        <f t="shared" si="352"/>
        <v>0</v>
      </c>
      <c r="BS557" s="35">
        <f t="shared" si="353"/>
        <v>0</v>
      </c>
      <c r="BT557" s="43">
        <f t="shared" si="354"/>
        <v>0</v>
      </c>
    </row>
    <row r="558" spans="1:72">
      <c r="A558" s="9"/>
      <c r="B558" s="34"/>
      <c r="C558" s="34"/>
      <c r="D558" s="1805"/>
      <c r="E558" s="35">
        <f t="shared" si="326"/>
        <v>0</v>
      </c>
      <c r="F558" s="36"/>
      <c r="G558" s="37">
        <f t="shared" si="327"/>
        <v>0</v>
      </c>
      <c r="H558" s="38">
        <f t="shared" si="328"/>
        <v>0</v>
      </c>
      <c r="I558" s="39"/>
      <c r="J558" s="39"/>
      <c r="K558" s="39"/>
      <c r="L558" s="39"/>
      <c r="M558" s="39"/>
      <c r="N558" s="39"/>
      <c r="O558" s="39"/>
      <c r="P558" s="39"/>
      <c r="Q558" s="39"/>
      <c r="R558" s="39"/>
      <c r="S558" s="39"/>
      <c r="T558" s="39"/>
      <c r="U558" s="39"/>
      <c r="V558" s="39"/>
      <c r="W558" s="39"/>
      <c r="X558" s="39"/>
      <c r="Y558" s="39"/>
      <c r="Z558" s="39"/>
      <c r="AA558" s="39"/>
      <c r="AB558" s="39"/>
      <c r="AC558" s="35">
        <f t="shared" si="329"/>
        <v>0</v>
      </c>
      <c r="AD558" s="40"/>
      <c r="AE558" s="40"/>
      <c r="AF558" s="40"/>
      <c r="AG558" s="40"/>
      <c r="AH558" s="40"/>
      <c r="AI558" s="40"/>
      <c r="AJ558" s="40"/>
      <c r="AK558" s="40"/>
      <c r="AL558" s="40"/>
      <c r="AM558" s="40"/>
      <c r="AN558" s="40"/>
      <c r="AO558" s="40"/>
      <c r="AP558" s="40"/>
      <c r="AQ558" s="40"/>
      <c r="AR558" s="40"/>
      <c r="AS558" s="40"/>
      <c r="AT558" s="41"/>
      <c r="AU558" s="1806"/>
      <c r="AV558" s="1517">
        <f t="shared" si="330"/>
        <v>0</v>
      </c>
      <c r="AW558" s="1517">
        <f t="shared" si="331"/>
        <v>0</v>
      </c>
      <c r="AX558" s="1517">
        <f t="shared" si="332"/>
        <v>0</v>
      </c>
      <c r="AY558" s="42">
        <f t="shared" si="333"/>
        <v>0</v>
      </c>
      <c r="AZ558" s="35">
        <f t="shared" si="334"/>
        <v>0</v>
      </c>
      <c r="BA558" s="35">
        <f t="shared" si="335"/>
        <v>0</v>
      </c>
      <c r="BB558" s="35">
        <f t="shared" si="336"/>
        <v>0</v>
      </c>
      <c r="BC558" s="35">
        <f t="shared" si="337"/>
        <v>0</v>
      </c>
      <c r="BD558" s="35">
        <f t="shared" si="338"/>
        <v>0</v>
      </c>
      <c r="BE558" s="35">
        <f t="shared" si="339"/>
        <v>0</v>
      </c>
      <c r="BF558" s="35">
        <f t="shared" si="340"/>
        <v>0</v>
      </c>
      <c r="BG558" s="35">
        <f t="shared" si="341"/>
        <v>0</v>
      </c>
      <c r="BH558" s="35">
        <f t="shared" si="342"/>
        <v>0</v>
      </c>
      <c r="BI558" s="35">
        <f t="shared" si="343"/>
        <v>0</v>
      </c>
      <c r="BJ558" s="35">
        <f t="shared" si="344"/>
        <v>0</v>
      </c>
      <c r="BK558" s="35">
        <f t="shared" si="345"/>
        <v>0</v>
      </c>
      <c r="BL558" s="35">
        <f t="shared" si="346"/>
        <v>0</v>
      </c>
      <c r="BM558" s="35">
        <f t="shared" si="347"/>
        <v>0</v>
      </c>
      <c r="BN558" s="35">
        <f t="shared" si="348"/>
        <v>0</v>
      </c>
      <c r="BO558" s="35">
        <f t="shared" si="349"/>
        <v>0</v>
      </c>
      <c r="BP558" s="35">
        <f t="shared" si="350"/>
        <v>0</v>
      </c>
      <c r="BQ558" s="35">
        <f t="shared" si="351"/>
        <v>0</v>
      </c>
      <c r="BR558" s="35">
        <f t="shared" si="352"/>
        <v>0</v>
      </c>
      <c r="BS558" s="35">
        <f t="shared" si="353"/>
        <v>0</v>
      </c>
      <c r="BT558" s="43">
        <f t="shared" si="354"/>
        <v>0</v>
      </c>
    </row>
    <row r="559" spans="1:72">
      <c r="A559" s="9"/>
      <c r="B559" s="34"/>
      <c r="C559" s="34"/>
      <c r="D559" s="1805"/>
      <c r="E559" s="35">
        <f t="shared" si="326"/>
        <v>0</v>
      </c>
      <c r="F559" s="36"/>
      <c r="G559" s="37">
        <f t="shared" si="327"/>
        <v>0</v>
      </c>
      <c r="H559" s="38">
        <f t="shared" si="328"/>
        <v>0</v>
      </c>
      <c r="I559" s="39"/>
      <c r="J559" s="39"/>
      <c r="K559" s="39"/>
      <c r="L559" s="39"/>
      <c r="M559" s="39"/>
      <c r="N559" s="39"/>
      <c r="O559" s="39"/>
      <c r="P559" s="39"/>
      <c r="Q559" s="39"/>
      <c r="R559" s="39"/>
      <c r="S559" s="39"/>
      <c r="T559" s="39"/>
      <c r="U559" s="39"/>
      <c r="V559" s="39"/>
      <c r="W559" s="39"/>
      <c r="X559" s="39"/>
      <c r="Y559" s="39"/>
      <c r="Z559" s="39"/>
      <c r="AA559" s="39"/>
      <c r="AB559" s="39"/>
      <c r="AC559" s="35">
        <f t="shared" si="329"/>
        <v>0</v>
      </c>
      <c r="AD559" s="40"/>
      <c r="AE559" s="40"/>
      <c r="AF559" s="40"/>
      <c r="AG559" s="40"/>
      <c r="AH559" s="40"/>
      <c r="AI559" s="40"/>
      <c r="AJ559" s="40"/>
      <c r="AK559" s="40"/>
      <c r="AL559" s="40"/>
      <c r="AM559" s="40"/>
      <c r="AN559" s="40"/>
      <c r="AO559" s="40"/>
      <c r="AP559" s="40"/>
      <c r="AQ559" s="40"/>
      <c r="AR559" s="40"/>
      <c r="AS559" s="40"/>
      <c r="AT559" s="41"/>
      <c r="AU559" s="1806"/>
      <c r="AV559" s="1517">
        <f t="shared" si="330"/>
        <v>0</v>
      </c>
      <c r="AW559" s="1517">
        <f t="shared" si="331"/>
        <v>0</v>
      </c>
      <c r="AX559" s="1517">
        <f t="shared" si="332"/>
        <v>0</v>
      </c>
      <c r="AY559" s="42">
        <f t="shared" si="333"/>
        <v>0</v>
      </c>
      <c r="AZ559" s="35">
        <f t="shared" si="334"/>
        <v>0</v>
      </c>
      <c r="BA559" s="35">
        <f t="shared" si="335"/>
        <v>0</v>
      </c>
      <c r="BB559" s="35">
        <f t="shared" si="336"/>
        <v>0</v>
      </c>
      <c r="BC559" s="35">
        <f t="shared" si="337"/>
        <v>0</v>
      </c>
      <c r="BD559" s="35">
        <f t="shared" si="338"/>
        <v>0</v>
      </c>
      <c r="BE559" s="35">
        <f t="shared" si="339"/>
        <v>0</v>
      </c>
      <c r="BF559" s="35">
        <f t="shared" si="340"/>
        <v>0</v>
      </c>
      <c r="BG559" s="35">
        <f t="shared" si="341"/>
        <v>0</v>
      </c>
      <c r="BH559" s="35">
        <f t="shared" si="342"/>
        <v>0</v>
      </c>
      <c r="BI559" s="35">
        <f t="shared" si="343"/>
        <v>0</v>
      </c>
      <c r="BJ559" s="35">
        <f t="shared" si="344"/>
        <v>0</v>
      </c>
      <c r="BK559" s="35">
        <f t="shared" si="345"/>
        <v>0</v>
      </c>
      <c r="BL559" s="35">
        <f t="shared" si="346"/>
        <v>0</v>
      </c>
      <c r="BM559" s="35">
        <f t="shared" si="347"/>
        <v>0</v>
      </c>
      <c r="BN559" s="35">
        <f t="shared" si="348"/>
        <v>0</v>
      </c>
      <c r="BO559" s="35">
        <f t="shared" si="349"/>
        <v>0</v>
      </c>
      <c r="BP559" s="35">
        <f t="shared" si="350"/>
        <v>0</v>
      </c>
      <c r="BQ559" s="35">
        <f t="shared" si="351"/>
        <v>0</v>
      </c>
      <c r="BR559" s="35">
        <f t="shared" si="352"/>
        <v>0</v>
      </c>
      <c r="BS559" s="35">
        <f t="shared" si="353"/>
        <v>0</v>
      </c>
      <c r="BT559" s="43">
        <f t="shared" si="354"/>
        <v>0</v>
      </c>
    </row>
    <row r="560" spans="1:72">
      <c r="A560" s="9"/>
      <c r="B560" s="34"/>
      <c r="C560" s="34"/>
      <c r="D560" s="1805"/>
      <c r="E560" s="35">
        <f t="shared" si="326"/>
        <v>0</v>
      </c>
      <c r="F560" s="36"/>
      <c r="G560" s="37">
        <f t="shared" si="327"/>
        <v>0</v>
      </c>
      <c r="H560" s="38">
        <f t="shared" si="328"/>
        <v>0</v>
      </c>
      <c r="I560" s="39"/>
      <c r="J560" s="39"/>
      <c r="K560" s="39"/>
      <c r="L560" s="39"/>
      <c r="M560" s="39"/>
      <c r="N560" s="39"/>
      <c r="O560" s="39"/>
      <c r="P560" s="39"/>
      <c r="Q560" s="39"/>
      <c r="R560" s="39"/>
      <c r="S560" s="39"/>
      <c r="T560" s="39"/>
      <c r="U560" s="39"/>
      <c r="V560" s="39"/>
      <c r="W560" s="39"/>
      <c r="X560" s="39"/>
      <c r="Y560" s="39"/>
      <c r="Z560" s="39"/>
      <c r="AA560" s="39"/>
      <c r="AB560" s="39"/>
      <c r="AC560" s="35">
        <f t="shared" si="329"/>
        <v>0</v>
      </c>
      <c r="AD560" s="40"/>
      <c r="AE560" s="40"/>
      <c r="AF560" s="40"/>
      <c r="AG560" s="40"/>
      <c r="AH560" s="40"/>
      <c r="AI560" s="40"/>
      <c r="AJ560" s="40"/>
      <c r="AK560" s="40"/>
      <c r="AL560" s="40"/>
      <c r="AM560" s="40"/>
      <c r="AN560" s="40"/>
      <c r="AO560" s="40"/>
      <c r="AP560" s="40"/>
      <c r="AQ560" s="40"/>
      <c r="AR560" s="40"/>
      <c r="AS560" s="40"/>
      <c r="AT560" s="41"/>
      <c r="AU560" s="1806"/>
      <c r="AV560" s="1517">
        <f t="shared" si="330"/>
        <v>0</v>
      </c>
      <c r="AW560" s="1517">
        <f t="shared" si="331"/>
        <v>0</v>
      </c>
      <c r="AX560" s="1517">
        <f t="shared" si="332"/>
        <v>0</v>
      </c>
      <c r="AY560" s="42">
        <f t="shared" si="333"/>
        <v>0</v>
      </c>
      <c r="AZ560" s="35">
        <f t="shared" si="334"/>
        <v>0</v>
      </c>
      <c r="BA560" s="35">
        <f t="shared" si="335"/>
        <v>0</v>
      </c>
      <c r="BB560" s="35">
        <f t="shared" si="336"/>
        <v>0</v>
      </c>
      <c r="BC560" s="35">
        <f t="shared" si="337"/>
        <v>0</v>
      </c>
      <c r="BD560" s="35">
        <f t="shared" si="338"/>
        <v>0</v>
      </c>
      <c r="BE560" s="35">
        <f t="shared" si="339"/>
        <v>0</v>
      </c>
      <c r="BF560" s="35">
        <f t="shared" si="340"/>
        <v>0</v>
      </c>
      <c r="BG560" s="35">
        <f t="shared" si="341"/>
        <v>0</v>
      </c>
      <c r="BH560" s="35">
        <f t="shared" si="342"/>
        <v>0</v>
      </c>
      <c r="BI560" s="35">
        <f t="shared" si="343"/>
        <v>0</v>
      </c>
      <c r="BJ560" s="35">
        <f t="shared" si="344"/>
        <v>0</v>
      </c>
      <c r="BK560" s="35">
        <f t="shared" si="345"/>
        <v>0</v>
      </c>
      <c r="BL560" s="35">
        <f t="shared" si="346"/>
        <v>0</v>
      </c>
      <c r="BM560" s="35">
        <f t="shared" si="347"/>
        <v>0</v>
      </c>
      <c r="BN560" s="35">
        <f t="shared" si="348"/>
        <v>0</v>
      </c>
      <c r="BO560" s="35">
        <f t="shared" si="349"/>
        <v>0</v>
      </c>
      <c r="BP560" s="35">
        <f t="shared" si="350"/>
        <v>0</v>
      </c>
      <c r="BQ560" s="35">
        <f t="shared" si="351"/>
        <v>0</v>
      </c>
      <c r="BR560" s="35">
        <f t="shared" si="352"/>
        <v>0</v>
      </c>
      <c r="BS560" s="35">
        <f t="shared" si="353"/>
        <v>0</v>
      </c>
      <c r="BT560" s="43">
        <f t="shared" si="354"/>
        <v>0</v>
      </c>
    </row>
    <row r="561" spans="1:72">
      <c r="A561" s="9"/>
      <c r="B561" s="34"/>
      <c r="C561" s="34"/>
      <c r="D561" s="1805"/>
      <c r="E561" s="35">
        <f t="shared" si="326"/>
        <v>0</v>
      </c>
      <c r="F561" s="36"/>
      <c r="G561" s="37">
        <f t="shared" si="327"/>
        <v>0</v>
      </c>
      <c r="H561" s="38">
        <f t="shared" si="328"/>
        <v>0</v>
      </c>
      <c r="I561" s="39"/>
      <c r="J561" s="39"/>
      <c r="K561" s="39"/>
      <c r="L561" s="39"/>
      <c r="M561" s="39"/>
      <c r="N561" s="39"/>
      <c r="O561" s="39"/>
      <c r="P561" s="39"/>
      <c r="Q561" s="39"/>
      <c r="R561" s="39"/>
      <c r="S561" s="39"/>
      <c r="T561" s="39"/>
      <c r="U561" s="39"/>
      <c r="V561" s="39"/>
      <c r="W561" s="39"/>
      <c r="X561" s="39"/>
      <c r="Y561" s="39"/>
      <c r="Z561" s="39"/>
      <c r="AA561" s="39"/>
      <c r="AB561" s="39"/>
      <c r="AC561" s="35">
        <f t="shared" si="329"/>
        <v>0</v>
      </c>
      <c r="AD561" s="40"/>
      <c r="AE561" s="40"/>
      <c r="AF561" s="40"/>
      <c r="AG561" s="40"/>
      <c r="AH561" s="40"/>
      <c r="AI561" s="40"/>
      <c r="AJ561" s="40"/>
      <c r="AK561" s="40"/>
      <c r="AL561" s="40"/>
      <c r="AM561" s="40"/>
      <c r="AN561" s="40"/>
      <c r="AO561" s="40"/>
      <c r="AP561" s="40"/>
      <c r="AQ561" s="40"/>
      <c r="AR561" s="40"/>
      <c r="AS561" s="40"/>
      <c r="AT561" s="41"/>
      <c r="AU561" s="1806"/>
      <c r="AV561" s="1517">
        <f t="shared" si="330"/>
        <v>0</v>
      </c>
      <c r="AW561" s="1517">
        <f t="shared" si="331"/>
        <v>0</v>
      </c>
      <c r="AX561" s="1517">
        <f t="shared" si="332"/>
        <v>0</v>
      </c>
      <c r="AY561" s="42">
        <f t="shared" si="333"/>
        <v>0</v>
      </c>
      <c r="AZ561" s="35">
        <f t="shared" si="334"/>
        <v>0</v>
      </c>
      <c r="BA561" s="35">
        <f t="shared" si="335"/>
        <v>0</v>
      </c>
      <c r="BB561" s="35">
        <f t="shared" si="336"/>
        <v>0</v>
      </c>
      <c r="BC561" s="35">
        <f t="shared" si="337"/>
        <v>0</v>
      </c>
      <c r="BD561" s="35">
        <f t="shared" si="338"/>
        <v>0</v>
      </c>
      <c r="BE561" s="35">
        <f t="shared" si="339"/>
        <v>0</v>
      </c>
      <c r="BF561" s="35">
        <f t="shared" si="340"/>
        <v>0</v>
      </c>
      <c r="BG561" s="35">
        <f t="shared" si="341"/>
        <v>0</v>
      </c>
      <c r="BH561" s="35">
        <f t="shared" si="342"/>
        <v>0</v>
      </c>
      <c r="BI561" s="35">
        <f t="shared" si="343"/>
        <v>0</v>
      </c>
      <c r="BJ561" s="35">
        <f t="shared" si="344"/>
        <v>0</v>
      </c>
      <c r="BK561" s="35">
        <f t="shared" si="345"/>
        <v>0</v>
      </c>
      <c r="BL561" s="35">
        <f t="shared" si="346"/>
        <v>0</v>
      </c>
      <c r="BM561" s="35">
        <f t="shared" si="347"/>
        <v>0</v>
      </c>
      <c r="BN561" s="35">
        <f t="shared" si="348"/>
        <v>0</v>
      </c>
      <c r="BO561" s="35">
        <f t="shared" si="349"/>
        <v>0</v>
      </c>
      <c r="BP561" s="35">
        <f t="shared" si="350"/>
        <v>0</v>
      </c>
      <c r="BQ561" s="35">
        <f t="shared" si="351"/>
        <v>0</v>
      </c>
      <c r="BR561" s="35">
        <f t="shared" si="352"/>
        <v>0</v>
      </c>
      <c r="BS561" s="35">
        <f t="shared" si="353"/>
        <v>0</v>
      </c>
      <c r="BT561" s="43">
        <f t="shared" si="354"/>
        <v>0</v>
      </c>
    </row>
    <row r="562" spans="1:72">
      <c r="A562" s="9"/>
      <c r="B562" s="34"/>
      <c r="C562" s="34"/>
      <c r="D562" s="1805"/>
      <c r="E562" s="35">
        <f t="shared" si="326"/>
        <v>0</v>
      </c>
      <c r="F562" s="36"/>
      <c r="G562" s="37">
        <f t="shared" si="327"/>
        <v>0</v>
      </c>
      <c r="H562" s="38">
        <f t="shared" si="328"/>
        <v>0</v>
      </c>
      <c r="I562" s="39"/>
      <c r="J562" s="39"/>
      <c r="K562" s="39"/>
      <c r="L562" s="39"/>
      <c r="M562" s="39"/>
      <c r="N562" s="39"/>
      <c r="O562" s="39"/>
      <c r="P562" s="39"/>
      <c r="Q562" s="39"/>
      <c r="R562" s="39"/>
      <c r="S562" s="39"/>
      <c r="T562" s="39"/>
      <c r="U562" s="39"/>
      <c r="V562" s="39"/>
      <c r="W562" s="39"/>
      <c r="X562" s="39"/>
      <c r="Y562" s="39"/>
      <c r="Z562" s="39"/>
      <c r="AA562" s="39"/>
      <c r="AB562" s="39"/>
      <c r="AC562" s="35">
        <f t="shared" si="329"/>
        <v>0</v>
      </c>
      <c r="AD562" s="40"/>
      <c r="AE562" s="40"/>
      <c r="AF562" s="40"/>
      <c r="AG562" s="40"/>
      <c r="AH562" s="40"/>
      <c r="AI562" s="40"/>
      <c r="AJ562" s="40"/>
      <c r="AK562" s="40"/>
      <c r="AL562" s="40"/>
      <c r="AM562" s="40"/>
      <c r="AN562" s="40"/>
      <c r="AO562" s="40"/>
      <c r="AP562" s="40"/>
      <c r="AQ562" s="40"/>
      <c r="AR562" s="40"/>
      <c r="AS562" s="40"/>
      <c r="AT562" s="41"/>
      <c r="AU562" s="1806"/>
      <c r="AV562" s="1517">
        <f t="shared" si="330"/>
        <v>0</v>
      </c>
      <c r="AW562" s="1517">
        <f t="shared" si="331"/>
        <v>0</v>
      </c>
      <c r="AX562" s="1517">
        <f t="shared" si="332"/>
        <v>0</v>
      </c>
      <c r="AY562" s="42">
        <f t="shared" si="333"/>
        <v>0</v>
      </c>
      <c r="AZ562" s="35">
        <f t="shared" si="334"/>
        <v>0</v>
      </c>
      <c r="BA562" s="35">
        <f t="shared" si="335"/>
        <v>0</v>
      </c>
      <c r="BB562" s="35">
        <f t="shared" si="336"/>
        <v>0</v>
      </c>
      <c r="BC562" s="35">
        <f t="shared" si="337"/>
        <v>0</v>
      </c>
      <c r="BD562" s="35">
        <f t="shared" si="338"/>
        <v>0</v>
      </c>
      <c r="BE562" s="35">
        <f t="shared" si="339"/>
        <v>0</v>
      </c>
      <c r="BF562" s="35">
        <f t="shared" si="340"/>
        <v>0</v>
      </c>
      <c r="BG562" s="35">
        <f t="shared" si="341"/>
        <v>0</v>
      </c>
      <c r="BH562" s="35">
        <f t="shared" si="342"/>
        <v>0</v>
      </c>
      <c r="BI562" s="35">
        <f t="shared" si="343"/>
        <v>0</v>
      </c>
      <c r="BJ562" s="35">
        <f t="shared" si="344"/>
        <v>0</v>
      </c>
      <c r="BK562" s="35">
        <f t="shared" si="345"/>
        <v>0</v>
      </c>
      <c r="BL562" s="35">
        <f t="shared" si="346"/>
        <v>0</v>
      </c>
      <c r="BM562" s="35">
        <f t="shared" si="347"/>
        <v>0</v>
      </c>
      <c r="BN562" s="35">
        <f t="shared" si="348"/>
        <v>0</v>
      </c>
      <c r="BO562" s="35">
        <f t="shared" si="349"/>
        <v>0</v>
      </c>
      <c r="BP562" s="35">
        <f t="shared" si="350"/>
        <v>0</v>
      </c>
      <c r="BQ562" s="35">
        <f t="shared" si="351"/>
        <v>0</v>
      </c>
      <c r="BR562" s="35">
        <f t="shared" si="352"/>
        <v>0</v>
      </c>
      <c r="BS562" s="35">
        <f t="shared" si="353"/>
        <v>0</v>
      </c>
      <c r="BT562" s="43">
        <f t="shared" si="354"/>
        <v>0</v>
      </c>
    </row>
    <row r="563" spans="1:72">
      <c r="A563" s="9"/>
      <c r="B563" s="34"/>
      <c r="C563" s="34"/>
      <c r="D563" s="1805"/>
      <c r="E563" s="35">
        <f t="shared" si="326"/>
        <v>0</v>
      </c>
      <c r="F563" s="36"/>
      <c r="G563" s="37">
        <f t="shared" si="327"/>
        <v>0</v>
      </c>
      <c r="H563" s="38">
        <f t="shared" si="328"/>
        <v>0</v>
      </c>
      <c r="I563" s="39"/>
      <c r="J563" s="39"/>
      <c r="K563" s="39"/>
      <c r="L563" s="39"/>
      <c r="M563" s="39"/>
      <c r="N563" s="39"/>
      <c r="O563" s="39"/>
      <c r="P563" s="39"/>
      <c r="Q563" s="39"/>
      <c r="R563" s="39"/>
      <c r="S563" s="39"/>
      <c r="T563" s="39"/>
      <c r="U563" s="39"/>
      <c r="V563" s="39"/>
      <c r="W563" s="39"/>
      <c r="X563" s="39"/>
      <c r="Y563" s="39"/>
      <c r="Z563" s="39"/>
      <c r="AA563" s="39"/>
      <c r="AB563" s="39"/>
      <c r="AC563" s="35">
        <f t="shared" si="329"/>
        <v>0</v>
      </c>
      <c r="AD563" s="40"/>
      <c r="AE563" s="40"/>
      <c r="AF563" s="40"/>
      <c r="AG563" s="40"/>
      <c r="AH563" s="40"/>
      <c r="AI563" s="40"/>
      <c r="AJ563" s="40"/>
      <c r="AK563" s="40"/>
      <c r="AL563" s="40"/>
      <c r="AM563" s="40"/>
      <c r="AN563" s="40"/>
      <c r="AO563" s="40"/>
      <c r="AP563" s="40"/>
      <c r="AQ563" s="40"/>
      <c r="AR563" s="40"/>
      <c r="AS563" s="40"/>
      <c r="AT563" s="41"/>
      <c r="AU563" s="1806"/>
      <c r="AV563" s="1517">
        <f t="shared" si="330"/>
        <v>0</v>
      </c>
      <c r="AW563" s="1517">
        <f t="shared" si="331"/>
        <v>0</v>
      </c>
      <c r="AX563" s="1517">
        <f t="shared" si="332"/>
        <v>0</v>
      </c>
      <c r="AY563" s="42">
        <f t="shared" si="333"/>
        <v>0</v>
      </c>
      <c r="AZ563" s="35">
        <f t="shared" si="334"/>
        <v>0</v>
      </c>
      <c r="BA563" s="35">
        <f t="shared" si="335"/>
        <v>0</v>
      </c>
      <c r="BB563" s="35">
        <f t="shared" si="336"/>
        <v>0</v>
      </c>
      <c r="BC563" s="35">
        <f t="shared" si="337"/>
        <v>0</v>
      </c>
      <c r="BD563" s="35">
        <f t="shared" si="338"/>
        <v>0</v>
      </c>
      <c r="BE563" s="35">
        <f t="shared" si="339"/>
        <v>0</v>
      </c>
      <c r="BF563" s="35">
        <f t="shared" si="340"/>
        <v>0</v>
      </c>
      <c r="BG563" s="35">
        <f t="shared" si="341"/>
        <v>0</v>
      </c>
      <c r="BH563" s="35">
        <f t="shared" si="342"/>
        <v>0</v>
      </c>
      <c r="BI563" s="35">
        <f t="shared" si="343"/>
        <v>0</v>
      </c>
      <c r="BJ563" s="35">
        <f t="shared" si="344"/>
        <v>0</v>
      </c>
      <c r="BK563" s="35">
        <f t="shared" si="345"/>
        <v>0</v>
      </c>
      <c r="BL563" s="35">
        <f t="shared" si="346"/>
        <v>0</v>
      </c>
      <c r="BM563" s="35">
        <f t="shared" si="347"/>
        <v>0</v>
      </c>
      <c r="BN563" s="35">
        <f t="shared" si="348"/>
        <v>0</v>
      </c>
      <c r="BO563" s="35">
        <f t="shared" si="349"/>
        <v>0</v>
      </c>
      <c r="BP563" s="35">
        <f t="shared" si="350"/>
        <v>0</v>
      </c>
      <c r="BQ563" s="35">
        <f t="shared" si="351"/>
        <v>0</v>
      </c>
      <c r="BR563" s="35">
        <f t="shared" si="352"/>
        <v>0</v>
      </c>
      <c r="BS563" s="35">
        <f t="shared" si="353"/>
        <v>0</v>
      </c>
      <c r="BT563" s="43">
        <f t="shared" si="354"/>
        <v>0</v>
      </c>
    </row>
    <row r="564" spans="1:72">
      <c r="A564" s="9"/>
      <c r="B564" s="34"/>
      <c r="C564" s="34"/>
      <c r="D564" s="1805"/>
      <c r="E564" s="35">
        <f t="shared" si="326"/>
        <v>0</v>
      </c>
      <c r="F564" s="36"/>
      <c r="G564" s="37">
        <f t="shared" si="327"/>
        <v>0</v>
      </c>
      <c r="H564" s="38">
        <f t="shared" si="328"/>
        <v>0</v>
      </c>
      <c r="I564" s="39"/>
      <c r="J564" s="39"/>
      <c r="K564" s="39"/>
      <c r="L564" s="39"/>
      <c r="M564" s="39"/>
      <c r="N564" s="39"/>
      <c r="O564" s="39"/>
      <c r="P564" s="39"/>
      <c r="Q564" s="39"/>
      <c r="R564" s="39"/>
      <c r="S564" s="39"/>
      <c r="T564" s="39"/>
      <c r="U564" s="39"/>
      <c r="V564" s="39"/>
      <c r="W564" s="39"/>
      <c r="X564" s="39"/>
      <c r="Y564" s="39"/>
      <c r="Z564" s="39"/>
      <c r="AA564" s="39"/>
      <c r="AB564" s="39"/>
      <c r="AC564" s="35">
        <f t="shared" si="329"/>
        <v>0</v>
      </c>
      <c r="AD564" s="40"/>
      <c r="AE564" s="40"/>
      <c r="AF564" s="40"/>
      <c r="AG564" s="40"/>
      <c r="AH564" s="40"/>
      <c r="AI564" s="40"/>
      <c r="AJ564" s="40"/>
      <c r="AK564" s="40"/>
      <c r="AL564" s="40"/>
      <c r="AM564" s="40"/>
      <c r="AN564" s="40"/>
      <c r="AO564" s="40"/>
      <c r="AP564" s="40"/>
      <c r="AQ564" s="40"/>
      <c r="AR564" s="40"/>
      <c r="AS564" s="40"/>
      <c r="AT564" s="41"/>
      <c r="AU564" s="1806"/>
      <c r="AV564" s="1517">
        <f t="shared" si="330"/>
        <v>0</v>
      </c>
      <c r="AW564" s="1517">
        <f t="shared" si="331"/>
        <v>0</v>
      </c>
      <c r="AX564" s="1517">
        <f t="shared" si="332"/>
        <v>0</v>
      </c>
      <c r="AY564" s="42">
        <f t="shared" si="333"/>
        <v>0</v>
      </c>
      <c r="AZ564" s="35">
        <f t="shared" si="334"/>
        <v>0</v>
      </c>
      <c r="BA564" s="35">
        <f t="shared" si="335"/>
        <v>0</v>
      </c>
      <c r="BB564" s="35">
        <f t="shared" si="336"/>
        <v>0</v>
      </c>
      <c r="BC564" s="35">
        <f t="shared" si="337"/>
        <v>0</v>
      </c>
      <c r="BD564" s="35">
        <f t="shared" si="338"/>
        <v>0</v>
      </c>
      <c r="BE564" s="35">
        <f t="shared" si="339"/>
        <v>0</v>
      </c>
      <c r="BF564" s="35">
        <f t="shared" si="340"/>
        <v>0</v>
      </c>
      <c r="BG564" s="35">
        <f t="shared" si="341"/>
        <v>0</v>
      </c>
      <c r="BH564" s="35">
        <f t="shared" si="342"/>
        <v>0</v>
      </c>
      <c r="BI564" s="35">
        <f t="shared" si="343"/>
        <v>0</v>
      </c>
      <c r="BJ564" s="35">
        <f t="shared" si="344"/>
        <v>0</v>
      </c>
      <c r="BK564" s="35">
        <f t="shared" si="345"/>
        <v>0</v>
      </c>
      <c r="BL564" s="35">
        <f t="shared" si="346"/>
        <v>0</v>
      </c>
      <c r="BM564" s="35">
        <f t="shared" si="347"/>
        <v>0</v>
      </c>
      <c r="BN564" s="35">
        <f t="shared" si="348"/>
        <v>0</v>
      </c>
      <c r="BO564" s="35">
        <f t="shared" si="349"/>
        <v>0</v>
      </c>
      <c r="BP564" s="35">
        <f t="shared" si="350"/>
        <v>0</v>
      </c>
      <c r="BQ564" s="35">
        <f t="shared" si="351"/>
        <v>0</v>
      </c>
      <c r="BR564" s="35">
        <f t="shared" si="352"/>
        <v>0</v>
      </c>
      <c r="BS564" s="35">
        <f t="shared" si="353"/>
        <v>0</v>
      </c>
      <c r="BT564" s="43">
        <f t="shared" si="354"/>
        <v>0</v>
      </c>
    </row>
    <row r="565" spans="1:72">
      <c r="A565" s="9"/>
      <c r="B565" s="34"/>
      <c r="C565" s="34"/>
      <c r="D565" s="1805"/>
      <c r="E565" s="35">
        <f t="shared" si="326"/>
        <v>0</v>
      </c>
      <c r="F565" s="36"/>
      <c r="G565" s="37">
        <f t="shared" si="327"/>
        <v>0</v>
      </c>
      <c r="H565" s="38">
        <f t="shared" si="328"/>
        <v>0</v>
      </c>
      <c r="I565" s="39"/>
      <c r="J565" s="39"/>
      <c r="K565" s="39"/>
      <c r="L565" s="39"/>
      <c r="M565" s="39"/>
      <c r="N565" s="39"/>
      <c r="O565" s="39"/>
      <c r="P565" s="39"/>
      <c r="Q565" s="39"/>
      <c r="R565" s="39"/>
      <c r="S565" s="39"/>
      <c r="T565" s="39"/>
      <c r="U565" s="39"/>
      <c r="V565" s="39"/>
      <c r="W565" s="39"/>
      <c r="X565" s="39"/>
      <c r="Y565" s="39"/>
      <c r="Z565" s="39"/>
      <c r="AA565" s="39"/>
      <c r="AB565" s="39"/>
      <c r="AC565" s="35">
        <f t="shared" si="329"/>
        <v>0</v>
      </c>
      <c r="AD565" s="40"/>
      <c r="AE565" s="40"/>
      <c r="AF565" s="40"/>
      <c r="AG565" s="40"/>
      <c r="AH565" s="40"/>
      <c r="AI565" s="40"/>
      <c r="AJ565" s="40"/>
      <c r="AK565" s="40"/>
      <c r="AL565" s="40"/>
      <c r="AM565" s="40"/>
      <c r="AN565" s="40"/>
      <c r="AO565" s="40"/>
      <c r="AP565" s="40"/>
      <c r="AQ565" s="40"/>
      <c r="AR565" s="40"/>
      <c r="AS565" s="40"/>
      <c r="AT565" s="41"/>
      <c r="AU565" s="1806"/>
      <c r="AV565" s="1517">
        <f t="shared" si="330"/>
        <v>0</v>
      </c>
      <c r="AW565" s="1517">
        <f t="shared" si="331"/>
        <v>0</v>
      </c>
      <c r="AX565" s="1517">
        <f t="shared" si="332"/>
        <v>0</v>
      </c>
      <c r="AY565" s="42">
        <f t="shared" si="333"/>
        <v>0</v>
      </c>
      <c r="AZ565" s="35">
        <f t="shared" si="334"/>
        <v>0</v>
      </c>
      <c r="BA565" s="35">
        <f t="shared" si="335"/>
        <v>0</v>
      </c>
      <c r="BB565" s="35">
        <f t="shared" si="336"/>
        <v>0</v>
      </c>
      <c r="BC565" s="35">
        <f t="shared" si="337"/>
        <v>0</v>
      </c>
      <c r="BD565" s="35">
        <f t="shared" si="338"/>
        <v>0</v>
      </c>
      <c r="BE565" s="35">
        <f t="shared" si="339"/>
        <v>0</v>
      </c>
      <c r="BF565" s="35">
        <f t="shared" si="340"/>
        <v>0</v>
      </c>
      <c r="BG565" s="35">
        <f t="shared" si="341"/>
        <v>0</v>
      </c>
      <c r="BH565" s="35">
        <f t="shared" si="342"/>
        <v>0</v>
      </c>
      <c r="BI565" s="35">
        <f t="shared" si="343"/>
        <v>0</v>
      </c>
      <c r="BJ565" s="35">
        <f t="shared" si="344"/>
        <v>0</v>
      </c>
      <c r="BK565" s="35">
        <f t="shared" si="345"/>
        <v>0</v>
      </c>
      <c r="BL565" s="35">
        <f t="shared" si="346"/>
        <v>0</v>
      </c>
      <c r="BM565" s="35">
        <f t="shared" si="347"/>
        <v>0</v>
      </c>
      <c r="BN565" s="35">
        <f t="shared" si="348"/>
        <v>0</v>
      </c>
      <c r="BO565" s="35">
        <f t="shared" si="349"/>
        <v>0</v>
      </c>
      <c r="BP565" s="35">
        <f t="shared" si="350"/>
        <v>0</v>
      </c>
      <c r="BQ565" s="35">
        <f t="shared" si="351"/>
        <v>0</v>
      </c>
      <c r="BR565" s="35">
        <f t="shared" si="352"/>
        <v>0</v>
      </c>
      <c r="BS565" s="35">
        <f t="shared" si="353"/>
        <v>0</v>
      </c>
      <c r="BT565" s="43">
        <f t="shared" si="354"/>
        <v>0</v>
      </c>
    </row>
    <row r="566" spans="1:72">
      <c r="A566" s="9"/>
      <c r="B566" s="34"/>
      <c r="C566" s="34"/>
      <c r="D566" s="1805"/>
      <c r="E566" s="35">
        <f t="shared" si="326"/>
        <v>0</v>
      </c>
      <c r="F566" s="36"/>
      <c r="G566" s="37">
        <f t="shared" si="327"/>
        <v>0</v>
      </c>
      <c r="H566" s="38">
        <f t="shared" si="328"/>
        <v>0</v>
      </c>
      <c r="I566" s="39"/>
      <c r="J566" s="39"/>
      <c r="K566" s="39"/>
      <c r="L566" s="39"/>
      <c r="M566" s="39"/>
      <c r="N566" s="39"/>
      <c r="O566" s="39"/>
      <c r="P566" s="39"/>
      <c r="Q566" s="39"/>
      <c r="R566" s="39"/>
      <c r="S566" s="39"/>
      <c r="T566" s="39"/>
      <c r="U566" s="39"/>
      <c r="V566" s="39"/>
      <c r="W566" s="39"/>
      <c r="X566" s="39"/>
      <c r="Y566" s="39"/>
      <c r="Z566" s="39"/>
      <c r="AA566" s="39"/>
      <c r="AB566" s="39"/>
      <c r="AC566" s="35">
        <f t="shared" si="329"/>
        <v>0</v>
      </c>
      <c r="AD566" s="40"/>
      <c r="AE566" s="40"/>
      <c r="AF566" s="40"/>
      <c r="AG566" s="40"/>
      <c r="AH566" s="40"/>
      <c r="AI566" s="40"/>
      <c r="AJ566" s="40"/>
      <c r="AK566" s="40"/>
      <c r="AL566" s="40"/>
      <c r="AM566" s="40"/>
      <c r="AN566" s="40"/>
      <c r="AO566" s="40"/>
      <c r="AP566" s="40"/>
      <c r="AQ566" s="40"/>
      <c r="AR566" s="40"/>
      <c r="AS566" s="40"/>
      <c r="AT566" s="41"/>
      <c r="AU566" s="1806"/>
      <c r="AV566" s="1517">
        <f t="shared" si="330"/>
        <v>0</v>
      </c>
      <c r="AW566" s="1517">
        <f t="shared" si="331"/>
        <v>0</v>
      </c>
      <c r="AX566" s="1517">
        <f t="shared" si="332"/>
        <v>0</v>
      </c>
      <c r="AY566" s="42">
        <f t="shared" si="333"/>
        <v>0</v>
      </c>
      <c r="AZ566" s="35">
        <f t="shared" si="334"/>
        <v>0</v>
      </c>
      <c r="BA566" s="35">
        <f t="shared" si="335"/>
        <v>0</v>
      </c>
      <c r="BB566" s="35">
        <f t="shared" si="336"/>
        <v>0</v>
      </c>
      <c r="BC566" s="35">
        <f t="shared" si="337"/>
        <v>0</v>
      </c>
      <c r="BD566" s="35">
        <f t="shared" si="338"/>
        <v>0</v>
      </c>
      <c r="BE566" s="35">
        <f t="shared" si="339"/>
        <v>0</v>
      </c>
      <c r="BF566" s="35">
        <f t="shared" si="340"/>
        <v>0</v>
      </c>
      <c r="BG566" s="35">
        <f t="shared" si="341"/>
        <v>0</v>
      </c>
      <c r="BH566" s="35">
        <f t="shared" si="342"/>
        <v>0</v>
      </c>
      <c r="BI566" s="35">
        <f t="shared" si="343"/>
        <v>0</v>
      </c>
      <c r="BJ566" s="35">
        <f t="shared" si="344"/>
        <v>0</v>
      </c>
      <c r="BK566" s="35">
        <f t="shared" si="345"/>
        <v>0</v>
      </c>
      <c r="BL566" s="35">
        <f t="shared" si="346"/>
        <v>0</v>
      </c>
      <c r="BM566" s="35">
        <f t="shared" si="347"/>
        <v>0</v>
      </c>
      <c r="BN566" s="35">
        <f t="shared" si="348"/>
        <v>0</v>
      </c>
      <c r="BO566" s="35">
        <f t="shared" si="349"/>
        <v>0</v>
      </c>
      <c r="BP566" s="35">
        <f t="shared" si="350"/>
        <v>0</v>
      </c>
      <c r="BQ566" s="35">
        <f t="shared" si="351"/>
        <v>0</v>
      </c>
      <c r="BR566" s="35">
        <f t="shared" si="352"/>
        <v>0</v>
      </c>
      <c r="BS566" s="35">
        <f t="shared" si="353"/>
        <v>0</v>
      </c>
      <c r="BT566" s="43">
        <f t="shared" si="354"/>
        <v>0</v>
      </c>
    </row>
    <row r="567" spans="1:72">
      <c r="A567" s="9"/>
      <c r="B567" s="34"/>
      <c r="C567" s="34"/>
      <c r="D567" s="1805"/>
      <c r="E567" s="35">
        <f t="shared" si="326"/>
        <v>0</v>
      </c>
      <c r="F567" s="36"/>
      <c r="G567" s="37">
        <f t="shared" si="327"/>
        <v>0</v>
      </c>
      <c r="H567" s="38">
        <f t="shared" si="328"/>
        <v>0</v>
      </c>
      <c r="I567" s="39"/>
      <c r="J567" s="39"/>
      <c r="K567" s="39"/>
      <c r="L567" s="39"/>
      <c r="M567" s="39"/>
      <c r="N567" s="39"/>
      <c r="O567" s="39"/>
      <c r="P567" s="39"/>
      <c r="Q567" s="39"/>
      <c r="R567" s="39"/>
      <c r="S567" s="39"/>
      <c r="T567" s="39"/>
      <c r="U567" s="39"/>
      <c r="V567" s="39"/>
      <c r="W567" s="39"/>
      <c r="X567" s="39"/>
      <c r="Y567" s="39"/>
      <c r="Z567" s="39"/>
      <c r="AA567" s="39"/>
      <c r="AB567" s="39"/>
      <c r="AC567" s="35">
        <f t="shared" si="329"/>
        <v>0</v>
      </c>
      <c r="AD567" s="40"/>
      <c r="AE567" s="40"/>
      <c r="AF567" s="40"/>
      <c r="AG567" s="40"/>
      <c r="AH567" s="40"/>
      <c r="AI567" s="40"/>
      <c r="AJ567" s="40"/>
      <c r="AK567" s="40"/>
      <c r="AL567" s="40"/>
      <c r="AM567" s="40"/>
      <c r="AN567" s="40"/>
      <c r="AO567" s="40"/>
      <c r="AP567" s="40"/>
      <c r="AQ567" s="40"/>
      <c r="AR567" s="40"/>
      <c r="AS567" s="40"/>
      <c r="AT567" s="41"/>
      <c r="AU567" s="1806"/>
      <c r="AV567" s="1517">
        <f t="shared" si="330"/>
        <v>0</v>
      </c>
      <c r="AW567" s="1517">
        <f t="shared" si="331"/>
        <v>0</v>
      </c>
      <c r="AX567" s="1517">
        <f t="shared" si="332"/>
        <v>0</v>
      </c>
      <c r="AY567" s="42">
        <f t="shared" si="333"/>
        <v>0</v>
      </c>
      <c r="AZ567" s="35">
        <f t="shared" si="334"/>
        <v>0</v>
      </c>
      <c r="BA567" s="35">
        <f t="shared" si="335"/>
        <v>0</v>
      </c>
      <c r="BB567" s="35">
        <f t="shared" si="336"/>
        <v>0</v>
      </c>
      <c r="BC567" s="35">
        <f t="shared" si="337"/>
        <v>0</v>
      </c>
      <c r="BD567" s="35">
        <f t="shared" si="338"/>
        <v>0</v>
      </c>
      <c r="BE567" s="35">
        <f t="shared" si="339"/>
        <v>0</v>
      </c>
      <c r="BF567" s="35">
        <f t="shared" si="340"/>
        <v>0</v>
      </c>
      <c r="BG567" s="35">
        <f t="shared" si="341"/>
        <v>0</v>
      </c>
      <c r="BH567" s="35">
        <f t="shared" si="342"/>
        <v>0</v>
      </c>
      <c r="BI567" s="35">
        <f t="shared" si="343"/>
        <v>0</v>
      </c>
      <c r="BJ567" s="35">
        <f t="shared" si="344"/>
        <v>0</v>
      </c>
      <c r="BK567" s="35">
        <f t="shared" si="345"/>
        <v>0</v>
      </c>
      <c r="BL567" s="35">
        <f t="shared" si="346"/>
        <v>0</v>
      </c>
      <c r="BM567" s="35">
        <f t="shared" si="347"/>
        <v>0</v>
      </c>
      <c r="BN567" s="35">
        <f t="shared" si="348"/>
        <v>0</v>
      </c>
      <c r="BO567" s="35">
        <f t="shared" si="349"/>
        <v>0</v>
      </c>
      <c r="BP567" s="35">
        <f t="shared" si="350"/>
        <v>0</v>
      </c>
      <c r="BQ567" s="35">
        <f t="shared" si="351"/>
        <v>0</v>
      </c>
      <c r="BR567" s="35">
        <f t="shared" si="352"/>
        <v>0</v>
      </c>
      <c r="BS567" s="35">
        <f t="shared" si="353"/>
        <v>0</v>
      </c>
      <c r="BT567" s="43">
        <f t="shared" si="354"/>
        <v>0</v>
      </c>
    </row>
    <row r="568" spans="1:72">
      <c r="A568" s="9"/>
      <c r="B568" s="34"/>
      <c r="C568" s="34"/>
      <c r="D568" s="1805"/>
      <c r="E568" s="35">
        <f t="shared" si="326"/>
        <v>0</v>
      </c>
      <c r="F568" s="36"/>
      <c r="G568" s="37">
        <f t="shared" si="327"/>
        <v>0</v>
      </c>
      <c r="H568" s="38">
        <f t="shared" si="328"/>
        <v>0</v>
      </c>
      <c r="I568" s="39"/>
      <c r="J568" s="39"/>
      <c r="K568" s="39"/>
      <c r="L568" s="39"/>
      <c r="M568" s="39"/>
      <c r="N568" s="39"/>
      <c r="O568" s="39"/>
      <c r="P568" s="39"/>
      <c r="Q568" s="39"/>
      <c r="R568" s="39"/>
      <c r="S568" s="39"/>
      <c r="T568" s="39"/>
      <c r="U568" s="39"/>
      <c r="V568" s="39"/>
      <c r="W568" s="39"/>
      <c r="X568" s="39"/>
      <c r="Y568" s="39"/>
      <c r="Z568" s="39"/>
      <c r="AA568" s="39"/>
      <c r="AB568" s="39"/>
      <c r="AC568" s="35">
        <f t="shared" si="329"/>
        <v>0</v>
      </c>
      <c r="AD568" s="40"/>
      <c r="AE568" s="40"/>
      <c r="AF568" s="40"/>
      <c r="AG568" s="40"/>
      <c r="AH568" s="40"/>
      <c r="AI568" s="40"/>
      <c r="AJ568" s="40"/>
      <c r="AK568" s="40"/>
      <c r="AL568" s="40"/>
      <c r="AM568" s="40"/>
      <c r="AN568" s="40"/>
      <c r="AO568" s="40"/>
      <c r="AP568" s="40"/>
      <c r="AQ568" s="40"/>
      <c r="AR568" s="40"/>
      <c r="AS568" s="40"/>
      <c r="AT568" s="41"/>
      <c r="AU568" s="1806"/>
      <c r="AV568" s="1517">
        <f t="shared" si="330"/>
        <v>0</v>
      </c>
      <c r="AW568" s="1517">
        <f t="shared" si="331"/>
        <v>0</v>
      </c>
      <c r="AX568" s="1517">
        <f t="shared" si="332"/>
        <v>0</v>
      </c>
      <c r="AY568" s="42">
        <f t="shared" si="333"/>
        <v>0</v>
      </c>
      <c r="AZ568" s="35">
        <f t="shared" si="334"/>
        <v>0</v>
      </c>
      <c r="BA568" s="35">
        <f t="shared" si="335"/>
        <v>0</v>
      </c>
      <c r="BB568" s="35">
        <f t="shared" si="336"/>
        <v>0</v>
      </c>
      <c r="BC568" s="35">
        <f t="shared" si="337"/>
        <v>0</v>
      </c>
      <c r="BD568" s="35">
        <f t="shared" si="338"/>
        <v>0</v>
      </c>
      <c r="BE568" s="35">
        <f t="shared" si="339"/>
        <v>0</v>
      </c>
      <c r="BF568" s="35">
        <f t="shared" si="340"/>
        <v>0</v>
      </c>
      <c r="BG568" s="35">
        <f t="shared" si="341"/>
        <v>0</v>
      </c>
      <c r="BH568" s="35">
        <f t="shared" si="342"/>
        <v>0</v>
      </c>
      <c r="BI568" s="35">
        <f t="shared" si="343"/>
        <v>0</v>
      </c>
      <c r="BJ568" s="35">
        <f t="shared" si="344"/>
        <v>0</v>
      </c>
      <c r="BK568" s="35">
        <f t="shared" si="345"/>
        <v>0</v>
      </c>
      <c r="BL568" s="35">
        <f t="shared" si="346"/>
        <v>0</v>
      </c>
      <c r="BM568" s="35">
        <f t="shared" si="347"/>
        <v>0</v>
      </c>
      <c r="BN568" s="35">
        <f t="shared" si="348"/>
        <v>0</v>
      </c>
      <c r="BO568" s="35">
        <f t="shared" si="349"/>
        <v>0</v>
      </c>
      <c r="BP568" s="35">
        <f t="shared" si="350"/>
        <v>0</v>
      </c>
      <c r="BQ568" s="35">
        <f t="shared" si="351"/>
        <v>0</v>
      </c>
      <c r="BR568" s="35">
        <f t="shared" si="352"/>
        <v>0</v>
      </c>
      <c r="BS568" s="35">
        <f t="shared" si="353"/>
        <v>0</v>
      </c>
      <c r="BT568" s="43">
        <f t="shared" si="354"/>
        <v>0</v>
      </c>
    </row>
    <row r="569" spans="1:72">
      <c r="A569" s="9"/>
      <c r="B569" s="34"/>
      <c r="C569" s="34"/>
      <c r="D569" s="1805"/>
      <c r="E569" s="35">
        <f t="shared" si="326"/>
        <v>0</v>
      </c>
      <c r="F569" s="36"/>
      <c r="G569" s="37">
        <f t="shared" si="327"/>
        <v>0</v>
      </c>
      <c r="H569" s="38">
        <f t="shared" si="328"/>
        <v>0</v>
      </c>
      <c r="I569" s="39"/>
      <c r="J569" s="39"/>
      <c r="K569" s="39"/>
      <c r="L569" s="39"/>
      <c r="M569" s="39"/>
      <c r="N569" s="39"/>
      <c r="O569" s="39"/>
      <c r="P569" s="39"/>
      <c r="Q569" s="39"/>
      <c r="R569" s="39"/>
      <c r="S569" s="39"/>
      <c r="T569" s="39"/>
      <c r="U569" s="39"/>
      <c r="V569" s="39"/>
      <c r="W569" s="39"/>
      <c r="X569" s="39"/>
      <c r="Y569" s="39"/>
      <c r="Z569" s="39"/>
      <c r="AA569" s="39"/>
      <c r="AB569" s="39"/>
      <c r="AC569" s="35">
        <f t="shared" si="329"/>
        <v>0</v>
      </c>
      <c r="AD569" s="40"/>
      <c r="AE569" s="40"/>
      <c r="AF569" s="40"/>
      <c r="AG569" s="40"/>
      <c r="AH569" s="40"/>
      <c r="AI569" s="40"/>
      <c r="AJ569" s="40"/>
      <c r="AK569" s="40"/>
      <c r="AL569" s="40"/>
      <c r="AM569" s="40"/>
      <c r="AN569" s="40"/>
      <c r="AO569" s="40"/>
      <c r="AP569" s="40"/>
      <c r="AQ569" s="40"/>
      <c r="AR569" s="40"/>
      <c r="AS569" s="40"/>
      <c r="AT569" s="41"/>
      <c r="AU569" s="1806"/>
      <c r="AV569" s="1517">
        <f t="shared" si="330"/>
        <v>0</v>
      </c>
      <c r="AW569" s="1517">
        <f t="shared" si="331"/>
        <v>0</v>
      </c>
      <c r="AX569" s="1517">
        <f t="shared" si="332"/>
        <v>0</v>
      </c>
      <c r="AY569" s="42">
        <f t="shared" si="333"/>
        <v>0</v>
      </c>
      <c r="AZ569" s="35">
        <f t="shared" si="334"/>
        <v>0</v>
      </c>
      <c r="BA569" s="35">
        <f t="shared" si="335"/>
        <v>0</v>
      </c>
      <c r="BB569" s="35">
        <f t="shared" si="336"/>
        <v>0</v>
      </c>
      <c r="BC569" s="35">
        <f t="shared" si="337"/>
        <v>0</v>
      </c>
      <c r="BD569" s="35">
        <f t="shared" si="338"/>
        <v>0</v>
      </c>
      <c r="BE569" s="35">
        <f t="shared" si="339"/>
        <v>0</v>
      </c>
      <c r="BF569" s="35">
        <f t="shared" si="340"/>
        <v>0</v>
      </c>
      <c r="BG569" s="35">
        <f t="shared" si="341"/>
        <v>0</v>
      </c>
      <c r="BH569" s="35">
        <f t="shared" si="342"/>
        <v>0</v>
      </c>
      <c r="BI569" s="35">
        <f t="shared" si="343"/>
        <v>0</v>
      </c>
      <c r="BJ569" s="35">
        <f t="shared" si="344"/>
        <v>0</v>
      </c>
      <c r="BK569" s="35">
        <f t="shared" si="345"/>
        <v>0</v>
      </c>
      <c r="BL569" s="35">
        <f t="shared" si="346"/>
        <v>0</v>
      </c>
      <c r="BM569" s="35">
        <f t="shared" si="347"/>
        <v>0</v>
      </c>
      <c r="BN569" s="35">
        <f t="shared" si="348"/>
        <v>0</v>
      </c>
      <c r="BO569" s="35">
        <f t="shared" si="349"/>
        <v>0</v>
      </c>
      <c r="BP569" s="35">
        <f t="shared" si="350"/>
        <v>0</v>
      </c>
      <c r="BQ569" s="35">
        <f t="shared" si="351"/>
        <v>0</v>
      </c>
      <c r="BR569" s="35">
        <f t="shared" si="352"/>
        <v>0</v>
      </c>
      <c r="BS569" s="35">
        <f t="shared" si="353"/>
        <v>0</v>
      </c>
      <c r="BT569" s="43">
        <f t="shared" si="354"/>
        <v>0</v>
      </c>
    </row>
    <row r="570" spans="1:72">
      <c r="A570" s="9"/>
      <c r="B570" s="34"/>
      <c r="C570" s="34"/>
      <c r="D570" s="1805"/>
      <c r="E570" s="35">
        <f t="shared" si="326"/>
        <v>0</v>
      </c>
      <c r="F570" s="36"/>
      <c r="G570" s="37">
        <f t="shared" si="327"/>
        <v>0</v>
      </c>
      <c r="H570" s="38">
        <f t="shared" si="328"/>
        <v>0</v>
      </c>
      <c r="I570" s="39"/>
      <c r="J570" s="39"/>
      <c r="K570" s="39"/>
      <c r="L570" s="39"/>
      <c r="M570" s="39"/>
      <c r="N570" s="39"/>
      <c r="O570" s="39"/>
      <c r="P570" s="39"/>
      <c r="Q570" s="39"/>
      <c r="R570" s="39"/>
      <c r="S570" s="39"/>
      <c r="T570" s="39"/>
      <c r="U570" s="39"/>
      <c r="V570" s="39"/>
      <c r="W570" s="39"/>
      <c r="X570" s="39"/>
      <c r="Y570" s="39"/>
      <c r="Z570" s="39"/>
      <c r="AA570" s="39"/>
      <c r="AB570" s="39"/>
      <c r="AC570" s="35">
        <f t="shared" si="329"/>
        <v>0</v>
      </c>
      <c r="AD570" s="40"/>
      <c r="AE570" s="40"/>
      <c r="AF570" s="40"/>
      <c r="AG570" s="40"/>
      <c r="AH570" s="40"/>
      <c r="AI570" s="40"/>
      <c r="AJ570" s="40"/>
      <c r="AK570" s="40"/>
      <c r="AL570" s="40"/>
      <c r="AM570" s="40"/>
      <c r="AN570" s="40"/>
      <c r="AO570" s="40"/>
      <c r="AP570" s="40"/>
      <c r="AQ570" s="40"/>
      <c r="AR570" s="40"/>
      <c r="AS570" s="40"/>
      <c r="AT570" s="41"/>
      <c r="AU570" s="1806"/>
      <c r="AV570" s="1517">
        <f t="shared" si="330"/>
        <v>0</v>
      </c>
      <c r="AW570" s="1517">
        <f t="shared" si="331"/>
        <v>0</v>
      </c>
      <c r="AX570" s="1517">
        <f t="shared" si="332"/>
        <v>0</v>
      </c>
      <c r="AY570" s="42">
        <f t="shared" si="333"/>
        <v>0</v>
      </c>
      <c r="AZ570" s="35">
        <f t="shared" si="334"/>
        <v>0</v>
      </c>
      <c r="BA570" s="35">
        <f t="shared" si="335"/>
        <v>0</v>
      </c>
      <c r="BB570" s="35">
        <f t="shared" si="336"/>
        <v>0</v>
      </c>
      <c r="BC570" s="35">
        <f t="shared" si="337"/>
        <v>0</v>
      </c>
      <c r="BD570" s="35">
        <f t="shared" si="338"/>
        <v>0</v>
      </c>
      <c r="BE570" s="35">
        <f t="shared" si="339"/>
        <v>0</v>
      </c>
      <c r="BF570" s="35">
        <f t="shared" si="340"/>
        <v>0</v>
      </c>
      <c r="BG570" s="35">
        <f t="shared" si="341"/>
        <v>0</v>
      </c>
      <c r="BH570" s="35">
        <f t="shared" si="342"/>
        <v>0</v>
      </c>
      <c r="BI570" s="35">
        <f t="shared" si="343"/>
        <v>0</v>
      </c>
      <c r="BJ570" s="35">
        <f t="shared" si="344"/>
        <v>0</v>
      </c>
      <c r="BK570" s="35">
        <f t="shared" si="345"/>
        <v>0</v>
      </c>
      <c r="BL570" s="35">
        <f t="shared" si="346"/>
        <v>0</v>
      </c>
      <c r="BM570" s="35">
        <f t="shared" si="347"/>
        <v>0</v>
      </c>
      <c r="BN570" s="35">
        <f t="shared" si="348"/>
        <v>0</v>
      </c>
      <c r="BO570" s="35">
        <f t="shared" si="349"/>
        <v>0</v>
      </c>
      <c r="BP570" s="35">
        <f t="shared" si="350"/>
        <v>0</v>
      </c>
      <c r="BQ570" s="35">
        <f t="shared" si="351"/>
        <v>0</v>
      </c>
      <c r="BR570" s="35">
        <f t="shared" si="352"/>
        <v>0</v>
      </c>
      <c r="BS570" s="35">
        <f t="shared" si="353"/>
        <v>0</v>
      </c>
      <c r="BT570" s="43">
        <f t="shared" si="354"/>
        <v>0</v>
      </c>
    </row>
    <row r="571" spans="1:72">
      <c r="A571" s="9"/>
      <c r="B571" s="34"/>
      <c r="C571" s="34"/>
      <c r="D571" s="1805"/>
      <c r="E571" s="35">
        <f t="shared" si="326"/>
        <v>0</v>
      </c>
      <c r="F571" s="36"/>
      <c r="G571" s="37">
        <f t="shared" si="327"/>
        <v>0</v>
      </c>
      <c r="H571" s="38">
        <f t="shared" si="328"/>
        <v>0</v>
      </c>
      <c r="I571" s="39"/>
      <c r="J571" s="39"/>
      <c r="K571" s="39"/>
      <c r="L571" s="39"/>
      <c r="M571" s="39"/>
      <c r="N571" s="39"/>
      <c r="O571" s="39"/>
      <c r="P571" s="39"/>
      <c r="Q571" s="39"/>
      <c r="R571" s="39"/>
      <c r="S571" s="39"/>
      <c r="T571" s="39"/>
      <c r="U571" s="39"/>
      <c r="V571" s="39"/>
      <c r="W571" s="39"/>
      <c r="X571" s="39"/>
      <c r="Y571" s="39"/>
      <c r="Z571" s="39"/>
      <c r="AA571" s="39"/>
      <c r="AB571" s="39"/>
      <c r="AC571" s="35">
        <f t="shared" si="329"/>
        <v>0</v>
      </c>
      <c r="AD571" s="40"/>
      <c r="AE571" s="40"/>
      <c r="AF571" s="40"/>
      <c r="AG571" s="40"/>
      <c r="AH571" s="40"/>
      <c r="AI571" s="40"/>
      <c r="AJ571" s="40"/>
      <c r="AK571" s="40"/>
      <c r="AL571" s="40"/>
      <c r="AM571" s="40"/>
      <c r="AN571" s="40"/>
      <c r="AO571" s="40"/>
      <c r="AP571" s="40"/>
      <c r="AQ571" s="40"/>
      <c r="AR571" s="40"/>
      <c r="AS571" s="40"/>
      <c r="AT571" s="41"/>
      <c r="AU571" s="1806"/>
      <c r="AV571" s="1517">
        <f t="shared" si="330"/>
        <v>0</v>
      </c>
      <c r="AW571" s="1517">
        <f t="shared" si="331"/>
        <v>0</v>
      </c>
      <c r="AX571" s="1517">
        <f t="shared" si="332"/>
        <v>0</v>
      </c>
      <c r="AY571" s="42">
        <f t="shared" si="333"/>
        <v>0</v>
      </c>
      <c r="AZ571" s="35">
        <f t="shared" si="334"/>
        <v>0</v>
      </c>
      <c r="BA571" s="35">
        <f t="shared" si="335"/>
        <v>0</v>
      </c>
      <c r="BB571" s="35">
        <f t="shared" si="336"/>
        <v>0</v>
      </c>
      <c r="BC571" s="35">
        <f t="shared" si="337"/>
        <v>0</v>
      </c>
      <c r="BD571" s="35">
        <f t="shared" si="338"/>
        <v>0</v>
      </c>
      <c r="BE571" s="35">
        <f t="shared" si="339"/>
        <v>0</v>
      </c>
      <c r="BF571" s="35">
        <f t="shared" si="340"/>
        <v>0</v>
      </c>
      <c r="BG571" s="35">
        <f t="shared" si="341"/>
        <v>0</v>
      </c>
      <c r="BH571" s="35">
        <f t="shared" si="342"/>
        <v>0</v>
      </c>
      <c r="BI571" s="35">
        <f t="shared" si="343"/>
        <v>0</v>
      </c>
      <c r="BJ571" s="35">
        <f t="shared" si="344"/>
        <v>0</v>
      </c>
      <c r="BK571" s="35">
        <f t="shared" si="345"/>
        <v>0</v>
      </c>
      <c r="BL571" s="35">
        <f t="shared" si="346"/>
        <v>0</v>
      </c>
      <c r="BM571" s="35">
        <f t="shared" si="347"/>
        <v>0</v>
      </c>
      <c r="BN571" s="35">
        <f t="shared" si="348"/>
        <v>0</v>
      </c>
      <c r="BO571" s="35">
        <f t="shared" si="349"/>
        <v>0</v>
      </c>
      <c r="BP571" s="35">
        <f t="shared" si="350"/>
        <v>0</v>
      </c>
      <c r="BQ571" s="35">
        <f t="shared" si="351"/>
        <v>0</v>
      </c>
      <c r="BR571" s="35">
        <f t="shared" si="352"/>
        <v>0</v>
      </c>
      <c r="BS571" s="35">
        <f t="shared" si="353"/>
        <v>0</v>
      </c>
      <c r="BT571" s="43">
        <f t="shared" si="354"/>
        <v>0</v>
      </c>
    </row>
    <row r="572" spans="1:72">
      <c r="A572" s="9"/>
      <c r="B572" s="34"/>
      <c r="C572" s="34"/>
      <c r="D572" s="1805"/>
      <c r="E572" s="35">
        <f t="shared" si="326"/>
        <v>0</v>
      </c>
      <c r="F572" s="36"/>
      <c r="G572" s="37">
        <f t="shared" si="327"/>
        <v>0</v>
      </c>
      <c r="H572" s="38">
        <f t="shared" si="328"/>
        <v>0</v>
      </c>
      <c r="I572" s="39"/>
      <c r="J572" s="39"/>
      <c r="K572" s="39"/>
      <c r="L572" s="39"/>
      <c r="M572" s="39"/>
      <c r="N572" s="39"/>
      <c r="O572" s="39"/>
      <c r="P572" s="39"/>
      <c r="Q572" s="39"/>
      <c r="R572" s="39"/>
      <c r="S572" s="39"/>
      <c r="T572" s="39"/>
      <c r="U572" s="39"/>
      <c r="V572" s="39"/>
      <c r="W572" s="39"/>
      <c r="X572" s="39"/>
      <c r="Y572" s="39"/>
      <c r="Z572" s="39"/>
      <c r="AA572" s="39"/>
      <c r="AB572" s="39"/>
      <c r="AC572" s="35">
        <f t="shared" si="329"/>
        <v>0</v>
      </c>
      <c r="AD572" s="40"/>
      <c r="AE572" s="40"/>
      <c r="AF572" s="40"/>
      <c r="AG572" s="40"/>
      <c r="AH572" s="40"/>
      <c r="AI572" s="40"/>
      <c r="AJ572" s="40"/>
      <c r="AK572" s="40"/>
      <c r="AL572" s="40"/>
      <c r="AM572" s="40"/>
      <c r="AN572" s="40"/>
      <c r="AO572" s="40"/>
      <c r="AP572" s="40"/>
      <c r="AQ572" s="40"/>
      <c r="AR572" s="40"/>
      <c r="AS572" s="40"/>
      <c r="AT572" s="41"/>
      <c r="AU572" s="1806"/>
      <c r="AV572" s="1517">
        <f t="shared" si="330"/>
        <v>0</v>
      </c>
      <c r="AW572" s="1517">
        <f t="shared" si="331"/>
        <v>0</v>
      </c>
      <c r="AX572" s="1517">
        <f t="shared" si="332"/>
        <v>0</v>
      </c>
      <c r="AY572" s="42">
        <f t="shared" si="333"/>
        <v>0</v>
      </c>
      <c r="AZ572" s="35">
        <f t="shared" si="334"/>
        <v>0</v>
      </c>
      <c r="BA572" s="35">
        <f t="shared" si="335"/>
        <v>0</v>
      </c>
      <c r="BB572" s="35">
        <f t="shared" si="336"/>
        <v>0</v>
      </c>
      <c r="BC572" s="35">
        <f t="shared" si="337"/>
        <v>0</v>
      </c>
      <c r="BD572" s="35">
        <f t="shared" si="338"/>
        <v>0</v>
      </c>
      <c r="BE572" s="35">
        <f t="shared" si="339"/>
        <v>0</v>
      </c>
      <c r="BF572" s="35">
        <f t="shared" si="340"/>
        <v>0</v>
      </c>
      <c r="BG572" s="35">
        <f t="shared" si="341"/>
        <v>0</v>
      </c>
      <c r="BH572" s="35">
        <f t="shared" si="342"/>
        <v>0</v>
      </c>
      <c r="BI572" s="35">
        <f t="shared" si="343"/>
        <v>0</v>
      </c>
      <c r="BJ572" s="35">
        <f t="shared" si="344"/>
        <v>0</v>
      </c>
      <c r="BK572" s="35">
        <f t="shared" si="345"/>
        <v>0</v>
      </c>
      <c r="BL572" s="35">
        <f t="shared" si="346"/>
        <v>0</v>
      </c>
      <c r="BM572" s="35">
        <f t="shared" si="347"/>
        <v>0</v>
      </c>
      <c r="BN572" s="35">
        <f t="shared" si="348"/>
        <v>0</v>
      </c>
      <c r="BO572" s="35">
        <f t="shared" si="349"/>
        <v>0</v>
      </c>
      <c r="BP572" s="35">
        <f t="shared" si="350"/>
        <v>0</v>
      </c>
      <c r="BQ572" s="35">
        <f t="shared" si="351"/>
        <v>0</v>
      </c>
      <c r="BR572" s="35">
        <f t="shared" si="352"/>
        <v>0</v>
      </c>
      <c r="BS572" s="35">
        <f t="shared" si="353"/>
        <v>0</v>
      </c>
      <c r="BT572" s="43">
        <f t="shared" si="354"/>
        <v>0</v>
      </c>
    </row>
    <row r="573" spans="1:72">
      <c r="A573" s="9"/>
      <c r="B573" s="34"/>
      <c r="C573" s="34"/>
      <c r="D573" s="1805"/>
      <c r="E573" s="35">
        <f t="shared" si="326"/>
        <v>0</v>
      </c>
      <c r="F573" s="36"/>
      <c r="G573" s="37">
        <f t="shared" si="327"/>
        <v>0</v>
      </c>
      <c r="H573" s="38">
        <f t="shared" si="328"/>
        <v>0</v>
      </c>
      <c r="I573" s="39"/>
      <c r="J573" s="39"/>
      <c r="K573" s="39"/>
      <c r="L573" s="39"/>
      <c r="M573" s="39"/>
      <c r="N573" s="39"/>
      <c r="O573" s="39"/>
      <c r="P573" s="39"/>
      <c r="Q573" s="39"/>
      <c r="R573" s="39"/>
      <c r="S573" s="39"/>
      <c r="T573" s="39"/>
      <c r="U573" s="39"/>
      <c r="V573" s="39"/>
      <c r="W573" s="39"/>
      <c r="X573" s="39"/>
      <c r="Y573" s="39"/>
      <c r="Z573" s="39"/>
      <c r="AA573" s="39"/>
      <c r="AB573" s="39"/>
      <c r="AC573" s="35">
        <f t="shared" si="329"/>
        <v>0</v>
      </c>
      <c r="AD573" s="40"/>
      <c r="AE573" s="40"/>
      <c r="AF573" s="40"/>
      <c r="AG573" s="40"/>
      <c r="AH573" s="40"/>
      <c r="AI573" s="40"/>
      <c r="AJ573" s="40"/>
      <c r="AK573" s="40"/>
      <c r="AL573" s="40"/>
      <c r="AM573" s="40"/>
      <c r="AN573" s="40"/>
      <c r="AO573" s="40"/>
      <c r="AP573" s="40"/>
      <c r="AQ573" s="40"/>
      <c r="AR573" s="40"/>
      <c r="AS573" s="40"/>
      <c r="AT573" s="41"/>
      <c r="AU573" s="1806"/>
      <c r="AV573" s="1517">
        <f t="shared" si="330"/>
        <v>0</v>
      </c>
      <c r="AW573" s="1517">
        <f t="shared" si="331"/>
        <v>0</v>
      </c>
      <c r="AX573" s="1517">
        <f t="shared" si="332"/>
        <v>0</v>
      </c>
      <c r="AY573" s="42">
        <f t="shared" si="333"/>
        <v>0</v>
      </c>
      <c r="AZ573" s="35">
        <f t="shared" si="334"/>
        <v>0</v>
      </c>
      <c r="BA573" s="35">
        <f t="shared" si="335"/>
        <v>0</v>
      </c>
      <c r="BB573" s="35">
        <f t="shared" si="336"/>
        <v>0</v>
      </c>
      <c r="BC573" s="35">
        <f t="shared" si="337"/>
        <v>0</v>
      </c>
      <c r="BD573" s="35">
        <f t="shared" si="338"/>
        <v>0</v>
      </c>
      <c r="BE573" s="35">
        <f t="shared" si="339"/>
        <v>0</v>
      </c>
      <c r="BF573" s="35">
        <f t="shared" si="340"/>
        <v>0</v>
      </c>
      <c r="BG573" s="35">
        <f t="shared" si="341"/>
        <v>0</v>
      </c>
      <c r="BH573" s="35">
        <f t="shared" si="342"/>
        <v>0</v>
      </c>
      <c r="BI573" s="35">
        <f t="shared" si="343"/>
        <v>0</v>
      </c>
      <c r="BJ573" s="35">
        <f t="shared" si="344"/>
        <v>0</v>
      </c>
      <c r="BK573" s="35">
        <f t="shared" si="345"/>
        <v>0</v>
      </c>
      <c r="BL573" s="35">
        <f t="shared" si="346"/>
        <v>0</v>
      </c>
      <c r="BM573" s="35">
        <f t="shared" si="347"/>
        <v>0</v>
      </c>
      <c r="BN573" s="35">
        <f t="shared" si="348"/>
        <v>0</v>
      </c>
      <c r="BO573" s="35">
        <f t="shared" si="349"/>
        <v>0</v>
      </c>
      <c r="BP573" s="35">
        <f t="shared" si="350"/>
        <v>0</v>
      </c>
      <c r="BQ573" s="35">
        <f t="shared" si="351"/>
        <v>0</v>
      </c>
      <c r="BR573" s="35">
        <f t="shared" si="352"/>
        <v>0</v>
      </c>
      <c r="BS573" s="35">
        <f t="shared" si="353"/>
        <v>0</v>
      </c>
      <c r="BT573" s="43">
        <f t="shared" si="354"/>
        <v>0</v>
      </c>
    </row>
    <row r="574" spans="1:72">
      <c r="A574" s="9"/>
      <c r="B574" s="34"/>
      <c r="C574" s="34"/>
      <c r="D574" s="1805"/>
      <c r="E574" s="35">
        <f t="shared" si="326"/>
        <v>0</v>
      </c>
      <c r="F574" s="36"/>
      <c r="G574" s="37">
        <f t="shared" si="327"/>
        <v>0</v>
      </c>
      <c r="H574" s="38">
        <f t="shared" si="328"/>
        <v>0</v>
      </c>
      <c r="I574" s="39"/>
      <c r="J574" s="39"/>
      <c r="K574" s="39"/>
      <c r="L574" s="39"/>
      <c r="M574" s="39"/>
      <c r="N574" s="39"/>
      <c r="O574" s="39"/>
      <c r="P574" s="39"/>
      <c r="Q574" s="39"/>
      <c r="R574" s="39"/>
      <c r="S574" s="39"/>
      <c r="T574" s="39"/>
      <c r="U574" s="39"/>
      <c r="V574" s="39"/>
      <c r="W574" s="39"/>
      <c r="X574" s="39"/>
      <c r="Y574" s="39"/>
      <c r="Z574" s="39"/>
      <c r="AA574" s="39"/>
      <c r="AB574" s="39"/>
      <c r="AC574" s="35">
        <f t="shared" si="329"/>
        <v>0</v>
      </c>
      <c r="AD574" s="40"/>
      <c r="AE574" s="40"/>
      <c r="AF574" s="40"/>
      <c r="AG574" s="40"/>
      <c r="AH574" s="40"/>
      <c r="AI574" s="40"/>
      <c r="AJ574" s="40"/>
      <c r="AK574" s="40"/>
      <c r="AL574" s="40"/>
      <c r="AM574" s="40"/>
      <c r="AN574" s="40"/>
      <c r="AO574" s="40"/>
      <c r="AP574" s="40"/>
      <c r="AQ574" s="40"/>
      <c r="AR574" s="40"/>
      <c r="AS574" s="40"/>
      <c r="AT574" s="41"/>
      <c r="AU574" s="1806"/>
      <c r="AV574" s="1517">
        <f t="shared" si="330"/>
        <v>0</v>
      </c>
      <c r="AW574" s="1517">
        <f t="shared" si="331"/>
        <v>0</v>
      </c>
      <c r="AX574" s="1517">
        <f t="shared" si="332"/>
        <v>0</v>
      </c>
      <c r="AY574" s="42">
        <f t="shared" si="333"/>
        <v>0</v>
      </c>
      <c r="AZ574" s="35">
        <f t="shared" si="334"/>
        <v>0</v>
      </c>
      <c r="BA574" s="35">
        <f t="shared" si="335"/>
        <v>0</v>
      </c>
      <c r="BB574" s="35">
        <f t="shared" si="336"/>
        <v>0</v>
      </c>
      <c r="BC574" s="35">
        <f t="shared" si="337"/>
        <v>0</v>
      </c>
      <c r="BD574" s="35">
        <f t="shared" si="338"/>
        <v>0</v>
      </c>
      <c r="BE574" s="35">
        <f t="shared" si="339"/>
        <v>0</v>
      </c>
      <c r="BF574" s="35">
        <f t="shared" si="340"/>
        <v>0</v>
      </c>
      <c r="BG574" s="35">
        <f t="shared" si="341"/>
        <v>0</v>
      </c>
      <c r="BH574" s="35">
        <f t="shared" si="342"/>
        <v>0</v>
      </c>
      <c r="BI574" s="35">
        <f t="shared" si="343"/>
        <v>0</v>
      </c>
      <c r="BJ574" s="35">
        <f t="shared" si="344"/>
        <v>0</v>
      </c>
      <c r="BK574" s="35">
        <f t="shared" si="345"/>
        <v>0</v>
      </c>
      <c r="BL574" s="35">
        <f t="shared" si="346"/>
        <v>0</v>
      </c>
      <c r="BM574" s="35">
        <f t="shared" si="347"/>
        <v>0</v>
      </c>
      <c r="BN574" s="35">
        <f t="shared" si="348"/>
        <v>0</v>
      </c>
      <c r="BO574" s="35">
        <f t="shared" si="349"/>
        <v>0</v>
      </c>
      <c r="BP574" s="35">
        <f t="shared" si="350"/>
        <v>0</v>
      </c>
      <c r="BQ574" s="35">
        <f t="shared" si="351"/>
        <v>0</v>
      </c>
      <c r="BR574" s="35">
        <f t="shared" si="352"/>
        <v>0</v>
      </c>
      <c r="BS574" s="35">
        <f t="shared" si="353"/>
        <v>0</v>
      </c>
      <c r="BT574" s="43">
        <f t="shared" si="354"/>
        <v>0</v>
      </c>
    </row>
    <row r="575" spans="1:72">
      <c r="A575" s="9"/>
      <c r="B575" s="34"/>
      <c r="C575" s="34"/>
      <c r="D575" s="1805"/>
      <c r="E575" s="35">
        <f t="shared" si="326"/>
        <v>0</v>
      </c>
      <c r="F575" s="36"/>
      <c r="G575" s="37">
        <f t="shared" si="327"/>
        <v>0</v>
      </c>
      <c r="H575" s="38">
        <f t="shared" si="328"/>
        <v>0</v>
      </c>
      <c r="I575" s="39"/>
      <c r="J575" s="39"/>
      <c r="K575" s="39"/>
      <c r="L575" s="39"/>
      <c r="M575" s="39"/>
      <c r="N575" s="39"/>
      <c r="O575" s="39"/>
      <c r="P575" s="39"/>
      <c r="Q575" s="39"/>
      <c r="R575" s="39"/>
      <c r="S575" s="39"/>
      <c r="T575" s="39"/>
      <c r="U575" s="39"/>
      <c r="V575" s="39"/>
      <c r="W575" s="39"/>
      <c r="X575" s="39"/>
      <c r="Y575" s="39"/>
      <c r="Z575" s="39"/>
      <c r="AA575" s="39"/>
      <c r="AB575" s="39"/>
      <c r="AC575" s="35">
        <f t="shared" si="329"/>
        <v>0</v>
      </c>
      <c r="AD575" s="40"/>
      <c r="AE575" s="40"/>
      <c r="AF575" s="40"/>
      <c r="AG575" s="40"/>
      <c r="AH575" s="40"/>
      <c r="AI575" s="40"/>
      <c r="AJ575" s="40"/>
      <c r="AK575" s="40"/>
      <c r="AL575" s="40"/>
      <c r="AM575" s="40"/>
      <c r="AN575" s="40"/>
      <c r="AO575" s="40"/>
      <c r="AP575" s="40"/>
      <c r="AQ575" s="40"/>
      <c r="AR575" s="40"/>
      <c r="AS575" s="40"/>
      <c r="AT575" s="41"/>
      <c r="AU575" s="1806"/>
      <c r="AV575" s="1517">
        <f t="shared" si="330"/>
        <v>0</v>
      </c>
      <c r="AW575" s="1517">
        <f t="shared" si="331"/>
        <v>0</v>
      </c>
      <c r="AX575" s="1517">
        <f t="shared" si="332"/>
        <v>0</v>
      </c>
      <c r="AY575" s="42">
        <f t="shared" si="333"/>
        <v>0</v>
      </c>
      <c r="AZ575" s="35">
        <f t="shared" si="334"/>
        <v>0</v>
      </c>
      <c r="BA575" s="35">
        <f t="shared" si="335"/>
        <v>0</v>
      </c>
      <c r="BB575" s="35">
        <f t="shared" si="336"/>
        <v>0</v>
      </c>
      <c r="BC575" s="35">
        <f t="shared" si="337"/>
        <v>0</v>
      </c>
      <c r="BD575" s="35">
        <f t="shared" si="338"/>
        <v>0</v>
      </c>
      <c r="BE575" s="35">
        <f t="shared" si="339"/>
        <v>0</v>
      </c>
      <c r="BF575" s="35">
        <f t="shared" si="340"/>
        <v>0</v>
      </c>
      <c r="BG575" s="35">
        <f t="shared" si="341"/>
        <v>0</v>
      </c>
      <c r="BH575" s="35">
        <f t="shared" si="342"/>
        <v>0</v>
      </c>
      <c r="BI575" s="35">
        <f t="shared" si="343"/>
        <v>0</v>
      </c>
      <c r="BJ575" s="35">
        <f t="shared" si="344"/>
        <v>0</v>
      </c>
      <c r="BK575" s="35">
        <f t="shared" si="345"/>
        <v>0</v>
      </c>
      <c r="BL575" s="35">
        <f t="shared" si="346"/>
        <v>0</v>
      </c>
      <c r="BM575" s="35">
        <f t="shared" si="347"/>
        <v>0</v>
      </c>
      <c r="BN575" s="35">
        <f t="shared" si="348"/>
        <v>0</v>
      </c>
      <c r="BO575" s="35">
        <f t="shared" si="349"/>
        <v>0</v>
      </c>
      <c r="BP575" s="35">
        <f t="shared" si="350"/>
        <v>0</v>
      </c>
      <c r="BQ575" s="35">
        <f t="shared" si="351"/>
        <v>0</v>
      </c>
      <c r="BR575" s="35">
        <f t="shared" si="352"/>
        <v>0</v>
      </c>
      <c r="BS575" s="35">
        <f t="shared" si="353"/>
        <v>0</v>
      </c>
      <c r="BT575" s="43">
        <f t="shared" si="354"/>
        <v>0</v>
      </c>
    </row>
    <row r="576" spans="1:72">
      <c r="A576" s="9"/>
      <c r="B576" s="34"/>
      <c r="C576" s="34"/>
      <c r="D576" s="1805"/>
      <c r="E576" s="35">
        <f t="shared" si="326"/>
        <v>0</v>
      </c>
      <c r="F576" s="36"/>
      <c r="G576" s="37">
        <f t="shared" si="327"/>
        <v>0</v>
      </c>
      <c r="H576" s="38">
        <f t="shared" si="328"/>
        <v>0</v>
      </c>
      <c r="I576" s="39"/>
      <c r="J576" s="39"/>
      <c r="K576" s="39"/>
      <c r="L576" s="39"/>
      <c r="M576" s="39"/>
      <c r="N576" s="39"/>
      <c r="O576" s="39"/>
      <c r="P576" s="39"/>
      <c r="Q576" s="39"/>
      <c r="R576" s="39"/>
      <c r="S576" s="39"/>
      <c r="T576" s="39"/>
      <c r="U576" s="39"/>
      <c r="V576" s="39"/>
      <c r="W576" s="39"/>
      <c r="X576" s="39"/>
      <c r="Y576" s="39"/>
      <c r="Z576" s="39"/>
      <c r="AA576" s="39"/>
      <c r="AB576" s="39"/>
      <c r="AC576" s="35">
        <f t="shared" si="329"/>
        <v>0</v>
      </c>
      <c r="AD576" s="40"/>
      <c r="AE576" s="40"/>
      <c r="AF576" s="40"/>
      <c r="AG576" s="40"/>
      <c r="AH576" s="40"/>
      <c r="AI576" s="40"/>
      <c r="AJ576" s="40"/>
      <c r="AK576" s="40"/>
      <c r="AL576" s="40"/>
      <c r="AM576" s="40"/>
      <c r="AN576" s="40"/>
      <c r="AO576" s="40"/>
      <c r="AP576" s="40"/>
      <c r="AQ576" s="40"/>
      <c r="AR576" s="40"/>
      <c r="AS576" s="40"/>
      <c r="AT576" s="41"/>
      <c r="AU576" s="1806"/>
      <c r="AV576" s="1517">
        <f t="shared" si="330"/>
        <v>0</v>
      </c>
      <c r="AW576" s="1517">
        <f t="shared" si="331"/>
        <v>0</v>
      </c>
      <c r="AX576" s="1517">
        <f t="shared" si="332"/>
        <v>0</v>
      </c>
      <c r="AY576" s="42">
        <f t="shared" si="333"/>
        <v>0</v>
      </c>
      <c r="AZ576" s="35">
        <f t="shared" si="334"/>
        <v>0</v>
      </c>
      <c r="BA576" s="35">
        <f t="shared" si="335"/>
        <v>0</v>
      </c>
      <c r="BB576" s="35">
        <f t="shared" si="336"/>
        <v>0</v>
      </c>
      <c r="BC576" s="35">
        <f t="shared" si="337"/>
        <v>0</v>
      </c>
      <c r="BD576" s="35">
        <f t="shared" si="338"/>
        <v>0</v>
      </c>
      <c r="BE576" s="35">
        <f t="shared" si="339"/>
        <v>0</v>
      </c>
      <c r="BF576" s="35">
        <f t="shared" si="340"/>
        <v>0</v>
      </c>
      <c r="BG576" s="35">
        <f t="shared" si="341"/>
        <v>0</v>
      </c>
      <c r="BH576" s="35">
        <f t="shared" si="342"/>
        <v>0</v>
      </c>
      <c r="BI576" s="35">
        <f t="shared" si="343"/>
        <v>0</v>
      </c>
      <c r="BJ576" s="35">
        <f t="shared" si="344"/>
        <v>0</v>
      </c>
      <c r="BK576" s="35">
        <f t="shared" si="345"/>
        <v>0</v>
      </c>
      <c r="BL576" s="35">
        <f t="shared" si="346"/>
        <v>0</v>
      </c>
      <c r="BM576" s="35">
        <f t="shared" si="347"/>
        <v>0</v>
      </c>
      <c r="BN576" s="35">
        <f t="shared" si="348"/>
        <v>0</v>
      </c>
      <c r="BO576" s="35">
        <f t="shared" si="349"/>
        <v>0</v>
      </c>
      <c r="BP576" s="35">
        <f t="shared" si="350"/>
        <v>0</v>
      </c>
      <c r="BQ576" s="35">
        <f t="shared" si="351"/>
        <v>0</v>
      </c>
      <c r="BR576" s="35">
        <f t="shared" si="352"/>
        <v>0</v>
      </c>
      <c r="BS576" s="35">
        <f t="shared" si="353"/>
        <v>0</v>
      </c>
      <c r="BT576" s="43">
        <f t="shared" si="354"/>
        <v>0</v>
      </c>
    </row>
    <row r="577" spans="1:72">
      <c r="A577" s="9"/>
      <c r="B577" s="34"/>
      <c r="C577" s="34"/>
      <c r="D577" s="1805"/>
      <c r="E577" s="35">
        <f t="shared" si="326"/>
        <v>0</v>
      </c>
      <c r="F577" s="36"/>
      <c r="G577" s="37">
        <f t="shared" si="327"/>
        <v>0</v>
      </c>
      <c r="H577" s="38">
        <f t="shared" si="328"/>
        <v>0</v>
      </c>
      <c r="I577" s="39"/>
      <c r="J577" s="39"/>
      <c r="K577" s="39"/>
      <c r="L577" s="39"/>
      <c r="M577" s="39"/>
      <c r="N577" s="39"/>
      <c r="O577" s="39"/>
      <c r="P577" s="39"/>
      <c r="Q577" s="39"/>
      <c r="R577" s="39"/>
      <c r="S577" s="39"/>
      <c r="T577" s="39"/>
      <c r="U577" s="39"/>
      <c r="V577" s="39"/>
      <c r="W577" s="39"/>
      <c r="X577" s="39"/>
      <c r="Y577" s="39"/>
      <c r="Z577" s="39"/>
      <c r="AA577" s="39"/>
      <c r="AB577" s="39"/>
      <c r="AC577" s="35">
        <f t="shared" si="329"/>
        <v>0</v>
      </c>
      <c r="AD577" s="40"/>
      <c r="AE577" s="40"/>
      <c r="AF577" s="40"/>
      <c r="AG577" s="40"/>
      <c r="AH577" s="40"/>
      <c r="AI577" s="40"/>
      <c r="AJ577" s="40"/>
      <c r="AK577" s="40"/>
      <c r="AL577" s="40"/>
      <c r="AM577" s="40"/>
      <c r="AN577" s="40"/>
      <c r="AO577" s="40"/>
      <c r="AP577" s="40"/>
      <c r="AQ577" s="40"/>
      <c r="AR577" s="40"/>
      <c r="AS577" s="40"/>
      <c r="AT577" s="41"/>
      <c r="AU577" s="1806"/>
      <c r="AV577" s="1517">
        <f t="shared" si="330"/>
        <v>0</v>
      </c>
      <c r="AW577" s="1517">
        <f t="shared" si="331"/>
        <v>0</v>
      </c>
      <c r="AX577" s="1517">
        <f t="shared" si="332"/>
        <v>0</v>
      </c>
      <c r="AY577" s="42">
        <f t="shared" si="333"/>
        <v>0</v>
      </c>
      <c r="AZ577" s="35">
        <f t="shared" si="334"/>
        <v>0</v>
      </c>
      <c r="BA577" s="35">
        <f t="shared" si="335"/>
        <v>0</v>
      </c>
      <c r="BB577" s="35">
        <f t="shared" si="336"/>
        <v>0</v>
      </c>
      <c r="BC577" s="35">
        <f t="shared" si="337"/>
        <v>0</v>
      </c>
      <c r="BD577" s="35">
        <f t="shared" si="338"/>
        <v>0</v>
      </c>
      <c r="BE577" s="35">
        <f t="shared" si="339"/>
        <v>0</v>
      </c>
      <c r="BF577" s="35">
        <f t="shared" si="340"/>
        <v>0</v>
      </c>
      <c r="BG577" s="35">
        <f t="shared" si="341"/>
        <v>0</v>
      </c>
      <c r="BH577" s="35">
        <f t="shared" si="342"/>
        <v>0</v>
      </c>
      <c r="BI577" s="35">
        <f t="shared" si="343"/>
        <v>0</v>
      </c>
      <c r="BJ577" s="35">
        <f t="shared" si="344"/>
        <v>0</v>
      </c>
      <c r="BK577" s="35">
        <f t="shared" si="345"/>
        <v>0</v>
      </c>
      <c r="BL577" s="35">
        <f t="shared" si="346"/>
        <v>0</v>
      </c>
      <c r="BM577" s="35">
        <f t="shared" si="347"/>
        <v>0</v>
      </c>
      <c r="BN577" s="35">
        <f t="shared" si="348"/>
        <v>0</v>
      </c>
      <c r="BO577" s="35">
        <f t="shared" si="349"/>
        <v>0</v>
      </c>
      <c r="BP577" s="35">
        <f t="shared" si="350"/>
        <v>0</v>
      </c>
      <c r="BQ577" s="35">
        <f t="shared" si="351"/>
        <v>0</v>
      </c>
      <c r="BR577" s="35">
        <f t="shared" si="352"/>
        <v>0</v>
      </c>
      <c r="BS577" s="35">
        <f t="shared" si="353"/>
        <v>0</v>
      </c>
      <c r="BT577" s="43">
        <f t="shared" si="354"/>
        <v>0</v>
      </c>
    </row>
    <row r="578" spans="1:72">
      <c r="A578" s="9"/>
      <c r="B578" s="34"/>
      <c r="C578" s="34"/>
      <c r="D578" s="1805"/>
      <c r="E578" s="35">
        <f t="shared" si="326"/>
        <v>0</v>
      </c>
      <c r="F578" s="36"/>
      <c r="G578" s="37">
        <f t="shared" si="327"/>
        <v>0</v>
      </c>
      <c r="H578" s="38">
        <f t="shared" si="328"/>
        <v>0</v>
      </c>
      <c r="I578" s="39"/>
      <c r="J578" s="39"/>
      <c r="K578" s="39"/>
      <c r="L578" s="39"/>
      <c r="M578" s="39"/>
      <c r="N578" s="39"/>
      <c r="O578" s="39"/>
      <c r="P578" s="39"/>
      <c r="Q578" s="39"/>
      <c r="R578" s="39"/>
      <c r="S578" s="39"/>
      <c r="T578" s="39"/>
      <c r="U578" s="39"/>
      <c r="V578" s="39"/>
      <c r="W578" s="39"/>
      <c r="X578" s="39"/>
      <c r="Y578" s="39"/>
      <c r="Z578" s="39"/>
      <c r="AA578" s="39"/>
      <c r="AB578" s="39"/>
      <c r="AC578" s="35">
        <f t="shared" si="329"/>
        <v>0</v>
      </c>
      <c r="AD578" s="40"/>
      <c r="AE578" s="40"/>
      <c r="AF578" s="40"/>
      <c r="AG578" s="40"/>
      <c r="AH578" s="40"/>
      <c r="AI578" s="40"/>
      <c r="AJ578" s="40"/>
      <c r="AK578" s="40"/>
      <c r="AL578" s="40"/>
      <c r="AM578" s="40"/>
      <c r="AN578" s="40"/>
      <c r="AO578" s="40"/>
      <c r="AP578" s="40"/>
      <c r="AQ578" s="40"/>
      <c r="AR578" s="40"/>
      <c r="AS578" s="40"/>
      <c r="AT578" s="41"/>
      <c r="AU578" s="1806"/>
      <c r="AV578" s="1517">
        <f t="shared" si="330"/>
        <v>0</v>
      </c>
      <c r="AW578" s="1517">
        <f t="shared" si="331"/>
        <v>0</v>
      </c>
      <c r="AX578" s="1517">
        <f t="shared" si="332"/>
        <v>0</v>
      </c>
      <c r="AY578" s="42">
        <f t="shared" si="333"/>
        <v>0</v>
      </c>
      <c r="AZ578" s="35">
        <f t="shared" si="334"/>
        <v>0</v>
      </c>
      <c r="BA578" s="35">
        <f t="shared" si="335"/>
        <v>0</v>
      </c>
      <c r="BB578" s="35">
        <f t="shared" si="336"/>
        <v>0</v>
      </c>
      <c r="BC578" s="35">
        <f t="shared" si="337"/>
        <v>0</v>
      </c>
      <c r="BD578" s="35">
        <f t="shared" si="338"/>
        <v>0</v>
      </c>
      <c r="BE578" s="35">
        <f t="shared" si="339"/>
        <v>0</v>
      </c>
      <c r="BF578" s="35">
        <f t="shared" si="340"/>
        <v>0</v>
      </c>
      <c r="BG578" s="35">
        <f t="shared" si="341"/>
        <v>0</v>
      </c>
      <c r="BH578" s="35">
        <f t="shared" si="342"/>
        <v>0</v>
      </c>
      <c r="BI578" s="35">
        <f t="shared" si="343"/>
        <v>0</v>
      </c>
      <c r="BJ578" s="35">
        <f t="shared" si="344"/>
        <v>0</v>
      </c>
      <c r="BK578" s="35">
        <f t="shared" si="345"/>
        <v>0</v>
      </c>
      <c r="BL578" s="35">
        <f t="shared" si="346"/>
        <v>0</v>
      </c>
      <c r="BM578" s="35">
        <f t="shared" si="347"/>
        <v>0</v>
      </c>
      <c r="BN578" s="35">
        <f t="shared" si="348"/>
        <v>0</v>
      </c>
      <c r="BO578" s="35">
        <f t="shared" si="349"/>
        <v>0</v>
      </c>
      <c r="BP578" s="35">
        <f t="shared" si="350"/>
        <v>0</v>
      </c>
      <c r="BQ578" s="35">
        <f t="shared" si="351"/>
        <v>0</v>
      </c>
      <c r="BR578" s="35">
        <f t="shared" si="352"/>
        <v>0</v>
      </c>
      <c r="BS578" s="35">
        <f t="shared" si="353"/>
        <v>0</v>
      </c>
      <c r="BT578" s="43">
        <f t="shared" si="354"/>
        <v>0</v>
      </c>
    </row>
    <row r="579" spans="1:72">
      <c r="A579" s="9"/>
      <c r="B579" s="34"/>
      <c r="C579" s="34"/>
      <c r="D579" s="1805"/>
      <c r="E579" s="35">
        <f t="shared" si="326"/>
        <v>0</v>
      </c>
      <c r="F579" s="36"/>
      <c r="G579" s="37">
        <f t="shared" si="327"/>
        <v>0</v>
      </c>
      <c r="H579" s="38">
        <f t="shared" si="328"/>
        <v>0</v>
      </c>
      <c r="I579" s="39"/>
      <c r="J579" s="39"/>
      <c r="K579" s="39"/>
      <c r="L579" s="39"/>
      <c r="M579" s="39"/>
      <c r="N579" s="39"/>
      <c r="O579" s="39"/>
      <c r="P579" s="39"/>
      <c r="Q579" s="39"/>
      <c r="R579" s="39"/>
      <c r="S579" s="39"/>
      <c r="T579" s="39"/>
      <c r="U579" s="39"/>
      <c r="V579" s="39"/>
      <c r="W579" s="39"/>
      <c r="X579" s="39"/>
      <c r="Y579" s="39"/>
      <c r="Z579" s="39"/>
      <c r="AA579" s="39"/>
      <c r="AB579" s="39"/>
      <c r="AC579" s="35">
        <f t="shared" si="329"/>
        <v>0</v>
      </c>
      <c r="AD579" s="40"/>
      <c r="AE579" s="40"/>
      <c r="AF579" s="40"/>
      <c r="AG579" s="40"/>
      <c r="AH579" s="40"/>
      <c r="AI579" s="40"/>
      <c r="AJ579" s="40"/>
      <c r="AK579" s="40"/>
      <c r="AL579" s="40"/>
      <c r="AM579" s="40"/>
      <c r="AN579" s="40"/>
      <c r="AO579" s="40"/>
      <c r="AP579" s="40"/>
      <c r="AQ579" s="40"/>
      <c r="AR579" s="40"/>
      <c r="AS579" s="40"/>
      <c r="AT579" s="41"/>
      <c r="AU579" s="1806"/>
      <c r="AV579" s="1517">
        <f t="shared" si="330"/>
        <v>0</v>
      </c>
      <c r="AW579" s="1517">
        <f t="shared" si="331"/>
        <v>0</v>
      </c>
      <c r="AX579" s="1517">
        <f t="shared" si="332"/>
        <v>0</v>
      </c>
      <c r="AY579" s="42">
        <f t="shared" si="333"/>
        <v>0</v>
      </c>
      <c r="AZ579" s="35">
        <f t="shared" si="334"/>
        <v>0</v>
      </c>
      <c r="BA579" s="35">
        <f t="shared" si="335"/>
        <v>0</v>
      </c>
      <c r="BB579" s="35">
        <f t="shared" si="336"/>
        <v>0</v>
      </c>
      <c r="BC579" s="35">
        <f t="shared" si="337"/>
        <v>0</v>
      </c>
      <c r="BD579" s="35">
        <f t="shared" si="338"/>
        <v>0</v>
      </c>
      <c r="BE579" s="35">
        <f t="shared" si="339"/>
        <v>0</v>
      </c>
      <c r="BF579" s="35">
        <f t="shared" si="340"/>
        <v>0</v>
      </c>
      <c r="BG579" s="35">
        <f t="shared" si="341"/>
        <v>0</v>
      </c>
      <c r="BH579" s="35">
        <f t="shared" si="342"/>
        <v>0</v>
      </c>
      <c r="BI579" s="35">
        <f t="shared" si="343"/>
        <v>0</v>
      </c>
      <c r="BJ579" s="35">
        <f t="shared" si="344"/>
        <v>0</v>
      </c>
      <c r="BK579" s="35">
        <f t="shared" si="345"/>
        <v>0</v>
      </c>
      <c r="BL579" s="35">
        <f t="shared" si="346"/>
        <v>0</v>
      </c>
      <c r="BM579" s="35">
        <f t="shared" si="347"/>
        <v>0</v>
      </c>
      <c r="BN579" s="35">
        <f t="shared" si="348"/>
        <v>0</v>
      </c>
      <c r="BO579" s="35">
        <f t="shared" si="349"/>
        <v>0</v>
      </c>
      <c r="BP579" s="35">
        <f t="shared" si="350"/>
        <v>0</v>
      </c>
      <c r="BQ579" s="35">
        <f t="shared" si="351"/>
        <v>0</v>
      </c>
      <c r="BR579" s="35">
        <f t="shared" si="352"/>
        <v>0</v>
      </c>
      <c r="BS579" s="35">
        <f t="shared" si="353"/>
        <v>0</v>
      </c>
      <c r="BT579" s="43">
        <f t="shared" si="354"/>
        <v>0</v>
      </c>
    </row>
    <row r="580" spans="1:72">
      <c r="A580" s="9"/>
      <c r="B580" s="34"/>
      <c r="C580" s="34"/>
      <c r="D580" s="1805"/>
      <c r="E580" s="35">
        <f t="shared" si="326"/>
        <v>0</v>
      </c>
      <c r="F580" s="36"/>
      <c r="G580" s="37">
        <f t="shared" si="327"/>
        <v>0</v>
      </c>
      <c r="H580" s="38">
        <f t="shared" si="328"/>
        <v>0</v>
      </c>
      <c r="I580" s="39"/>
      <c r="J580" s="39"/>
      <c r="K580" s="39"/>
      <c r="L580" s="39"/>
      <c r="M580" s="39"/>
      <c r="N580" s="39"/>
      <c r="O580" s="39"/>
      <c r="P580" s="39"/>
      <c r="Q580" s="39"/>
      <c r="R580" s="39"/>
      <c r="S580" s="39"/>
      <c r="T580" s="39"/>
      <c r="U580" s="39"/>
      <c r="V580" s="39"/>
      <c r="W580" s="39"/>
      <c r="X580" s="39"/>
      <c r="Y580" s="39"/>
      <c r="Z580" s="39"/>
      <c r="AA580" s="39"/>
      <c r="AB580" s="39"/>
      <c r="AC580" s="35">
        <f t="shared" si="329"/>
        <v>0</v>
      </c>
      <c r="AD580" s="40"/>
      <c r="AE580" s="40"/>
      <c r="AF580" s="40"/>
      <c r="AG580" s="40"/>
      <c r="AH580" s="40"/>
      <c r="AI580" s="40"/>
      <c r="AJ580" s="40"/>
      <c r="AK580" s="40"/>
      <c r="AL580" s="40"/>
      <c r="AM580" s="40"/>
      <c r="AN580" s="40"/>
      <c r="AO580" s="40"/>
      <c r="AP580" s="40"/>
      <c r="AQ580" s="40"/>
      <c r="AR580" s="40"/>
      <c r="AS580" s="40"/>
      <c r="AT580" s="41"/>
      <c r="AU580" s="1806"/>
      <c r="AV580" s="1517">
        <f t="shared" si="330"/>
        <v>0</v>
      </c>
      <c r="AW580" s="1517">
        <f t="shared" si="331"/>
        <v>0</v>
      </c>
      <c r="AX580" s="1517">
        <f t="shared" si="332"/>
        <v>0</v>
      </c>
      <c r="AY580" s="42">
        <f t="shared" si="333"/>
        <v>0</v>
      </c>
      <c r="AZ580" s="35">
        <f t="shared" si="334"/>
        <v>0</v>
      </c>
      <c r="BA580" s="35">
        <f t="shared" si="335"/>
        <v>0</v>
      </c>
      <c r="BB580" s="35">
        <f t="shared" si="336"/>
        <v>0</v>
      </c>
      <c r="BC580" s="35">
        <f t="shared" si="337"/>
        <v>0</v>
      </c>
      <c r="BD580" s="35">
        <f t="shared" si="338"/>
        <v>0</v>
      </c>
      <c r="BE580" s="35">
        <f t="shared" si="339"/>
        <v>0</v>
      </c>
      <c r="BF580" s="35">
        <f t="shared" si="340"/>
        <v>0</v>
      </c>
      <c r="BG580" s="35">
        <f t="shared" si="341"/>
        <v>0</v>
      </c>
      <c r="BH580" s="35">
        <f t="shared" si="342"/>
        <v>0</v>
      </c>
      <c r="BI580" s="35">
        <f t="shared" si="343"/>
        <v>0</v>
      </c>
      <c r="BJ580" s="35">
        <f t="shared" si="344"/>
        <v>0</v>
      </c>
      <c r="BK580" s="35">
        <f t="shared" si="345"/>
        <v>0</v>
      </c>
      <c r="BL580" s="35">
        <f t="shared" si="346"/>
        <v>0</v>
      </c>
      <c r="BM580" s="35">
        <f t="shared" si="347"/>
        <v>0</v>
      </c>
      <c r="BN580" s="35">
        <f t="shared" si="348"/>
        <v>0</v>
      </c>
      <c r="BO580" s="35">
        <f t="shared" si="349"/>
        <v>0</v>
      </c>
      <c r="BP580" s="35">
        <f t="shared" si="350"/>
        <v>0</v>
      </c>
      <c r="BQ580" s="35">
        <f t="shared" si="351"/>
        <v>0</v>
      </c>
      <c r="BR580" s="35">
        <f t="shared" si="352"/>
        <v>0</v>
      </c>
      <c r="BS580" s="35">
        <f t="shared" si="353"/>
        <v>0</v>
      </c>
      <c r="BT580" s="43">
        <f t="shared" si="354"/>
        <v>0</v>
      </c>
    </row>
    <row r="581" spans="1:72">
      <c r="A581" s="9"/>
      <c r="B581" s="34"/>
      <c r="C581" s="34"/>
      <c r="D581" s="1805"/>
      <c r="E581" s="35">
        <f t="shared" si="326"/>
        <v>0</v>
      </c>
      <c r="F581" s="36"/>
      <c r="G581" s="37">
        <f t="shared" si="327"/>
        <v>0</v>
      </c>
      <c r="H581" s="38">
        <f t="shared" si="328"/>
        <v>0</v>
      </c>
      <c r="I581" s="39"/>
      <c r="J581" s="39"/>
      <c r="K581" s="39"/>
      <c r="L581" s="39"/>
      <c r="M581" s="39"/>
      <c r="N581" s="39"/>
      <c r="O581" s="39"/>
      <c r="P581" s="39"/>
      <c r="Q581" s="39"/>
      <c r="R581" s="39"/>
      <c r="S581" s="39"/>
      <c r="T581" s="39"/>
      <c r="U581" s="39"/>
      <c r="V581" s="39"/>
      <c r="W581" s="39"/>
      <c r="X581" s="39"/>
      <c r="Y581" s="39"/>
      <c r="Z581" s="39"/>
      <c r="AA581" s="39"/>
      <c r="AB581" s="39"/>
      <c r="AC581" s="35">
        <f t="shared" si="329"/>
        <v>0</v>
      </c>
      <c r="AD581" s="40"/>
      <c r="AE581" s="40"/>
      <c r="AF581" s="40"/>
      <c r="AG581" s="40"/>
      <c r="AH581" s="40"/>
      <c r="AI581" s="40"/>
      <c r="AJ581" s="40"/>
      <c r="AK581" s="40"/>
      <c r="AL581" s="40"/>
      <c r="AM581" s="40"/>
      <c r="AN581" s="40"/>
      <c r="AO581" s="40"/>
      <c r="AP581" s="40"/>
      <c r="AQ581" s="40"/>
      <c r="AR581" s="40"/>
      <c r="AS581" s="40"/>
      <c r="AT581" s="41"/>
      <c r="AU581" s="1806"/>
      <c r="AV581" s="1517">
        <f t="shared" si="330"/>
        <v>0</v>
      </c>
      <c r="AW581" s="1517">
        <f t="shared" si="331"/>
        <v>0</v>
      </c>
      <c r="AX581" s="1517">
        <f t="shared" si="332"/>
        <v>0</v>
      </c>
      <c r="AY581" s="42">
        <f t="shared" si="333"/>
        <v>0</v>
      </c>
      <c r="AZ581" s="35">
        <f t="shared" si="334"/>
        <v>0</v>
      </c>
      <c r="BA581" s="35">
        <f t="shared" si="335"/>
        <v>0</v>
      </c>
      <c r="BB581" s="35">
        <f t="shared" si="336"/>
        <v>0</v>
      </c>
      <c r="BC581" s="35">
        <f t="shared" si="337"/>
        <v>0</v>
      </c>
      <c r="BD581" s="35">
        <f t="shared" si="338"/>
        <v>0</v>
      </c>
      <c r="BE581" s="35">
        <f t="shared" si="339"/>
        <v>0</v>
      </c>
      <c r="BF581" s="35">
        <f t="shared" si="340"/>
        <v>0</v>
      </c>
      <c r="BG581" s="35">
        <f t="shared" si="341"/>
        <v>0</v>
      </c>
      <c r="BH581" s="35">
        <f t="shared" si="342"/>
        <v>0</v>
      </c>
      <c r="BI581" s="35">
        <f t="shared" si="343"/>
        <v>0</v>
      </c>
      <c r="BJ581" s="35">
        <f t="shared" si="344"/>
        <v>0</v>
      </c>
      <c r="BK581" s="35">
        <f t="shared" si="345"/>
        <v>0</v>
      </c>
      <c r="BL581" s="35">
        <f t="shared" si="346"/>
        <v>0</v>
      </c>
      <c r="BM581" s="35">
        <f t="shared" si="347"/>
        <v>0</v>
      </c>
      <c r="BN581" s="35">
        <f t="shared" si="348"/>
        <v>0</v>
      </c>
      <c r="BO581" s="35">
        <f t="shared" si="349"/>
        <v>0</v>
      </c>
      <c r="BP581" s="35">
        <f t="shared" si="350"/>
        <v>0</v>
      </c>
      <c r="BQ581" s="35">
        <f t="shared" si="351"/>
        <v>0</v>
      </c>
      <c r="BR581" s="35">
        <f t="shared" si="352"/>
        <v>0</v>
      </c>
      <c r="BS581" s="35">
        <f t="shared" si="353"/>
        <v>0</v>
      </c>
      <c r="BT581" s="43">
        <f t="shared" si="354"/>
        <v>0</v>
      </c>
    </row>
    <row r="582" spans="1:72">
      <c r="A582" s="9"/>
      <c r="B582" s="34"/>
      <c r="C582" s="34"/>
      <c r="D582" s="1805"/>
      <c r="E582" s="35">
        <f t="shared" si="326"/>
        <v>0</v>
      </c>
      <c r="F582" s="36"/>
      <c r="G582" s="37">
        <f t="shared" si="327"/>
        <v>0</v>
      </c>
      <c r="H582" s="38">
        <f t="shared" si="328"/>
        <v>0</v>
      </c>
      <c r="I582" s="39"/>
      <c r="J582" s="39"/>
      <c r="K582" s="39"/>
      <c r="L582" s="39"/>
      <c r="M582" s="39"/>
      <c r="N582" s="39"/>
      <c r="O582" s="39"/>
      <c r="P582" s="39"/>
      <c r="Q582" s="39"/>
      <c r="R582" s="39"/>
      <c r="S582" s="39"/>
      <c r="T582" s="39"/>
      <c r="U582" s="39"/>
      <c r="V582" s="39"/>
      <c r="W582" s="39"/>
      <c r="X582" s="39"/>
      <c r="Y582" s="39"/>
      <c r="Z582" s="39"/>
      <c r="AA582" s="39"/>
      <c r="AB582" s="39"/>
      <c r="AC582" s="35">
        <f t="shared" si="329"/>
        <v>0</v>
      </c>
      <c r="AD582" s="40"/>
      <c r="AE582" s="40"/>
      <c r="AF582" s="40"/>
      <c r="AG582" s="40"/>
      <c r="AH582" s="40"/>
      <c r="AI582" s="40"/>
      <c r="AJ582" s="40"/>
      <c r="AK582" s="40"/>
      <c r="AL582" s="40"/>
      <c r="AM582" s="40"/>
      <c r="AN582" s="40"/>
      <c r="AO582" s="40"/>
      <c r="AP582" s="40"/>
      <c r="AQ582" s="40"/>
      <c r="AR582" s="40"/>
      <c r="AS582" s="40"/>
      <c r="AT582" s="41"/>
      <c r="AU582" s="1806"/>
      <c r="AV582" s="1517">
        <f t="shared" si="330"/>
        <v>0</v>
      </c>
      <c r="AW582" s="1517">
        <f t="shared" si="331"/>
        <v>0</v>
      </c>
      <c r="AX582" s="1517">
        <f t="shared" si="332"/>
        <v>0</v>
      </c>
      <c r="AY582" s="42">
        <f t="shared" si="333"/>
        <v>0</v>
      </c>
      <c r="AZ582" s="35">
        <f t="shared" si="334"/>
        <v>0</v>
      </c>
      <c r="BA582" s="35">
        <f t="shared" si="335"/>
        <v>0</v>
      </c>
      <c r="BB582" s="35">
        <f t="shared" si="336"/>
        <v>0</v>
      </c>
      <c r="BC582" s="35">
        <f t="shared" si="337"/>
        <v>0</v>
      </c>
      <c r="BD582" s="35">
        <f t="shared" si="338"/>
        <v>0</v>
      </c>
      <c r="BE582" s="35">
        <f t="shared" si="339"/>
        <v>0</v>
      </c>
      <c r="BF582" s="35">
        <f t="shared" si="340"/>
        <v>0</v>
      </c>
      <c r="BG582" s="35">
        <f t="shared" si="341"/>
        <v>0</v>
      </c>
      <c r="BH582" s="35">
        <f t="shared" si="342"/>
        <v>0</v>
      </c>
      <c r="BI582" s="35">
        <f t="shared" si="343"/>
        <v>0</v>
      </c>
      <c r="BJ582" s="35">
        <f t="shared" si="344"/>
        <v>0</v>
      </c>
      <c r="BK582" s="35">
        <f t="shared" si="345"/>
        <v>0</v>
      </c>
      <c r="BL582" s="35">
        <f t="shared" si="346"/>
        <v>0</v>
      </c>
      <c r="BM582" s="35">
        <f t="shared" si="347"/>
        <v>0</v>
      </c>
      <c r="BN582" s="35">
        <f t="shared" si="348"/>
        <v>0</v>
      </c>
      <c r="BO582" s="35">
        <f t="shared" si="349"/>
        <v>0</v>
      </c>
      <c r="BP582" s="35">
        <f t="shared" si="350"/>
        <v>0</v>
      </c>
      <c r="BQ582" s="35">
        <f t="shared" si="351"/>
        <v>0</v>
      </c>
      <c r="BR582" s="35">
        <f t="shared" si="352"/>
        <v>0</v>
      </c>
      <c r="BS582" s="35">
        <f t="shared" si="353"/>
        <v>0</v>
      </c>
      <c r="BT582" s="43">
        <f t="shared" si="354"/>
        <v>0</v>
      </c>
    </row>
    <row r="583" spans="1:72">
      <c r="A583" s="9"/>
      <c r="B583" s="34"/>
      <c r="C583" s="34"/>
      <c r="D583" s="1805"/>
      <c r="E583" s="35">
        <f t="shared" si="326"/>
        <v>0</v>
      </c>
      <c r="F583" s="36"/>
      <c r="G583" s="37">
        <f t="shared" si="327"/>
        <v>0</v>
      </c>
      <c r="H583" s="38">
        <f t="shared" si="328"/>
        <v>0</v>
      </c>
      <c r="I583" s="39"/>
      <c r="J583" s="39"/>
      <c r="K583" s="39"/>
      <c r="L583" s="39"/>
      <c r="M583" s="39"/>
      <c r="N583" s="39"/>
      <c r="O583" s="39"/>
      <c r="P583" s="39"/>
      <c r="Q583" s="39"/>
      <c r="R583" s="39"/>
      <c r="S583" s="39"/>
      <c r="T583" s="39"/>
      <c r="U583" s="39"/>
      <c r="V583" s="39"/>
      <c r="W583" s="39"/>
      <c r="X583" s="39"/>
      <c r="Y583" s="39"/>
      <c r="Z583" s="39"/>
      <c r="AA583" s="39"/>
      <c r="AB583" s="39"/>
      <c r="AC583" s="35">
        <f t="shared" si="329"/>
        <v>0</v>
      </c>
      <c r="AD583" s="40"/>
      <c r="AE583" s="40"/>
      <c r="AF583" s="40"/>
      <c r="AG583" s="40"/>
      <c r="AH583" s="40"/>
      <c r="AI583" s="40"/>
      <c r="AJ583" s="40"/>
      <c r="AK583" s="40"/>
      <c r="AL583" s="40"/>
      <c r="AM583" s="40"/>
      <c r="AN583" s="40"/>
      <c r="AO583" s="40"/>
      <c r="AP583" s="40"/>
      <c r="AQ583" s="40"/>
      <c r="AR583" s="40"/>
      <c r="AS583" s="40"/>
      <c r="AT583" s="41"/>
      <c r="AU583" s="1806"/>
      <c r="AV583" s="1517">
        <f t="shared" si="330"/>
        <v>0</v>
      </c>
      <c r="AW583" s="1517">
        <f t="shared" si="331"/>
        <v>0</v>
      </c>
      <c r="AX583" s="1517">
        <f t="shared" si="332"/>
        <v>0</v>
      </c>
      <c r="AY583" s="42">
        <f t="shared" si="333"/>
        <v>0</v>
      </c>
      <c r="AZ583" s="35">
        <f t="shared" si="334"/>
        <v>0</v>
      </c>
      <c r="BA583" s="35">
        <f t="shared" si="335"/>
        <v>0</v>
      </c>
      <c r="BB583" s="35">
        <f t="shared" si="336"/>
        <v>0</v>
      </c>
      <c r="BC583" s="35">
        <f t="shared" si="337"/>
        <v>0</v>
      </c>
      <c r="BD583" s="35">
        <f t="shared" si="338"/>
        <v>0</v>
      </c>
      <c r="BE583" s="35">
        <f t="shared" si="339"/>
        <v>0</v>
      </c>
      <c r="BF583" s="35">
        <f t="shared" si="340"/>
        <v>0</v>
      </c>
      <c r="BG583" s="35">
        <f t="shared" si="341"/>
        <v>0</v>
      </c>
      <c r="BH583" s="35">
        <f t="shared" si="342"/>
        <v>0</v>
      </c>
      <c r="BI583" s="35">
        <f t="shared" si="343"/>
        <v>0</v>
      </c>
      <c r="BJ583" s="35">
        <f t="shared" si="344"/>
        <v>0</v>
      </c>
      <c r="BK583" s="35">
        <f t="shared" si="345"/>
        <v>0</v>
      </c>
      <c r="BL583" s="35">
        <f t="shared" si="346"/>
        <v>0</v>
      </c>
      <c r="BM583" s="35">
        <f t="shared" si="347"/>
        <v>0</v>
      </c>
      <c r="BN583" s="35">
        <f t="shared" si="348"/>
        <v>0</v>
      </c>
      <c r="BO583" s="35">
        <f t="shared" si="349"/>
        <v>0</v>
      </c>
      <c r="BP583" s="35">
        <f t="shared" si="350"/>
        <v>0</v>
      </c>
      <c r="BQ583" s="35">
        <f t="shared" si="351"/>
        <v>0</v>
      </c>
      <c r="BR583" s="35">
        <f t="shared" si="352"/>
        <v>0</v>
      </c>
      <c r="BS583" s="35">
        <f t="shared" si="353"/>
        <v>0</v>
      </c>
      <c r="BT583" s="43">
        <f t="shared" si="354"/>
        <v>0</v>
      </c>
    </row>
    <row r="584" spans="1:72">
      <c r="A584" s="9"/>
      <c r="B584" s="34"/>
      <c r="C584" s="34"/>
      <c r="D584" s="1805"/>
      <c r="E584" s="35">
        <f t="shared" si="326"/>
        <v>0</v>
      </c>
      <c r="F584" s="36"/>
      <c r="G584" s="37">
        <f t="shared" si="327"/>
        <v>0</v>
      </c>
      <c r="H584" s="38">
        <f t="shared" si="328"/>
        <v>0</v>
      </c>
      <c r="I584" s="39"/>
      <c r="J584" s="39"/>
      <c r="K584" s="39"/>
      <c r="L584" s="39"/>
      <c r="M584" s="39"/>
      <c r="N584" s="39"/>
      <c r="O584" s="39"/>
      <c r="P584" s="39"/>
      <c r="Q584" s="39"/>
      <c r="R584" s="39"/>
      <c r="S584" s="39"/>
      <c r="T584" s="39"/>
      <c r="U584" s="39"/>
      <c r="V584" s="39"/>
      <c r="W584" s="39"/>
      <c r="X584" s="39"/>
      <c r="Y584" s="39"/>
      <c r="Z584" s="39"/>
      <c r="AA584" s="39"/>
      <c r="AB584" s="39"/>
      <c r="AC584" s="35">
        <f t="shared" si="329"/>
        <v>0</v>
      </c>
      <c r="AD584" s="40"/>
      <c r="AE584" s="40"/>
      <c r="AF584" s="40"/>
      <c r="AG584" s="40"/>
      <c r="AH584" s="40"/>
      <c r="AI584" s="40"/>
      <c r="AJ584" s="40"/>
      <c r="AK584" s="40"/>
      <c r="AL584" s="40"/>
      <c r="AM584" s="40"/>
      <c r="AN584" s="40"/>
      <c r="AO584" s="40"/>
      <c r="AP584" s="40"/>
      <c r="AQ584" s="40"/>
      <c r="AR584" s="40"/>
      <c r="AS584" s="40"/>
      <c r="AT584" s="41"/>
      <c r="AU584" s="1806"/>
      <c r="AV584" s="1517">
        <f t="shared" si="330"/>
        <v>0</v>
      </c>
      <c r="AW584" s="1517">
        <f t="shared" si="331"/>
        <v>0</v>
      </c>
      <c r="AX584" s="1517">
        <f t="shared" si="332"/>
        <v>0</v>
      </c>
      <c r="AY584" s="42">
        <f t="shared" si="333"/>
        <v>0</v>
      </c>
      <c r="AZ584" s="35">
        <f t="shared" si="334"/>
        <v>0</v>
      </c>
      <c r="BA584" s="35">
        <f t="shared" si="335"/>
        <v>0</v>
      </c>
      <c r="BB584" s="35">
        <f t="shared" si="336"/>
        <v>0</v>
      </c>
      <c r="BC584" s="35">
        <f t="shared" si="337"/>
        <v>0</v>
      </c>
      <c r="BD584" s="35">
        <f t="shared" si="338"/>
        <v>0</v>
      </c>
      <c r="BE584" s="35">
        <f t="shared" si="339"/>
        <v>0</v>
      </c>
      <c r="BF584" s="35">
        <f t="shared" si="340"/>
        <v>0</v>
      </c>
      <c r="BG584" s="35">
        <f t="shared" si="341"/>
        <v>0</v>
      </c>
      <c r="BH584" s="35">
        <f t="shared" si="342"/>
        <v>0</v>
      </c>
      <c r="BI584" s="35">
        <f t="shared" si="343"/>
        <v>0</v>
      </c>
      <c r="BJ584" s="35">
        <f t="shared" si="344"/>
        <v>0</v>
      </c>
      <c r="BK584" s="35">
        <f t="shared" si="345"/>
        <v>0</v>
      </c>
      <c r="BL584" s="35">
        <f t="shared" si="346"/>
        <v>0</v>
      </c>
      <c r="BM584" s="35">
        <f t="shared" si="347"/>
        <v>0</v>
      </c>
      <c r="BN584" s="35">
        <f t="shared" si="348"/>
        <v>0</v>
      </c>
      <c r="BO584" s="35">
        <f t="shared" si="349"/>
        <v>0</v>
      </c>
      <c r="BP584" s="35">
        <f t="shared" si="350"/>
        <v>0</v>
      </c>
      <c r="BQ584" s="35">
        <f t="shared" si="351"/>
        <v>0</v>
      </c>
      <c r="BR584" s="35">
        <f t="shared" si="352"/>
        <v>0</v>
      </c>
      <c r="BS584" s="35">
        <f t="shared" si="353"/>
        <v>0</v>
      </c>
      <c r="BT584" s="43">
        <f t="shared" si="354"/>
        <v>0</v>
      </c>
    </row>
    <row r="585" spans="1:72">
      <c r="A585" s="9"/>
      <c r="B585" s="9"/>
      <c r="C585" s="9"/>
      <c r="D585" s="1805"/>
      <c r="E585" s="35">
        <f t="shared" si="326"/>
        <v>0</v>
      </c>
      <c r="F585" s="44"/>
      <c r="G585" s="37">
        <f>H585+AC585+AT585</f>
        <v>0</v>
      </c>
      <c r="H585" s="38">
        <f>SUMIF(I$12:AB$12,"总值",I585:AB585)</f>
        <v>0</v>
      </c>
      <c r="I585" s="10"/>
      <c r="J585" s="10"/>
      <c r="K585" s="39"/>
      <c r="L585" s="39"/>
      <c r="M585" s="39"/>
      <c r="N585" s="39"/>
      <c r="O585" s="39"/>
      <c r="P585" s="39"/>
      <c r="Q585" s="39"/>
      <c r="R585" s="39"/>
      <c r="S585" s="39"/>
      <c r="T585" s="39"/>
      <c r="U585" s="39"/>
      <c r="V585" s="39"/>
      <c r="W585" s="39"/>
      <c r="X585" s="39"/>
      <c r="Y585" s="39"/>
      <c r="Z585" s="39"/>
      <c r="AA585" s="39"/>
      <c r="AB585" s="39"/>
      <c r="AC585" s="35">
        <f>SUMIF(AD$12:AS$12,"总值",AD585:AS585)</f>
        <v>0</v>
      </c>
      <c r="AD585" s="40"/>
      <c r="AE585" s="40"/>
      <c r="AF585" s="40"/>
      <c r="AG585" s="40"/>
      <c r="AH585" s="40"/>
      <c r="AI585" s="40"/>
      <c r="AJ585" s="40"/>
      <c r="AK585" s="40"/>
      <c r="AL585" s="40"/>
      <c r="AM585" s="40"/>
      <c r="AN585" s="40"/>
      <c r="AO585" s="40"/>
      <c r="AP585" s="40"/>
      <c r="AQ585" s="40"/>
      <c r="AR585" s="40"/>
      <c r="AS585" s="40"/>
      <c r="AT585" s="40"/>
      <c r="AU585" s="1746"/>
      <c r="AV585" s="1517">
        <f t="shared" si="330"/>
        <v>0</v>
      </c>
      <c r="AW585" s="1517">
        <f t="shared" si="331"/>
        <v>0</v>
      </c>
      <c r="AX585" s="1517">
        <f t="shared" si="332"/>
        <v>0</v>
      </c>
      <c r="AY585" s="42">
        <f>ROUND($AY$6*AZ585/$AZ$5,2)</f>
        <v>0</v>
      </c>
      <c r="AZ585" s="35">
        <f>BA585+BL585</f>
        <v>0</v>
      </c>
      <c r="BA585" s="35">
        <f>SUM(BB585:BK585)</f>
        <v>0</v>
      </c>
      <c r="BB585" s="35">
        <f>IF($D585="是",I585-J585,0)</f>
        <v>0</v>
      </c>
      <c r="BC585" s="35">
        <f>IF($D585="是",K585-L585,0)</f>
        <v>0</v>
      </c>
      <c r="BD585" s="35">
        <f>IF($D585="是",M585-N585,0)</f>
        <v>0</v>
      </c>
      <c r="BE585" s="35">
        <f>IF($D585="是",O585-P585,0)</f>
        <v>0</v>
      </c>
      <c r="BF585" s="35">
        <f>IF($D585="是",Q585-R585,0)</f>
        <v>0</v>
      </c>
      <c r="BG585" s="35">
        <f>IF($D585="是",S585-T585,0)</f>
        <v>0</v>
      </c>
      <c r="BH585" s="35">
        <f>IF($D585="是",U585-V585,0)</f>
        <v>0</v>
      </c>
      <c r="BI585" s="35">
        <f>IF($D585="是",W585-X585,0)</f>
        <v>0</v>
      </c>
      <c r="BJ585" s="35">
        <f>IF($D585="是",Y585-Z585,0)</f>
        <v>0</v>
      </c>
      <c r="BK585" s="35">
        <f>IF($D585="是",AA585-AB585,0)</f>
        <v>0</v>
      </c>
      <c r="BL585" s="35">
        <f>SUM(BM585:BT585)</f>
        <v>0</v>
      </c>
      <c r="BM585" s="35">
        <f>IF($D585="是",AD585-AE585,0)</f>
        <v>0</v>
      </c>
      <c r="BN585" s="35">
        <f>IF($D585="是",AF585-AG585,0)</f>
        <v>0</v>
      </c>
      <c r="BO585" s="35">
        <f>IF($D585="是",AH585-AI585,0)</f>
        <v>0</v>
      </c>
      <c r="BP585" s="35">
        <f>IF($D585="是",AJ585-AK585,0)</f>
        <v>0</v>
      </c>
      <c r="BQ585" s="35">
        <f>IF($D585="是",AL585-AM585,0)</f>
        <v>0</v>
      </c>
      <c r="BR585" s="35">
        <f>IF($D585="是",AN585-AO585,0)</f>
        <v>0</v>
      </c>
      <c r="BS585" s="35">
        <f>IF($D585="是",AP585-AQ585,0)</f>
        <v>0</v>
      </c>
      <c r="BT585" s="43">
        <f>IF($D585="是",AR585-AS585,0)</f>
        <v>0</v>
      </c>
    </row>
    <row r="586" spans="1:72">
      <c r="A586" s="9"/>
      <c r="B586" s="9"/>
      <c r="C586" s="9"/>
      <c r="D586" s="1805"/>
      <c r="E586" s="35">
        <f t="shared" si="326"/>
        <v>0</v>
      </c>
      <c r="F586" s="44"/>
      <c r="G586" s="37">
        <f>H586+AC586+AT586</f>
        <v>0</v>
      </c>
      <c r="H586" s="38">
        <f>SUMIF(I$12:AB$12,"总值",I586:AB586)</f>
        <v>0</v>
      </c>
      <c r="I586" s="39"/>
      <c r="J586" s="39"/>
      <c r="K586" s="39"/>
      <c r="L586" s="39"/>
      <c r="M586" s="39"/>
      <c r="N586" s="39"/>
      <c r="O586" s="39"/>
      <c r="P586" s="39"/>
      <c r="Q586" s="39"/>
      <c r="R586" s="39"/>
      <c r="S586" s="39"/>
      <c r="T586" s="39"/>
      <c r="U586" s="39"/>
      <c r="V586" s="39"/>
      <c r="W586" s="39"/>
      <c r="X586" s="39"/>
      <c r="Y586" s="39"/>
      <c r="Z586" s="39"/>
      <c r="AA586" s="39"/>
      <c r="AB586" s="39"/>
      <c r="AC586" s="35">
        <f>SUMIF(AD$12:AS$12,"总值",AD586:AS586)</f>
        <v>0</v>
      </c>
      <c r="AD586" s="40"/>
      <c r="AE586" s="40"/>
      <c r="AF586" s="40"/>
      <c r="AG586" s="40"/>
      <c r="AH586" s="40"/>
      <c r="AI586" s="40"/>
      <c r="AJ586" s="40"/>
      <c r="AK586" s="40"/>
      <c r="AL586" s="40"/>
      <c r="AM586" s="40"/>
      <c r="AN586" s="40"/>
      <c r="AO586" s="40"/>
      <c r="AP586" s="40"/>
      <c r="AQ586" s="40"/>
      <c r="AR586" s="40"/>
      <c r="AS586" s="40"/>
      <c r="AT586" s="40"/>
      <c r="AU586" s="1746"/>
      <c r="AV586" s="1517">
        <f t="shared" si="330"/>
        <v>0</v>
      </c>
      <c r="AW586" s="1517">
        <f t="shared" si="331"/>
        <v>0</v>
      </c>
      <c r="AX586" s="1517">
        <f t="shared" si="332"/>
        <v>0</v>
      </c>
      <c r="AY586" s="42">
        <f>ROUND($AY$6*AZ586/$AZ$5,2)</f>
        <v>0</v>
      </c>
      <c r="AZ586" s="35">
        <f>BA586+BL586</f>
        <v>0</v>
      </c>
      <c r="BA586" s="35">
        <f>SUM(BB586:BK586)</f>
        <v>0</v>
      </c>
      <c r="BB586" s="35">
        <f>IF($D586="是",I586-J586,0)</f>
        <v>0</v>
      </c>
      <c r="BC586" s="35">
        <f>IF($D586="是",K586-L586,0)</f>
        <v>0</v>
      </c>
      <c r="BD586" s="35">
        <f>IF($D586="是",M586-N586,0)</f>
        <v>0</v>
      </c>
      <c r="BE586" s="35">
        <f>IF($D586="是",O586-P586,0)</f>
        <v>0</v>
      </c>
      <c r="BF586" s="35">
        <f>IF($D586="是",Q586-R586,0)</f>
        <v>0</v>
      </c>
      <c r="BG586" s="35">
        <f>IF($D586="是",S586-T586,0)</f>
        <v>0</v>
      </c>
      <c r="BH586" s="35">
        <f>IF($D586="是",U586-V586,0)</f>
        <v>0</v>
      </c>
      <c r="BI586" s="35">
        <f>IF($D586="是",W586-X586,0)</f>
        <v>0</v>
      </c>
      <c r="BJ586" s="35">
        <f>IF($D586="是",Y586-Z586,0)</f>
        <v>0</v>
      </c>
      <c r="BK586" s="35">
        <f>IF($D586="是",AA586-AB586,0)</f>
        <v>0</v>
      </c>
      <c r="BL586" s="35">
        <f>SUM(BM586:BT586)</f>
        <v>0</v>
      </c>
      <c r="BM586" s="35">
        <f>IF($D586="是",AD586-AE586,0)</f>
        <v>0</v>
      </c>
      <c r="BN586" s="35">
        <f>IF($D586="是",AF586-AG586,0)</f>
        <v>0</v>
      </c>
      <c r="BO586" s="35">
        <f>IF($D586="是",AH586-AI586,0)</f>
        <v>0</v>
      </c>
      <c r="BP586" s="35">
        <f>IF($D586="是",AJ586-AK586,0)</f>
        <v>0</v>
      </c>
      <c r="BQ586" s="35">
        <f>IF($D586="是",AL586-AM586,0)</f>
        <v>0</v>
      </c>
      <c r="BR586" s="35">
        <f>IF($D586="是",AN586-AO586,0)</f>
        <v>0</v>
      </c>
      <c r="BS586" s="35">
        <f>IF($D586="是",AP586-AQ586,0)</f>
        <v>0</v>
      </c>
      <c r="BT586" s="43">
        <f>IF($D586="是",AR586-AS586,0)</f>
        <v>0</v>
      </c>
    </row>
    <row r="587" spans="1:72">
      <c r="A587" s="9"/>
      <c r="B587" s="9"/>
      <c r="C587" s="9"/>
      <c r="D587" s="1805"/>
      <c r="E587" s="35">
        <f t="shared" si="326"/>
        <v>0</v>
      </c>
      <c r="F587" s="44"/>
      <c r="G587" s="37">
        <f>H587+AC587+AT587</f>
        <v>0</v>
      </c>
      <c r="H587" s="38">
        <f>SUMIF(I$12:AB$12,"总值",I587:AB587)</f>
        <v>0</v>
      </c>
      <c r="I587" s="39"/>
      <c r="J587" s="39"/>
      <c r="K587" s="39"/>
      <c r="L587" s="39"/>
      <c r="M587" s="39"/>
      <c r="N587" s="39"/>
      <c r="O587" s="39"/>
      <c r="P587" s="39"/>
      <c r="Q587" s="39"/>
      <c r="R587" s="39"/>
      <c r="S587" s="39"/>
      <c r="T587" s="39"/>
      <c r="U587" s="39"/>
      <c r="V587" s="39"/>
      <c r="W587" s="39"/>
      <c r="X587" s="39"/>
      <c r="Y587" s="39"/>
      <c r="Z587" s="39"/>
      <c r="AA587" s="39"/>
      <c r="AB587" s="39"/>
      <c r="AC587" s="35">
        <f>SUMIF(AD$12:AS$12,"总值",AD587:AS587)</f>
        <v>0</v>
      </c>
      <c r="AD587" s="40"/>
      <c r="AE587" s="40"/>
      <c r="AF587" s="40"/>
      <c r="AG587" s="40"/>
      <c r="AH587" s="40"/>
      <c r="AI587" s="40"/>
      <c r="AJ587" s="40"/>
      <c r="AK587" s="40"/>
      <c r="AL587" s="40"/>
      <c r="AM587" s="40"/>
      <c r="AN587" s="40"/>
      <c r="AO587" s="40"/>
      <c r="AP587" s="40"/>
      <c r="AQ587" s="40"/>
      <c r="AR587" s="40"/>
      <c r="AS587" s="40"/>
      <c r="AT587" s="40"/>
      <c r="AU587" s="1746"/>
      <c r="AV587" s="1517">
        <f t="shared" si="330"/>
        <v>0</v>
      </c>
      <c r="AW587" s="1517">
        <f t="shared" si="331"/>
        <v>0</v>
      </c>
      <c r="AX587" s="1517">
        <f t="shared" si="332"/>
        <v>0</v>
      </c>
      <c r="AY587" s="42">
        <f>ROUND($AY$6*AZ587/$AZ$5,2)</f>
        <v>0</v>
      </c>
      <c r="AZ587" s="35">
        <f>BA587+BL587</f>
        <v>0</v>
      </c>
      <c r="BA587" s="35">
        <f>SUM(BB587:BK587)</f>
        <v>0</v>
      </c>
      <c r="BB587" s="35">
        <f>IF($D587="是",I587-J587,0)</f>
        <v>0</v>
      </c>
      <c r="BC587" s="35">
        <f>IF($D587="是",K587-L587,0)</f>
        <v>0</v>
      </c>
      <c r="BD587" s="35">
        <f>IF($D587="是",M587-N587,0)</f>
        <v>0</v>
      </c>
      <c r="BE587" s="35">
        <f>IF($D587="是",O587-P587,0)</f>
        <v>0</v>
      </c>
      <c r="BF587" s="35">
        <f>IF($D587="是",Q587-R587,0)</f>
        <v>0</v>
      </c>
      <c r="BG587" s="35">
        <f>IF($D587="是",S587-T587,0)</f>
        <v>0</v>
      </c>
      <c r="BH587" s="35">
        <f>IF($D587="是",U587-V587,0)</f>
        <v>0</v>
      </c>
      <c r="BI587" s="35">
        <f>IF($D587="是",W587-X587,0)</f>
        <v>0</v>
      </c>
      <c r="BJ587" s="35">
        <f>IF($D587="是",Y587-Z587,0)</f>
        <v>0</v>
      </c>
      <c r="BK587" s="35">
        <f>IF($D587="是",AA587-AB587,0)</f>
        <v>0</v>
      </c>
      <c r="BL587" s="35">
        <f>SUM(BM587:BT587)</f>
        <v>0</v>
      </c>
      <c r="BM587" s="35">
        <f>IF($D587="是",AD587-AE587,0)</f>
        <v>0</v>
      </c>
      <c r="BN587" s="35">
        <f>IF($D587="是",AF587-AG587,0)</f>
        <v>0</v>
      </c>
      <c r="BO587" s="35">
        <f>IF($D587="是",AH587-AI587,0)</f>
        <v>0</v>
      </c>
      <c r="BP587" s="35">
        <f>IF($D587="是",AJ587-AK587,0)</f>
        <v>0</v>
      </c>
      <c r="BQ587" s="35">
        <f>IF($D587="是",AL587-AM587,0)</f>
        <v>0</v>
      </c>
      <c r="BR587" s="35">
        <f>IF($D587="是",AN587-AO587,0)</f>
        <v>0</v>
      </c>
      <c r="BS587" s="35">
        <f>IF($D587="是",AP587-AQ587,0)</f>
        <v>0</v>
      </c>
      <c r="BT587" s="43">
        <f>IF($D587="是",AR587-AS587,0)</f>
        <v>0</v>
      </c>
    </row>
    <row r="588" spans="1:72" s="1809" customFormat="1">
      <c r="A588" s="1807"/>
      <c r="B588" s="1807"/>
      <c r="C588" s="1807"/>
      <c r="D588" s="1807"/>
      <c r="E588" s="1808"/>
      <c r="F588" s="1808"/>
      <c r="G588" s="1807"/>
      <c r="H588" s="1808"/>
      <c r="I588" s="1808"/>
      <c r="J588" s="1808"/>
      <c r="K588" s="1808"/>
      <c r="L588" s="1808"/>
      <c r="M588" s="1808"/>
      <c r="N588" s="1808"/>
      <c r="O588" s="1808"/>
      <c r="P588" s="1808"/>
      <c r="Q588" s="1808"/>
      <c r="R588" s="1808"/>
      <c r="S588" s="1808"/>
      <c r="T588" s="1808"/>
      <c r="U588" s="1808"/>
      <c r="V588" s="1808"/>
      <c r="W588" s="1808"/>
      <c r="X588" s="1808"/>
      <c r="Y588" s="1808"/>
      <c r="Z588" s="1808"/>
      <c r="AA588" s="1808"/>
      <c r="AB588" s="1808"/>
      <c r="AC588" s="1808"/>
      <c r="AD588" s="1808"/>
      <c r="AE588" s="1808"/>
      <c r="AF588" s="1808"/>
      <c r="AG588" s="1808"/>
      <c r="AH588" s="1808"/>
      <c r="AI588" s="1808"/>
      <c r="AJ588" s="1808"/>
      <c r="AK588" s="1808"/>
      <c r="AL588" s="1808"/>
      <c r="AM588" s="1808"/>
      <c r="AN588" s="1808"/>
      <c r="AO588" s="1808"/>
      <c r="AP588" s="1808"/>
      <c r="AQ588" s="1808"/>
      <c r="AR588" s="1808"/>
      <c r="AS588" s="1808"/>
      <c r="AT588" s="1808"/>
      <c r="AU588" s="1807"/>
      <c r="AV588" s="1807"/>
      <c r="AW588" s="1807"/>
      <c r="AX588" s="1807"/>
    </row>
    <row r="589" spans="1:72" s="1810" customFormat="1">
      <c r="C589" s="1811"/>
      <c r="D589" s="1811"/>
    </row>
    <row r="590" spans="1:72" s="1810" customFormat="1">
      <c r="C590" s="1811"/>
      <c r="D590" s="1811"/>
    </row>
    <row r="593" spans="2:2">
      <c r="B593" s="1811"/>
    </row>
  </sheetData>
  <sheetProtection password="C66D" sheet="1" objects="1" scenarios="1" formatCells="0" formatColumns="0" formatRows="0"/>
  <phoneticPr fontId="3" type="noConversion"/>
  <dataValidations count="5">
    <dataValidation type="list" allowBlank="1" showInputMessage="1" showErrorMessage="1" sqref="C3 D13:D587">
      <formula1>判定</formula1>
    </dataValidation>
    <dataValidation type="list" errorStyle="warning" allowBlank="1" showInputMessage="1" showErrorMessage="1" sqref="I9 K9 M9 O9 Q9 S9 U9 W9 Y9 AA9">
      <formula1>位置</formula1>
    </dataValidation>
    <dataValidation type="list" allowBlank="1" showErrorMessage="1" sqref="AA10 K10 M10 O10 Q10 S10 U10 W10 Y10">
      <formula1>主用途</formula1>
    </dataValidation>
    <dataValidation type="list" allowBlank="1" showInputMessage="1" showErrorMessage="1" sqref="I11 K11 M11 O11 Q11 S11 U11 W11 Y11 AA11">
      <formula1>用途明细</formula1>
    </dataValidation>
    <dataValidation type="list" allowBlank="1" showInputMessage="1" showErrorMessage="1" sqref="I10">
      <formula1>主用途</formula1>
    </dataValidation>
  </dataValidations>
  <pageMargins left="0.7" right="0.7" top="0.75" bottom="0.75" header="0.3" footer="0.3"/>
  <pageSetup paperSize="9" scale="23" fitToHeight="0" orientation="landscape"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3" customWidth="1"/>
    <col min="2" max="2" width="10.625" style="3" customWidth="1"/>
    <col min="3" max="3" width="15.75" style="3" customWidth="1"/>
    <col min="4" max="7" width="9.5" style="3" bestFit="1" customWidth="1"/>
    <col min="8" max="13" width="9.125" style="3" bestFit="1" customWidth="1"/>
    <col min="14" max="16384" width="9" style="3"/>
  </cols>
  <sheetData>
    <row r="1" spans="1:13" ht="14.25">
      <c r="A1" s="3237" t="s">
        <v>0</v>
      </c>
      <c r="B1" s="3237" t="s">
        <v>4</v>
      </c>
      <c r="C1" s="3237" t="s">
        <v>5</v>
      </c>
      <c r="D1" s="3238" t="s">
        <v>53</v>
      </c>
      <c r="E1" s="3238" t="s">
        <v>54</v>
      </c>
      <c r="F1" s="3238"/>
      <c r="G1" s="3238"/>
      <c r="H1" s="3238"/>
      <c r="I1" s="3238"/>
      <c r="J1" s="3238"/>
      <c r="K1" s="3238"/>
      <c r="L1" s="3238"/>
      <c r="M1" s="3238"/>
    </row>
    <row r="2" spans="1:13" ht="27" customHeight="1">
      <c r="A2" s="3237"/>
      <c r="B2" s="3237"/>
      <c r="C2" s="3237"/>
      <c r="D2" s="3238"/>
      <c r="E2" s="3238" t="s">
        <v>37</v>
      </c>
      <c r="F2" s="3238" t="s">
        <v>38</v>
      </c>
      <c r="G2" s="3238"/>
      <c r="H2" s="3238"/>
      <c r="I2" s="3238"/>
      <c r="J2" s="3238" t="s">
        <v>39</v>
      </c>
      <c r="K2" s="3238"/>
      <c r="L2" s="3238"/>
      <c r="M2" s="3238"/>
    </row>
    <row r="3" spans="1:13" ht="28.5">
      <c r="A3" s="3237"/>
      <c r="B3" s="3237"/>
      <c r="C3" s="3237"/>
      <c r="D3" s="3238"/>
      <c r="E3" s="3238"/>
      <c r="F3" s="4" t="s">
        <v>40</v>
      </c>
      <c r="G3" s="4" t="s">
        <v>35</v>
      </c>
      <c r="H3" s="4" t="s">
        <v>36</v>
      </c>
      <c r="I3" s="4" t="s">
        <v>49</v>
      </c>
      <c r="J3" s="4" t="s">
        <v>40</v>
      </c>
      <c r="K3" s="4" t="s">
        <v>51</v>
      </c>
      <c r="L3" s="4" t="s">
        <v>50</v>
      </c>
      <c r="M3" s="4" t="s">
        <v>52</v>
      </c>
    </row>
    <row r="4" spans="1:13" ht="42.75">
      <c r="A4" s="4" t="s">
        <v>41</v>
      </c>
      <c r="B4" s="4" t="s">
        <v>42</v>
      </c>
      <c r="C4" s="4" t="s">
        <v>43</v>
      </c>
      <c r="D4" s="5">
        <v>3807.94</v>
      </c>
      <c r="E4" s="5">
        <v>20666.91</v>
      </c>
      <c r="F4" s="5">
        <v>19673</v>
      </c>
      <c r="G4" s="5">
        <v>0</v>
      </c>
      <c r="H4" s="5">
        <v>19673</v>
      </c>
      <c r="I4" s="5">
        <v>0</v>
      </c>
      <c r="J4" s="5">
        <v>993.90999999999985</v>
      </c>
      <c r="K4" s="5">
        <v>0</v>
      </c>
      <c r="L4" s="5">
        <v>0</v>
      </c>
      <c r="M4" s="5">
        <v>993.90999999999985</v>
      </c>
    </row>
    <row r="5" spans="1:13" ht="42.75">
      <c r="A5" s="4" t="s">
        <v>41</v>
      </c>
      <c r="B5" s="4" t="s">
        <v>44</v>
      </c>
      <c r="C5" s="4" t="s">
        <v>45</v>
      </c>
      <c r="D5" s="5">
        <v>3667.86</v>
      </c>
      <c r="E5" s="5">
        <v>19906.61</v>
      </c>
      <c r="F5" s="5">
        <v>18792.87</v>
      </c>
      <c r="G5" s="5">
        <v>18792.87</v>
      </c>
      <c r="H5" s="5">
        <v>0</v>
      </c>
      <c r="I5" s="5">
        <v>0</v>
      </c>
      <c r="J5" s="5">
        <v>1113.74</v>
      </c>
      <c r="K5" s="5">
        <v>55.59</v>
      </c>
      <c r="L5" s="5">
        <v>0</v>
      </c>
      <c r="M5" s="5">
        <v>1058.1500000000001</v>
      </c>
    </row>
    <row r="6" spans="1:13" ht="42.75">
      <c r="A6" s="4" t="s">
        <v>41</v>
      </c>
      <c r="B6" s="4" t="s">
        <v>44</v>
      </c>
      <c r="C6" s="4" t="s">
        <v>46</v>
      </c>
      <c r="D6" s="5">
        <v>2067.52</v>
      </c>
      <c r="E6" s="5">
        <v>11221.06</v>
      </c>
      <c r="F6" s="5">
        <v>9934.1299999999992</v>
      </c>
      <c r="G6" s="5">
        <v>9934.1299999999992</v>
      </c>
      <c r="H6" s="5">
        <v>0</v>
      </c>
      <c r="I6" s="5">
        <v>0</v>
      </c>
      <c r="J6" s="5">
        <v>1286.93</v>
      </c>
      <c r="K6" s="5">
        <v>0</v>
      </c>
      <c r="L6" s="5">
        <v>0</v>
      </c>
      <c r="M6" s="5">
        <v>1286.93</v>
      </c>
    </row>
    <row r="7" spans="1:13" ht="42.75">
      <c r="A7" s="4" t="s">
        <v>41</v>
      </c>
      <c r="B7" s="4" t="s">
        <v>44</v>
      </c>
      <c r="C7" s="4" t="s">
        <v>47</v>
      </c>
      <c r="D7" s="5">
        <v>8.18</v>
      </c>
      <c r="E7" s="5">
        <v>44.41</v>
      </c>
      <c r="F7" s="5">
        <v>0</v>
      </c>
      <c r="G7" s="5">
        <v>0</v>
      </c>
      <c r="H7" s="5">
        <v>0</v>
      </c>
      <c r="I7" s="5">
        <v>0</v>
      </c>
      <c r="J7" s="5">
        <v>44.41</v>
      </c>
      <c r="K7" s="5">
        <v>44.41</v>
      </c>
      <c r="L7" s="5">
        <v>0</v>
      </c>
      <c r="M7" s="5">
        <v>0</v>
      </c>
    </row>
    <row r="8" spans="1:13" ht="42.75">
      <c r="A8" s="4" t="s">
        <v>41</v>
      </c>
      <c r="B8" s="4" t="s">
        <v>44</v>
      </c>
      <c r="C8" s="4" t="s">
        <v>48</v>
      </c>
      <c r="D8" s="5">
        <v>2455.5300000000002</v>
      </c>
      <c r="E8" s="5">
        <v>13326.96</v>
      </c>
      <c r="F8" s="5">
        <v>9231.0499999999993</v>
      </c>
      <c r="G8" s="5">
        <v>0</v>
      </c>
      <c r="H8" s="5">
        <v>0</v>
      </c>
      <c r="I8" s="5">
        <v>9231.0499999999993</v>
      </c>
      <c r="J8" s="5">
        <v>4095.91</v>
      </c>
      <c r="K8" s="5">
        <v>0</v>
      </c>
      <c r="L8" s="5">
        <v>3320.79</v>
      </c>
      <c r="M8" s="5">
        <v>775.12</v>
      </c>
    </row>
    <row r="9" spans="1:13" ht="27" customHeight="1">
      <c r="A9" s="3238" t="s">
        <v>55</v>
      </c>
      <c r="B9" s="3238"/>
      <c r="C9" s="3238"/>
      <c r="D9" s="5">
        <v>12007.03</v>
      </c>
      <c r="E9" s="5">
        <v>65165.950000000004</v>
      </c>
      <c r="F9" s="5">
        <v>57631.049999999988</v>
      </c>
      <c r="G9" s="5">
        <v>28727</v>
      </c>
      <c r="H9" s="5">
        <v>19673</v>
      </c>
      <c r="I9" s="5">
        <v>9231.0499999999993</v>
      </c>
      <c r="J9" s="5">
        <v>7534.9</v>
      </c>
      <c r="K9" s="5">
        <v>100</v>
      </c>
      <c r="L9" s="5">
        <v>3320.79</v>
      </c>
      <c r="M9" s="5">
        <v>4114.1099999999997</v>
      </c>
    </row>
  </sheetData>
  <mergeCells count="9">
    <mergeCell ref="A1:A3"/>
    <mergeCell ref="E2:E3"/>
    <mergeCell ref="A9:C9"/>
    <mergeCell ref="F2:I2"/>
    <mergeCell ref="J2:M2"/>
    <mergeCell ref="E1:M1"/>
    <mergeCell ref="D1:D3"/>
    <mergeCell ref="C1:C3"/>
    <mergeCell ref="B1:B3"/>
  </mergeCells>
  <phoneticPr fontId="42" type="noConversion"/>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FFFF00"/>
    <pageSetUpPr fitToPage="1"/>
  </sheetPr>
  <dimension ref="A1:S33"/>
  <sheetViews>
    <sheetView view="pageBreakPreview" topLeftCell="B1" zoomScale="85" zoomScaleNormal="100" zoomScaleSheetLayoutView="85" workbookViewId="0">
      <selection activeCell="C20" sqref="C20"/>
    </sheetView>
  </sheetViews>
  <sheetFormatPr defaultColWidth="9.25" defaultRowHeight="14.25"/>
  <cols>
    <col min="1" max="1" width="12.125" style="1813" customWidth="1"/>
    <col min="2" max="2" width="10.25" style="1813" customWidth="1"/>
    <col min="3" max="3" width="18.5" style="1813" customWidth="1"/>
    <col min="4" max="4" width="11.625" style="1813" customWidth="1"/>
    <col min="5" max="5" width="13.375" style="1813" customWidth="1"/>
    <col min="6" max="8" width="11.5" style="1813" customWidth="1"/>
    <col min="9" max="9" width="11.125" style="1813" customWidth="1"/>
    <col min="10" max="10" width="3.125" style="2858" customWidth="1"/>
    <col min="11" max="16" width="10" style="1813" customWidth="1"/>
    <col min="17" max="17" width="2.625" style="1813" customWidth="1"/>
    <col min="18" max="18" width="9.375" style="1813" bestFit="1" customWidth="1"/>
    <col min="19" max="19" width="10.5" style="1813" bestFit="1" customWidth="1"/>
    <col min="20" max="16384" width="9.25" style="1813"/>
  </cols>
  <sheetData>
    <row r="1" spans="1:16" ht="19.5" thickBot="1">
      <c r="A1" s="1812" t="s">
        <v>1814</v>
      </c>
      <c r="B1" s="1290"/>
      <c r="C1" s="1290"/>
      <c r="D1" s="1290"/>
      <c r="E1" s="1290"/>
      <c r="F1" s="1290"/>
      <c r="G1" s="1290"/>
      <c r="H1" s="1290"/>
      <c r="I1" s="1290"/>
      <c r="J1" s="1290"/>
      <c r="K1" s="1290"/>
      <c r="L1" s="1290"/>
      <c r="M1" s="1290"/>
      <c r="N1" s="1290"/>
      <c r="O1" s="1290"/>
      <c r="P1" s="1290"/>
    </row>
    <row r="2" spans="1:16" ht="15">
      <c r="A2" s="3248" t="s">
        <v>1815</v>
      </c>
      <c r="B2" s="3248"/>
      <c r="C2" s="3248"/>
      <c r="D2" s="901" t="s">
        <v>1791</v>
      </c>
      <c r="E2" s="1814" t="s">
        <v>1792</v>
      </c>
      <c r="F2" s="2868"/>
      <c r="G2" s="2859"/>
      <c r="H2" s="2860"/>
      <c r="I2" s="2532" t="s">
        <v>1816</v>
      </c>
      <c r="J2" s="2868"/>
      <c r="K2" s="2868"/>
      <c r="L2" s="2868"/>
      <c r="M2" s="2868"/>
      <c r="N2" s="2870"/>
      <c r="O2" s="2868"/>
      <c r="P2" s="2868"/>
    </row>
    <row r="3" spans="1:16" ht="15.75" thickBot="1">
      <c r="A3" s="3249" t="s">
        <v>1789</v>
      </c>
      <c r="B3" s="3249"/>
      <c r="C3" s="3249"/>
      <c r="D3" s="46">
        <f>'数据-基础表'!AY6</f>
        <v>0</v>
      </c>
      <c r="E3" s="46">
        <f>'数据-基础表'!AZ5</f>
        <v>29932.760000000009</v>
      </c>
      <c r="F3" s="2868"/>
      <c r="G3" s="1296"/>
      <c r="H3" s="1148" t="s">
        <v>1790</v>
      </c>
      <c r="I3" s="961" t="e">
        <f>ROUND('数据-基础表'!B3/'数据-基础表'!A3,2)</f>
        <v>#DIV/0!</v>
      </c>
      <c r="J3" s="2868"/>
      <c r="K3" s="2868"/>
      <c r="L3" s="2868"/>
      <c r="M3" s="2868"/>
      <c r="N3" s="2870"/>
      <c r="O3" s="2868"/>
      <c r="P3" s="2868"/>
    </row>
    <row r="4" spans="1:16" ht="15">
      <c r="A4" s="3250"/>
      <c r="B4" s="3251"/>
      <c r="C4" s="3252"/>
      <c r="D4" s="1816" t="s">
        <v>1791</v>
      </c>
      <c r="E4" s="1817" t="s">
        <v>1792</v>
      </c>
      <c r="F4" s="2868"/>
      <c r="G4" s="2861" t="s">
        <v>1817</v>
      </c>
      <c r="H4" s="1148" t="s">
        <v>1797</v>
      </c>
      <c r="I4" s="961" t="e">
        <f>ROUND(SUMIF('数据-基础表'!I9:AS9,"地上",'数据-基础表'!I5:AS5)/'数据-基础表'!A3,2)</f>
        <v>#DIV/0!</v>
      </c>
      <c r="J4" s="2868"/>
      <c r="K4" s="2868"/>
      <c r="L4" s="2868"/>
      <c r="M4" s="2868"/>
      <c r="N4" s="2870"/>
      <c r="O4" s="2868"/>
      <c r="P4" s="2868"/>
    </row>
    <row r="5" spans="1:16">
      <c r="A5" s="47" t="s">
        <v>1793</v>
      </c>
      <c r="B5" s="3253" t="s">
        <v>1794</v>
      </c>
      <c r="C5" s="3253"/>
      <c r="D5" s="48">
        <f>ROUND($D$3*E5/$E$3,2)</f>
        <v>0</v>
      </c>
      <c r="E5" s="49">
        <f>SUMIF('数据-基础表'!$11:$11,"住宅",'数据-基础表'!$5:$5)</f>
        <v>0</v>
      </c>
      <c r="F5" s="2868"/>
      <c r="G5" s="1296"/>
      <c r="H5" s="1148" t="s">
        <v>1790</v>
      </c>
      <c r="I5" s="961" t="e">
        <f>ROUND(E31/D31,2)</f>
        <v>#DIV/0!</v>
      </c>
      <c r="J5" s="2868"/>
      <c r="K5" s="2868"/>
      <c r="L5" s="2868"/>
      <c r="M5" s="2868"/>
      <c r="N5" s="2868"/>
      <c r="O5" s="2868"/>
      <c r="P5" s="2868"/>
    </row>
    <row r="6" spans="1:16" ht="15" thickBot="1">
      <c r="A6" s="1819"/>
      <c r="B6" s="3253" t="s">
        <v>1795</v>
      </c>
      <c r="C6" s="3253"/>
      <c r="D6" s="48">
        <f>ROUND($D$3*E6/$E$3,2)</f>
        <v>0</v>
      </c>
      <c r="E6" s="49">
        <f>E3-E5</f>
        <v>29932.760000000009</v>
      </c>
      <c r="F6" s="2868"/>
      <c r="G6" s="2862" t="s">
        <v>1796</v>
      </c>
      <c r="H6" s="1297" t="s">
        <v>1797</v>
      </c>
      <c r="I6" s="2863" t="e">
        <f>ROUND(F31/D31,2)</f>
        <v>#DIV/0!</v>
      </c>
      <c r="J6" s="2868"/>
      <c r="K6" s="2868"/>
      <c r="L6" s="2868"/>
      <c r="M6" s="2868"/>
      <c r="N6" s="2868"/>
      <c r="O6" s="2868"/>
      <c r="P6" s="2868"/>
    </row>
    <row r="7" spans="1:16" ht="15.75" thickBot="1">
      <c r="A7" s="3245"/>
      <c r="B7" s="3246"/>
      <c r="C7" s="3247"/>
      <c r="D7" s="1816" t="s">
        <v>1791</v>
      </c>
      <c r="E7" s="1820" t="s">
        <v>1798</v>
      </c>
      <c r="F7" s="2868"/>
      <c r="G7" s="2864" t="s">
        <v>1799</v>
      </c>
      <c r="H7" s="2865"/>
      <c r="I7" s="2866">
        <v>3.7</v>
      </c>
      <c r="J7" s="2868"/>
      <c r="K7" s="2868"/>
      <c r="L7" s="2868"/>
      <c r="M7" s="2868"/>
      <c r="N7" s="2868"/>
      <c r="O7" s="2868"/>
      <c r="P7" s="2868"/>
    </row>
    <row r="8" spans="1:16">
      <c r="A8" s="47" t="s">
        <v>1800</v>
      </c>
      <c r="B8" s="50" t="s">
        <v>1801</v>
      </c>
      <c r="C8" s="48" t="s">
        <v>1802</v>
      </c>
      <c r="D8" s="48">
        <f t="shared" ref="D8:D15" si="0">ROUND($D$3*E8/$E$3,2)</f>
        <v>0</v>
      </c>
      <c r="E8" s="51">
        <f>SUMIF('数据-基础表'!BB10:BK10,"地上",'数据-基础表'!BB5:BK5)</f>
        <v>29610.970000000008</v>
      </c>
      <c r="F8" s="2868"/>
      <c r="G8" s="2869"/>
      <c r="H8" s="2869"/>
      <c r="I8" s="2868"/>
      <c r="J8" s="2868"/>
      <c r="K8" s="2868"/>
      <c r="L8" s="2868"/>
      <c r="M8" s="2868"/>
      <c r="N8" s="2868"/>
      <c r="O8" s="2868"/>
      <c r="P8" s="2868"/>
    </row>
    <row r="9" spans="1:16">
      <c r="A9" s="1821"/>
      <c r="B9" s="1822"/>
      <c r="C9" s="48" t="s">
        <v>1803</v>
      </c>
      <c r="D9" s="48">
        <f t="shared" si="0"/>
        <v>0</v>
      </c>
      <c r="E9" s="52">
        <v>0</v>
      </c>
      <c r="F9" s="2868"/>
      <c r="G9" s="2869"/>
      <c r="H9" s="2869"/>
      <c r="I9" s="2868"/>
      <c r="J9" s="2868"/>
      <c r="K9" s="2868"/>
      <c r="L9" s="2868"/>
      <c r="M9" s="2868"/>
      <c r="N9" s="2868"/>
      <c r="O9" s="2868"/>
      <c r="P9" s="2868"/>
    </row>
    <row r="10" spans="1:16">
      <c r="A10" s="1821"/>
      <c r="B10" s="1822"/>
      <c r="C10" s="48" t="s">
        <v>1812</v>
      </c>
      <c r="D10" s="48">
        <f t="shared" si="0"/>
        <v>0</v>
      </c>
      <c r="E10" s="51">
        <f>SUMPRODUCT(('数据-基础表'!BB10:BK10="地下")*('数据-基础表'!BB11:BK11="商业")*('数据-基础表'!BB5:BK5))</f>
        <v>0</v>
      </c>
      <c r="F10" s="2868"/>
      <c r="G10" s="2869"/>
      <c r="H10" s="2869"/>
      <c r="I10" s="2868"/>
      <c r="J10" s="2868"/>
      <c r="K10" s="2868"/>
      <c r="L10" s="2868"/>
      <c r="M10" s="2868"/>
      <c r="N10" s="2868"/>
      <c r="O10" s="2868"/>
      <c r="P10" s="2868"/>
    </row>
    <row r="11" spans="1:16">
      <c r="A11" s="1821"/>
      <c r="B11" s="1822"/>
      <c r="C11" s="48" t="s">
        <v>1804</v>
      </c>
      <c r="D11" s="48">
        <f t="shared" si="0"/>
        <v>0</v>
      </c>
      <c r="E11" s="51">
        <f>SUMPRODUCT(('数据-基础表'!BB10:BK10="地下")*('数据-基础表'!BB11:BK11="办公")*('数据-基础表'!BB5:BK5))+'数据-基础表'!BP5</f>
        <v>0</v>
      </c>
      <c r="F11" s="2868"/>
      <c r="G11" s="2869"/>
      <c r="H11" s="2869"/>
      <c r="I11" s="2868"/>
      <c r="J11" s="2868"/>
      <c r="K11" s="2868"/>
      <c r="L11" s="2868"/>
      <c r="M11" s="2868"/>
      <c r="N11" s="2868"/>
      <c r="O11" s="2868"/>
      <c r="P11" s="2868"/>
    </row>
    <row r="12" spans="1:16">
      <c r="A12" s="1821"/>
      <c r="B12" s="1822"/>
      <c r="C12" s="48" t="s">
        <v>1805</v>
      </c>
      <c r="D12" s="48">
        <f t="shared" si="0"/>
        <v>0</v>
      </c>
      <c r="E12" s="51">
        <f>SUMPRODUCT(('数据-基础表'!BB10:BK10="地下")*('数据-基础表'!BB11:BK11="仓储")*('数据-基础表'!BB5:BK5))</f>
        <v>0</v>
      </c>
      <c r="F12" s="2868"/>
      <c r="G12" s="2869"/>
      <c r="H12" s="2869"/>
      <c r="I12" s="2868"/>
      <c r="J12" s="2868"/>
      <c r="K12" s="2868"/>
      <c r="L12" s="2868"/>
      <c r="M12" s="2868"/>
      <c r="N12" s="2868"/>
      <c r="O12" s="2868"/>
      <c r="P12" s="2868"/>
    </row>
    <row r="13" spans="1:16">
      <c r="A13" s="1821"/>
      <c r="B13" s="1822"/>
      <c r="C13" s="48" t="s">
        <v>1806</v>
      </c>
      <c r="D13" s="48">
        <f t="shared" si="0"/>
        <v>0</v>
      </c>
      <c r="E13" s="51">
        <f>SUMPRODUCT(('数据-基础表'!BB10:BK10="地下")*('数据-基础表'!BB11:BK11="车库")*('数据-基础表'!BB5:BK5))</f>
        <v>0</v>
      </c>
      <c r="F13" s="2868"/>
      <c r="G13" s="2869"/>
      <c r="H13" s="2869"/>
      <c r="I13" s="2868"/>
      <c r="J13" s="2868"/>
      <c r="K13" s="2868"/>
      <c r="L13" s="2868"/>
      <c r="M13" s="2868"/>
      <c r="N13" s="2868"/>
      <c r="O13" s="2868"/>
      <c r="P13" s="2868"/>
    </row>
    <row r="14" spans="1:16">
      <c r="A14" s="1821"/>
      <c r="B14" s="1822"/>
      <c r="C14" s="48" t="s">
        <v>1818</v>
      </c>
      <c r="D14" s="48">
        <f t="shared" si="0"/>
        <v>0</v>
      </c>
      <c r="E14" s="51">
        <f>SUMPRODUCT(('数据-基础表'!BB10:BK10="地下")*('数据-基础表'!BB11:BK11="车库—商业")*('数据-基础表'!BB5:BK5))</f>
        <v>0</v>
      </c>
      <c r="F14" s="2868"/>
      <c r="G14" s="2869"/>
      <c r="H14" s="2869"/>
      <c r="I14" s="2868"/>
      <c r="J14" s="2868"/>
      <c r="K14" s="2868"/>
      <c r="L14" s="2868"/>
      <c r="M14" s="2868"/>
      <c r="N14" s="2868"/>
      <c r="O14" s="2868"/>
      <c r="P14" s="2868"/>
    </row>
    <row r="15" spans="1:16" ht="15" thickBot="1">
      <c r="A15" s="1821"/>
      <c r="B15" s="1822"/>
      <c r="C15" s="48" t="s">
        <v>1813</v>
      </c>
      <c r="D15" s="48">
        <f t="shared" si="0"/>
        <v>0</v>
      </c>
      <c r="E15" s="51">
        <f>SUMPRODUCT(('数据-基础表'!BB10:BK10="地下")*('数据-基础表'!BB11:BK11="车库—办公")*('数据-基础表'!BB5:BK5))</f>
        <v>0</v>
      </c>
      <c r="F15" s="2868"/>
      <c r="G15" s="2869"/>
      <c r="H15" s="2869"/>
      <c r="I15" s="2868"/>
      <c r="J15" s="2868"/>
      <c r="K15" s="2868"/>
      <c r="L15" s="2868"/>
      <c r="M15" s="2868"/>
      <c r="N15" s="2868"/>
      <c r="O15" s="2868"/>
      <c r="P15" s="2868"/>
    </row>
    <row r="16" spans="1:16" ht="15.75" thickBot="1">
      <c r="A16" s="1819"/>
      <c r="B16" s="1822"/>
      <c r="C16" s="50" t="s">
        <v>1807</v>
      </c>
      <c r="D16" s="50">
        <f>SUM(D8:D15)</f>
        <v>0</v>
      </c>
      <c r="E16" s="53">
        <f>SUM(E8:E15)</f>
        <v>29610.970000000008</v>
      </c>
      <c r="F16" s="2868"/>
      <c r="G16" s="2869"/>
      <c r="H16" s="1823" t="s">
        <v>1819</v>
      </c>
      <c r="I16" s="1824"/>
      <c r="J16" s="1290"/>
      <c r="K16" s="3242" t="s">
        <v>1819</v>
      </c>
      <c r="L16" s="3243"/>
      <c r="M16" s="3243"/>
      <c r="N16" s="3243"/>
      <c r="O16" s="3243"/>
      <c r="P16" s="3244"/>
    </row>
    <row r="17" spans="1:19" ht="15">
      <c r="A17" s="1825" t="s">
        <v>1820</v>
      </c>
      <c r="B17" s="1826" t="s">
        <v>1821</v>
      </c>
      <c r="C17" s="1827" t="s">
        <v>1822</v>
      </c>
      <c r="D17" s="1828" t="s">
        <v>1810</v>
      </c>
      <c r="E17" s="1829" t="s">
        <v>1811</v>
      </c>
      <c r="F17" s="1830"/>
      <c r="G17" s="1831"/>
      <c r="H17" s="1832" t="s">
        <v>1823</v>
      </c>
      <c r="I17" s="1833" t="s">
        <v>1808</v>
      </c>
      <c r="J17" s="1290"/>
      <c r="K17" s="3239" t="s">
        <v>1824</v>
      </c>
      <c r="L17" s="3240"/>
      <c r="M17" s="3241"/>
      <c r="N17" s="3239" t="s">
        <v>1825</v>
      </c>
      <c r="O17" s="3240"/>
      <c r="P17" s="3241"/>
      <c r="R17" s="1815" t="s">
        <v>1826</v>
      </c>
      <c r="S17" s="60"/>
    </row>
    <row r="18" spans="1:19" ht="15">
      <c r="A18" s="1821"/>
      <c r="B18" s="1834"/>
      <c r="C18" s="1835"/>
      <c r="D18" s="1836"/>
      <c r="E18" s="1837" t="s">
        <v>1827</v>
      </c>
      <c r="F18" s="1838" t="s">
        <v>1828</v>
      </c>
      <c r="G18" s="1839" t="s">
        <v>1829</v>
      </c>
      <c r="H18" s="1163" t="s">
        <v>1830</v>
      </c>
      <c r="I18" s="1840" t="s">
        <v>1831</v>
      </c>
      <c r="J18" s="1290"/>
      <c r="K18" s="1163" t="s">
        <v>1832</v>
      </c>
      <c r="L18" s="1841" t="s">
        <v>1833</v>
      </c>
      <c r="M18" s="961" t="s">
        <v>1834</v>
      </c>
      <c r="N18" s="1163" t="s">
        <v>1832</v>
      </c>
      <c r="O18" s="1841" t="s">
        <v>1833</v>
      </c>
      <c r="P18" s="961" t="s">
        <v>1834</v>
      </c>
      <c r="R18" s="1148" t="s">
        <v>1835</v>
      </c>
      <c r="S18" s="1148" t="s">
        <v>1836</v>
      </c>
    </row>
    <row r="19" spans="1:19">
      <c r="A19" s="1842"/>
      <c r="B19" s="50" t="s">
        <v>1809</v>
      </c>
      <c r="C19" s="3028" t="s">
        <v>3608</v>
      </c>
      <c r="D19" s="48">
        <f>ROUND($D$3*E19/$E$3,2)</f>
        <v>0</v>
      </c>
      <c r="E19" s="56">
        <f t="shared" ref="E19:E26" si="1">SUM(F19:G19)</f>
        <v>29610.970000000008</v>
      </c>
      <c r="F19" s="3006">
        <f>'数据-基础表'!I13</f>
        <v>29610.970000000008</v>
      </c>
      <c r="G19" s="3007"/>
      <c r="H19" s="677">
        <f>ROUND($D$3*I19/$E$3,2)</f>
        <v>0</v>
      </c>
      <c r="I19" s="51">
        <f t="shared" ref="I19:I26" si="2">IF($I$17="自定义",P19,M19)</f>
        <v>321.79000000000002</v>
      </c>
      <c r="J19" s="1290"/>
      <c r="K19" s="1289">
        <f t="shared" ref="K19:K26" si="3">ROUND(E$28*E19/E$27,2)</f>
        <v>321.79000000000002</v>
      </c>
      <c r="L19" s="1148">
        <f t="shared" ref="L19:L26" si="4">ROUND(IF(COUNTIF(C19,"*住宅*")&gt;0,E$29*E19/E$32,0),2)</f>
        <v>0</v>
      </c>
      <c r="M19" s="1301">
        <f>K19+L19</f>
        <v>321.79000000000002</v>
      </c>
      <c r="N19" s="1843"/>
      <c r="O19" s="1844"/>
      <c r="P19" s="1301">
        <f>N19+O19</f>
        <v>0</v>
      </c>
      <c r="R19" s="1148">
        <f t="shared" ref="R19:S26" si="5">D19+H19</f>
        <v>0</v>
      </c>
      <c r="S19" s="1149">
        <f t="shared" si="5"/>
        <v>29932.760000000009</v>
      </c>
    </row>
    <row r="20" spans="1:19">
      <c r="A20" s="1845"/>
      <c r="B20" s="50" t="s">
        <v>1837</v>
      </c>
      <c r="C20" s="3028"/>
      <c r="D20" s="48">
        <f t="shared" ref="D20:D26" si="6">ROUND($D$3*E20/$E$3,2)</f>
        <v>0</v>
      </c>
      <c r="E20" s="56">
        <f t="shared" si="1"/>
        <v>0</v>
      </c>
      <c r="F20" s="3006"/>
      <c r="G20" s="3007">
        <f>'数据-基础表'!K13</f>
        <v>0</v>
      </c>
      <c r="H20" s="677">
        <f t="shared" ref="H20:H26" si="7">ROUND($D$3*I20/$E$3,2)</f>
        <v>0</v>
      </c>
      <c r="I20" s="51">
        <f t="shared" si="2"/>
        <v>0</v>
      </c>
      <c r="J20" s="1290"/>
      <c r="K20" s="1289">
        <f t="shared" si="3"/>
        <v>0</v>
      </c>
      <c r="L20" s="1148">
        <f t="shared" si="4"/>
        <v>0</v>
      </c>
      <c r="M20" s="1301">
        <f t="shared" ref="M20:M26" si="8">K20+L20</f>
        <v>0</v>
      </c>
      <c r="N20" s="1843"/>
      <c r="O20" s="1844"/>
      <c r="P20" s="1301">
        <f t="shared" ref="P20:P26" si="9">N20+O20</f>
        <v>0</v>
      </c>
      <c r="R20" s="1148">
        <f t="shared" si="5"/>
        <v>0</v>
      </c>
      <c r="S20" s="1149">
        <f t="shared" si="5"/>
        <v>0</v>
      </c>
    </row>
    <row r="21" spans="1:19">
      <c r="A21" s="1845"/>
      <c r="B21" s="50" t="s">
        <v>1837</v>
      </c>
      <c r="C21" s="3028"/>
      <c r="D21" s="48">
        <f t="shared" si="6"/>
        <v>0</v>
      </c>
      <c r="E21" s="56">
        <f t="shared" si="1"/>
        <v>0</v>
      </c>
      <c r="F21" s="3006"/>
      <c r="G21" s="3007">
        <f>'数据-基础表'!M13</f>
        <v>0</v>
      </c>
      <c r="H21" s="677">
        <f t="shared" si="7"/>
        <v>0</v>
      </c>
      <c r="I21" s="51">
        <f t="shared" si="2"/>
        <v>0</v>
      </c>
      <c r="J21" s="1290"/>
      <c r="K21" s="1289">
        <f t="shared" si="3"/>
        <v>0</v>
      </c>
      <c r="L21" s="1148">
        <f t="shared" si="4"/>
        <v>0</v>
      </c>
      <c r="M21" s="1301">
        <f t="shared" si="8"/>
        <v>0</v>
      </c>
      <c r="N21" s="1843"/>
      <c r="O21" s="1844"/>
      <c r="P21" s="1301">
        <f t="shared" si="9"/>
        <v>0</v>
      </c>
      <c r="R21" s="1148">
        <f t="shared" si="5"/>
        <v>0</v>
      </c>
      <c r="S21" s="1149">
        <f t="shared" si="5"/>
        <v>0</v>
      </c>
    </row>
    <row r="22" spans="1:19">
      <c r="A22" s="1845"/>
      <c r="B22" s="50" t="s">
        <v>1837</v>
      </c>
      <c r="C22" s="58"/>
      <c r="D22" s="48">
        <f t="shared" si="6"/>
        <v>0</v>
      </c>
      <c r="E22" s="56">
        <f t="shared" si="1"/>
        <v>0</v>
      </c>
      <c r="F22" s="3008"/>
      <c r="G22" s="3009"/>
      <c r="H22" s="677">
        <f t="shared" si="7"/>
        <v>0</v>
      </c>
      <c r="I22" s="51">
        <f t="shared" si="2"/>
        <v>0</v>
      </c>
      <c r="J22" s="1290"/>
      <c r="K22" s="1289">
        <f t="shared" si="3"/>
        <v>0</v>
      </c>
      <c r="L22" s="1148">
        <f t="shared" si="4"/>
        <v>0</v>
      </c>
      <c r="M22" s="1301">
        <f t="shared" si="8"/>
        <v>0</v>
      </c>
      <c r="N22" s="1843"/>
      <c r="O22" s="1844"/>
      <c r="P22" s="1301">
        <f t="shared" si="9"/>
        <v>0</v>
      </c>
      <c r="R22" s="1148">
        <f t="shared" si="5"/>
        <v>0</v>
      </c>
      <c r="S22" s="1149">
        <f t="shared" si="5"/>
        <v>0</v>
      </c>
    </row>
    <row r="23" spans="1:19">
      <c r="A23" s="1845"/>
      <c r="B23" s="50" t="s">
        <v>1837</v>
      </c>
      <c r="C23" s="58"/>
      <c r="D23" s="48">
        <f>ROUND($D$3*E23/$E$3,2)</f>
        <v>0</v>
      </c>
      <c r="E23" s="56">
        <f>SUM(F23:G23)</f>
        <v>0</v>
      </c>
      <c r="F23" s="3008"/>
      <c r="G23" s="3009"/>
      <c r="H23" s="677">
        <f>ROUND($D$3*I23/$E$3,2)</f>
        <v>0</v>
      </c>
      <c r="I23" s="51">
        <f t="shared" si="2"/>
        <v>0</v>
      </c>
      <c r="J23" s="1290"/>
      <c r="K23" s="1289">
        <f t="shared" si="3"/>
        <v>0</v>
      </c>
      <c r="L23" s="1148">
        <f t="shared" si="4"/>
        <v>0</v>
      </c>
      <c r="M23" s="1301">
        <f t="shared" si="8"/>
        <v>0</v>
      </c>
      <c r="N23" s="1843"/>
      <c r="O23" s="1844"/>
      <c r="P23" s="1301">
        <f t="shared" si="9"/>
        <v>0</v>
      </c>
      <c r="R23" s="1148">
        <f t="shared" si="5"/>
        <v>0</v>
      </c>
      <c r="S23" s="1149">
        <f t="shared" si="5"/>
        <v>0</v>
      </c>
    </row>
    <row r="24" spans="1:19">
      <c r="A24" s="1845"/>
      <c r="B24" s="50" t="s">
        <v>1837</v>
      </c>
      <c r="C24" s="58"/>
      <c r="D24" s="48">
        <f>ROUND($D$3*E24/$E$3,2)</f>
        <v>0</v>
      </c>
      <c r="E24" s="56">
        <f>SUM(F24:G24)</f>
        <v>0</v>
      </c>
      <c r="F24" s="3008"/>
      <c r="G24" s="3009"/>
      <c r="H24" s="677">
        <f>ROUND($D$3*I24/$E$3,2)</f>
        <v>0</v>
      </c>
      <c r="I24" s="51">
        <f t="shared" si="2"/>
        <v>0</v>
      </c>
      <c r="J24" s="1290"/>
      <c r="K24" s="1289">
        <f t="shared" si="3"/>
        <v>0</v>
      </c>
      <c r="L24" s="1148">
        <f t="shared" si="4"/>
        <v>0</v>
      </c>
      <c r="M24" s="1301">
        <f t="shared" si="8"/>
        <v>0</v>
      </c>
      <c r="N24" s="1843"/>
      <c r="O24" s="1844"/>
      <c r="P24" s="1301">
        <f t="shared" si="9"/>
        <v>0</v>
      </c>
      <c r="R24" s="1148">
        <f t="shared" si="5"/>
        <v>0</v>
      </c>
      <c r="S24" s="1149">
        <f t="shared" si="5"/>
        <v>0</v>
      </c>
    </row>
    <row r="25" spans="1:19">
      <c r="A25" s="1845"/>
      <c r="B25" s="50" t="s">
        <v>1837</v>
      </c>
      <c r="C25" s="58"/>
      <c r="D25" s="48">
        <f t="shared" si="6"/>
        <v>0</v>
      </c>
      <c r="E25" s="56">
        <f t="shared" si="1"/>
        <v>0</v>
      </c>
      <c r="F25" s="3008"/>
      <c r="G25" s="3009"/>
      <c r="H25" s="47">
        <f t="shared" si="7"/>
        <v>0</v>
      </c>
      <c r="I25" s="51">
        <f t="shared" si="2"/>
        <v>0</v>
      </c>
      <c r="J25" s="1290"/>
      <c r="K25" s="1289">
        <f t="shared" si="3"/>
        <v>0</v>
      </c>
      <c r="L25" s="1148">
        <f t="shared" si="4"/>
        <v>0</v>
      </c>
      <c r="M25" s="1301">
        <f t="shared" si="8"/>
        <v>0</v>
      </c>
      <c r="N25" s="1843"/>
      <c r="O25" s="1844"/>
      <c r="P25" s="1301">
        <f t="shared" si="9"/>
        <v>0</v>
      </c>
      <c r="R25" s="1148">
        <f t="shared" si="5"/>
        <v>0</v>
      </c>
      <c r="S25" s="1149">
        <f t="shared" si="5"/>
        <v>0</v>
      </c>
    </row>
    <row r="26" spans="1:19">
      <c r="A26" s="1845"/>
      <c r="B26" s="50" t="s">
        <v>1837</v>
      </c>
      <c r="C26" s="59"/>
      <c r="D26" s="48">
        <f t="shared" si="6"/>
        <v>0</v>
      </c>
      <c r="E26" s="56">
        <f t="shared" si="1"/>
        <v>0</v>
      </c>
      <c r="F26" s="3008"/>
      <c r="G26" s="3009"/>
      <c r="H26" s="47">
        <f t="shared" si="7"/>
        <v>0</v>
      </c>
      <c r="I26" s="51">
        <f t="shared" si="2"/>
        <v>0</v>
      </c>
      <c r="J26" s="1290"/>
      <c r="K26" s="1296">
        <f t="shared" si="3"/>
        <v>0</v>
      </c>
      <c r="L26" s="1297">
        <f t="shared" si="4"/>
        <v>0</v>
      </c>
      <c r="M26" s="63">
        <f t="shared" si="8"/>
        <v>0</v>
      </c>
      <c r="N26" s="1846"/>
      <c r="O26" s="1847"/>
      <c r="P26" s="63">
        <f t="shared" si="9"/>
        <v>0</v>
      </c>
      <c r="R26" s="1148">
        <f t="shared" si="5"/>
        <v>0</v>
      </c>
      <c r="S26" s="1149">
        <f t="shared" si="5"/>
        <v>0</v>
      </c>
    </row>
    <row r="27" spans="1:19" ht="15.75" thickBot="1">
      <c r="A27" s="1845"/>
      <c r="B27" s="48"/>
      <c r="C27" s="1848" t="s">
        <v>1838</v>
      </c>
      <c r="D27" s="1291">
        <f>SUM(D19:D26)</f>
        <v>0</v>
      </c>
      <c r="E27" s="1292">
        <f>IF(SUM(E19:E26)='数据-基础表'!BA5,SUM(E19:E26),IF(F27="地上面积有误","面积有误","地下面积有误"))</f>
        <v>29610.970000000008</v>
      </c>
      <c r="F27" s="1291">
        <f>IF(SUM(F19:F26)=E8,SUM(F19:F26),"地上面积有误")</f>
        <v>29610.970000000008</v>
      </c>
      <c r="G27" s="1293">
        <f>SUM(G19:G26)</f>
        <v>0</v>
      </c>
      <c r="H27" s="1294">
        <f>SUM(H19:H26)</f>
        <v>0</v>
      </c>
      <c r="I27" s="1295">
        <f>SUM(I19:I26)</f>
        <v>321.79000000000002</v>
      </c>
      <c r="J27" s="1290"/>
      <c r="K27" s="1298">
        <f>SUM(K19:K26)</f>
        <v>321.79000000000002</v>
      </c>
      <c r="L27" s="1299">
        <f>SUM(L19:L26)</f>
        <v>0</v>
      </c>
      <c r="M27" s="1302">
        <f>SUM(M19:M26)</f>
        <v>321.79000000000002</v>
      </c>
      <c r="N27" s="1298">
        <f t="shared" ref="N27:O27" si="10">SUM(N19:N26)</f>
        <v>0</v>
      </c>
      <c r="O27" s="1299">
        <f t="shared" si="10"/>
        <v>0</v>
      </c>
      <c r="P27" s="1300">
        <f>SUM(P19:P26)</f>
        <v>0</v>
      </c>
      <c r="R27" s="1150">
        <f>IF(SUM(R19:R26)=$D$3,SUM(R19:R26),SUM(R19:R26)&amp;"误差"&amp;ROUND(SUM(R19:R26)-$D$3,2))</f>
        <v>0</v>
      </c>
      <c r="S27" s="1148">
        <f>IF(SUM(S19:S26)=$E$3,SUM(S19:S26),SUM(S19:S26)&amp;"误差"&amp;ROUND(SUM(S19:S26)-E3,2))</f>
        <v>29932.760000000009</v>
      </c>
    </row>
    <row r="28" spans="1:19">
      <c r="A28" s="1845"/>
      <c r="B28" s="50" t="s">
        <v>1839</v>
      </c>
      <c r="C28" s="1160" t="s">
        <v>1840</v>
      </c>
      <c r="D28" s="48">
        <f>ROUND($D$3*E28/$E$3,2)</f>
        <v>0</v>
      </c>
      <c r="E28" s="56">
        <f>SUM(F28:G28)</f>
        <v>321.78999999999996</v>
      </c>
      <c r="F28" s="60">
        <f>'数据-基础表'!BQ5+'数据-基础表'!BS5</f>
        <v>321.78999999999996</v>
      </c>
      <c r="G28" s="61">
        <f>'数据-基础表'!BR5+'数据-基础表'!BT5</f>
        <v>0</v>
      </c>
      <c r="H28" s="2868"/>
      <c r="I28" s="2868"/>
      <c r="J28" s="2868"/>
      <c r="K28" s="2868"/>
      <c r="L28" s="2868"/>
      <c r="M28" s="2868"/>
      <c r="N28" s="2868"/>
      <c r="O28" s="2868"/>
      <c r="P28" s="2868"/>
    </row>
    <row r="29" spans="1:19">
      <c r="A29" s="1845"/>
      <c r="B29" s="50" t="s">
        <v>1839</v>
      </c>
      <c r="C29" s="1849" t="s">
        <v>1841</v>
      </c>
      <c r="D29" s="48">
        <f>ROUND($D$3*E29/$E$3,2)</f>
        <v>0</v>
      </c>
      <c r="E29" s="56">
        <f>SUM(F29:G29)</f>
        <v>0</v>
      </c>
      <c r="F29" s="62">
        <f>'数据-基础表'!BM5+'数据-基础表'!BO5</f>
        <v>0</v>
      </c>
      <c r="G29" s="63">
        <f>'数据-基础表'!BN5+'数据-基础表'!BP5</f>
        <v>0</v>
      </c>
      <c r="H29" s="2868"/>
      <c r="I29" s="2868"/>
      <c r="J29" s="2868"/>
      <c r="K29" s="2868"/>
      <c r="L29" s="2868"/>
      <c r="M29" s="2868"/>
      <c r="N29" s="2868"/>
      <c r="O29" s="2868"/>
      <c r="P29" s="2868"/>
    </row>
    <row r="30" spans="1:19" ht="15">
      <c r="A30" s="1845"/>
      <c r="B30" s="50"/>
      <c r="C30" s="1850" t="s">
        <v>1838</v>
      </c>
      <c r="D30" s="1291">
        <f>SUM(D28:D29)</f>
        <v>0</v>
      </c>
      <c r="E30" s="1291">
        <f>SUM(E28:E29)</f>
        <v>321.78999999999996</v>
      </c>
      <c r="F30" s="1291">
        <f>SUM(F28:F29)</f>
        <v>321.78999999999996</v>
      </c>
      <c r="G30" s="1293">
        <f>SUM(G28:G29)</f>
        <v>0</v>
      </c>
      <c r="H30" s="2868"/>
      <c r="I30" s="2868"/>
      <c r="J30" s="2868"/>
      <c r="K30" s="2868"/>
      <c r="L30" s="2868"/>
      <c r="M30" s="2868"/>
      <c r="N30" s="2868"/>
      <c r="O30" s="2868"/>
      <c r="P30" s="2868"/>
    </row>
    <row r="31" spans="1:19" ht="15.75" thickBot="1">
      <c r="A31" s="1851"/>
      <c r="B31" s="1852"/>
      <c r="C31" s="941" t="s">
        <v>1842</v>
      </c>
      <c r="D31" s="683">
        <f>D27+D30</f>
        <v>0</v>
      </c>
      <c r="E31" s="683">
        <f>E27+E30</f>
        <v>29932.760000000009</v>
      </c>
      <c r="F31" s="684">
        <f>F27+F30</f>
        <v>29932.760000000009</v>
      </c>
      <c r="G31" s="685">
        <f>G27+G30</f>
        <v>0</v>
      </c>
      <c r="H31" s="2868"/>
      <c r="I31" s="2868"/>
      <c r="J31" s="2868"/>
      <c r="K31" s="2868"/>
      <c r="L31" s="2868"/>
      <c r="M31" s="2868"/>
      <c r="N31" s="2868"/>
      <c r="O31" s="2868"/>
      <c r="P31" s="2868"/>
    </row>
    <row r="32" spans="1:19">
      <c r="A32" s="1818"/>
      <c r="B32" s="1818" t="s">
        <v>1843</v>
      </c>
      <c r="C32" s="1818"/>
      <c r="D32" s="1818"/>
      <c r="E32" s="1175">
        <f>SUMIF(C19:C26,"*住宅*",E19:E26)</f>
        <v>0</v>
      </c>
      <c r="F32" s="1818"/>
      <c r="G32" s="1818"/>
      <c r="H32" s="2868"/>
      <c r="I32" s="2868"/>
      <c r="J32" s="2868"/>
      <c r="K32" s="2868"/>
      <c r="L32" s="2868"/>
      <c r="M32" s="2868"/>
      <c r="N32" s="2868"/>
      <c r="O32" s="2868"/>
      <c r="P32" s="2868"/>
    </row>
    <row r="33" spans="4:4">
      <c r="D33" s="1853"/>
    </row>
  </sheetData>
  <sheetProtection password="CEE9" sheet="1" objects="1" scenarios="1" formatCells="0" formatColumns="0" formatRows="0"/>
  <mergeCells count="9">
    <mergeCell ref="N17:P17"/>
    <mergeCell ref="K16:P16"/>
    <mergeCell ref="K17:M17"/>
    <mergeCell ref="A7:C7"/>
    <mergeCell ref="A2:C2"/>
    <mergeCell ref="A3:C3"/>
    <mergeCell ref="A4:C4"/>
    <mergeCell ref="B5:C5"/>
    <mergeCell ref="B6:C6"/>
  </mergeCells>
  <phoneticPr fontId="7" type="noConversion"/>
  <conditionalFormatting sqref="E27">
    <cfRule type="containsText" dxfId="178" priority="1" stopIfTrue="1" operator="containsText" text="面积有误">
      <formula>NOT(ISERROR(SEARCH("面积有误",E27)))</formula>
    </cfRule>
    <cfRule type="cellIs" dxfId="177" priority="3" stopIfTrue="1" operator="equal">
      <formula>"地下面积有误"</formula>
    </cfRule>
  </conditionalFormatting>
  <conditionalFormatting sqref="F27">
    <cfRule type="cellIs" dxfId="176" priority="2" stopIfTrue="1" operator="equal">
      <formula>"地上面积有误"</formula>
    </cfRule>
  </conditionalFormatting>
  <dataValidations count="2">
    <dataValidation type="list" allowBlank="1" showInputMessage="1" showErrorMessage="1" sqref="B28:B29 B19:B26">
      <formula1>类别</formula1>
    </dataValidation>
    <dataValidation type="list" allowBlank="1" showInputMessage="1" showErrorMessage="1" sqref="I17">
      <formula1>"自定义,按面积比例"</formula1>
    </dataValidation>
  </dataValidations>
  <pageMargins left="0.7" right="0.7" top="0.75" bottom="0.75" header="0.3" footer="0.3"/>
  <pageSetup paperSize="9" scale="76" fitToHeight="0" orientation="landscape"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BO174"/>
  <sheetViews>
    <sheetView zoomScale="85" zoomScaleNormal="85" zoomScaleSheetLayoutView="90" workbookViewId="0">
      <pane xSplit="3" ySplit="5" topLeftCell="O33" activePane="bottomRight" state="frozen"/>
      <selection activeCell="C50" sqref="C50"/>
      <selection pane="topRight" activeCell="C50" sqref="C50"/>
      <selection pane="bottomLeft" activeCell="C50" sqref="C50"/>
      <selection pane="bottomRight" activeCell="P32" sqref="P32"/>
    </sheetView>
  </sheetViews>
  <sheetFormatPr defaultColWidth="13.75" defaultRowHeight="12.75"/>
  <cols>
    <col min="1" max="1" width="20.875" style="1920" customWidth="1"/>
    <col min="2" max="2" width="12" style="1857" customWidth="1"/>
    <col min="3" max="3" width="12.75" style="1857" customWidth="1"/>
    <col min="4" max="4" width="9.125" style="1921" customWidth="1"/>
    <col min="5" max="5" width="15" style="1857" bestFit="1" customWidth="1"/>
    <col min="6" max="10" width="8.875" style="1857" customWidth="1"/>
    <col min="11" max="12" width="12.375" style="1776" customWidth="1"/>
    <col min="13" max="13" width="8.625" style="1857" customWidth="1"/>
    <col min="14" max="14" width="11.875" style="1857" customWidth="1"/>
    <col min="15" max="15" width="8.5" style="1857" customWidth="1"/>
    <col min="16" max="17" width="10.875" style="1857" customWidth="1"/>
    <col min="18" max="19" width="12.5" style="1857" customWidth="1"/>
    <col min="20" max="20" width="12.125" style="1857" customWidth="1"/>
    <col min="21" max="21" width="7.5" style="1857" customWidth="1"/>
    <col min="22" max="22" width="6.375" style="1857" customWidth="1"/>
    <col min="23" max="24" width="6.75" style="1857" customWidth="1"/>
    <col min="25" max="25" width="9.5" style="1857" customWidth="1"/>
    <col min="26" max="30" width="6.75" style="1857" customWidth="1"/>
    <col min="31" max="31" width="8" style="1857" customWidth="1"/>
    <col min="32" max="34" width="7.25" style="1857" customWidth="1"/>
    <col min="35" max="39" width="8" style="1857" customWidth="1"/>
    <col min="40" max="40" width="13.75" style="1856"/>
    <col min="41" max="41" width="11.625" style="1856" customWidth="1"/>
    <col min="42" max="42" width="9.75" style="1856" customWidth="1"/>
    <col min="43" max="67" width="13.75" style="1856"/>
    <col min="68" max="16384" width="13.75" style="1857"/>
  </cols>
  <sheetData>
    <row r="1" spans="1:67" ht="19.5" thickBot="1">
      <c r="A1" s="1854" t="s">
        <v>1844</v>
      </c>
      <c r="B1" s="686"/>
      <c r="C1" s="1341"/>
      <c r="D1" s="1855"/>
      <c r="E1" s="1341"/>
      <c r="F1" s="1341"/>
      <c r="G1" s="1341"/>
      <c r="H1" s="1341"/>
      <c r="I1" s="1341"/>
      <c r="J1" s="1341"/>
      <c r="K1" s="164"/>
      <c r="L1" s="164"/>
      <c r="M1" s="1341"/>
      <c r="N1" s="1341"/>
      <c r="O1" s="1341"/>
      <c r="P1" s="1341"/>
      <c r="Q1" s="1341"/>
      <c r="R1" s="1341"/>
      <c r="S1" s="1341"/>
      <c r="T1" s="1341"/>
      <c r="U1" s="1341"/>
      <c r="V1" s="1341"/>
      <c r="W1" s="1341"/>
      <c r="X1" s="1341"/>
      <c r="Y1" s="1341"/>
      <c r="Z1" s="1341"/>
      <c r="AA1" s="1341"/>
      <c r="AB1" s="1341"/>
      <c r="AC1" s="1341"/>
      <c r="AD1" s="1341"/>
      <c r="AE1" s="1341"/>
      <c r="AF1" s="1341"/>
      <c r="AG1" s="1341"/>
      <c r="AH1" s="1341"/>
      <c r="AI1" s="1341"/>
      <c r="AJ1" s="1341"/>
      <c r="AK1" s="1341"/>
      <c r="AL1" s="1341"/>
      <c r="AM1" s="1341"/>
      <c r="AN1" s="2881"/>
      <c r="AO1" s="2881"/>
      <c r="AP1" s="2881"/>
      <c r="AQ1" s="2881"/>
      <c r="AR1" s="2881"/>
    </row>
    <row r="2" spans="1:67" s="1734" customFormat="1" ht="15.75" thickBot="1">
      <c r="A2" s="1858" t="s">
        <v>1845</v>
      </c>
      <c r="B2" s="1167">
        <f>项目基本情况!D3</f>
        <v>44280</v>
      </c>
      <c r="C2" s="1859"/>
      <c r="D2" s="1860"/>
      <c r="E2" s="1859"/>
      <c r="F2" s="1859"/>
      <c r="G2" s="1859"/>
      <c r="H2" s="1859"/>
      <c r="I2" s="1859"/>
      <c r="J2" s="1859"/>
      <c r="K2" s="1319"/>
      <c r="L2" s="1319"/>
      <c r="M2" s="1859"/>
      <c r="N2" s="1859"/>
      <c r="O2" s="1859"/>
      <c r="P2" s="1859"/>
      <c r="Q2" s="1859"/>
      <c r="R2" s="1859"/>
      <c r="S2" s="1859"/>
      <c r="T2" s="1859"/>
      <c r="U2" s="1859"/>
      <c r="V2" s="1859"/>
      <c r="W2" s="1859"/>
      <c r="X2" s="1859"/>
      <c r="Y2" s="1859"/>
      <c r="Z2" s="1859"/>
      <c r="AA2" s="1859"/>
      <c r="AB2" s="1859"/>
      <c r="AC2" s="1859"/>
      <c r="AD2" s="1859"/>
      <c r="AE2" s="1859"/>
      <c r="AF2" s="1859"/>
      <c r="AG2" s="1859"/>
      <c r="AH2" s="1859"/>
      <c r="AI2" s="1859"/>
      <c r="AJ2" s="1859"/>
      <c r="AK2" s="1859"/>
      <c r="AL2" s="1859"/>
      <c r="AM2" s="1859"/>
      <c r="AN2" s="2883"/>
      <c r="AO2" s="2883"/>
      <c r="AP2" s="2883"/>
      <c r="AQ2" s="2883"/>
      <c r="AR2" s="2883"/>
      <c r="AS2" s="1861"/>
      <c r="AT2" s="1861"/>
      <c r="AU2" s="1861"/>
      <c r="AV2" s="1861"/>
      <c r="AW2" s="1861"/>
      <c r="AX2" s="1861"/>
      <c r="AY2" s="1861"/>
      <c r="AZ2" s="1861"/>
      <c r="BA2" s="1861"/>
      <c r="BB2" s="1861"/>
      <c r="BC2" s="1861"/>
      <c r="BD2" s="1861"/>
      <c r="BE2" s="1861"/>
      <c r="BF2" s="1861"/>
      <c r="BG2" s="1861"/>
      <c r="BH2" s="1861"/>
      <c r="BI2" s="1861"/>
      <c r="BJ2" s="1861"/>
      <c r="BK2" s="1861"/>
      <c r="BL2" s="1861"/>
      <c r="BM2" s="1861"/>
      <c r="BN2" s="1861"/>
      <c r="BO2" s="1861"/>
    </row>
    <row r="3" spans="1:67" s="1734" customFormat="1" ht="15" thickBot="1">
      <c r="A3" s="1732"/>
      <c r="B3" s="1862"/>
      <c r="C3" s="1859"/>
      <c r="D3" s="1860"/>
      <c r="E3" s="1859"/>
      <c r="F3" s="1859"/>
      <c r="G3" s="1859"/>
      <c r="H3" s="1859"/>
      <c r="I3" s="1859"/>
      <c r="J3" s="1859"/>
      <c r="K3" s="1319"/>
      <c r="L3" s="1319"/>
      <c r="M3" s="1859"/>
      <c r="N3" s="1859"/>
      <c r="O3" s="1859"/>
      <c r="P3" s="1859"/>
      <c r="Q3" s="1859"/>
      <c r="R3" s="1859"/>
      <c r="S3" s="1859"/>
      <c r="T3" s="1859"/>
      <c r="U3" s="1859"/>
      <c r="V3" s="1859"/>
      <c r="W3" s="1859"/>
      <c r="X3" s="1859"/>
      <c r="Y3" s="1859"/>
      <c r="Z3" s="1859"/>
      <c r="AA3" s="1859"/>
      <c r="AB3" s="1859"/>
      <c r="AC3" s="1859"/>
      <c r="AD3" s="1859"/>
      <c r="AE3" s="1859"/>
      <c r="AF3" s="1859"/>
      <c r="AG3" s="1859"/>
      <c r="AH3" s="1859"/>
      <c r="AI3" s="1859"/>
      <c r="AJ3" s="1859"/>
      <c r="AK3" s="1859"/>
      <c r="AL3" s="1859"/>
      <c r="AM3" s="1859"/>
      <c r="AN3" s="2883"/>
      <c r="AO3" s="2883"/>
      <c r="AP3" s="2883"/>
      <c r="AQ3" s="2883"/>
      <c r="AR3" s="2883"/>
      <c r="AS3" s="1861"/>
      <c r="AT3" s="1861"/>
      <c r="AU3" s="1861"/>
      <c r="AV3" s="1861"/>
      <c r="AW3" s="1861"/>
      <c r="AX3" s="1861"/>
      <c r="AY3" s="1861"/>
      <c r="AZ3" s="1861"/>
      <c r="BA3" s="1861"/>
      <c r="BB3" s="1861"/>
      <c r="BC3" s="1861"/>
      <c r="BD3" s="1861"/>
      <c r="BE3" s="1861"/>
      <c r="BF3" s="1861"/>
      <c r="BG3" s="1861"/>
      <c r="BH3" s="1861"/>
      <c r="BI3" s="1861"/>
      <c r="BJ3" s="1861"/>
      <c r="BK3" s="1861"/>
      <c r="BL3" s="1861"/>
      <c r="BM3" s="1861"/>
      <c r="BN3" s="1861"/>
      <c r="BO3" s="1861"/>
    </row>
    <row r="4" spans="1:67" s="1734" customFormat="1" ht="15" thickBot="1">
      <c r="A4" s="64" t="s">
        <v>1846</v>
      </c>
      <c r="B4" s="1863"/>
      <c r="C4" s="1864"/>
      <c r="D4" s="1865"/>
      <c r="E4" s="1864" t="s">
        <v>1847</v>
      </c>
      <c r="F4" s="1864"/>
      <c r="G4" s="1864"/>
      <c r="H4" s="1864"/>
      <c r="I4" s="1864"/>
      <c r="J4" s="1866"/>
      <c r="K4" s="1867"/>
      <c r="L4" s="1868"/>
      <c r="M4" s="1864"/>
      <c r="N4" s="1864" t="s">
        <v>1848</v>
      </c>
      <c r="O4" s="1864"/>
      <c r="P4" s="1864"/>
      <c r="Q4" s="1864"/>
      <c r="R4" s="1864"/>
      <c r="S4" s="1866"/>
      <c r="T4" s="2867" t="str">
        <f>'数据-汇总表'!I17</f>
        <v>按面积比例</v>
      </c>
      <c r="U4" s="1863" t="s">
        <v>1849</v>
      </c>
      <c r="V4" s="1864"/>
      <c r="W4" s="1864"/>
      <c r="X4" s="1864"/>
      <c r="Y4" s="1866"/>
      <c r="Z4" s="1827" t="s">
        <v>1850</v>
      </c>
      <c r="AA4" s="1827"/>
      <c r="AB4" s="1827"/>
      <c r="AC4" s="1827"/>
      <c r="AD4" s="1827"/>
      <c r="AE4" s="1825" t="s">
        <v>1851</v>
      </c>
      <c r="AF4" s="1827"/>
      <c r="AG4" s="1869"/>
      <c r="AH4" s="1863"/>
      <c r="AI4" s="1864"/>
      <c r="AJ4" s="1864"/>
      <c r="AK4" s="1864"/>
      <c r="AL4" s="1864"/>
      <c r="AM4" s="1866"/>
      <c r="AN4" s="2883"/>
      <c r="AO4" s="2883"/>
      <c r="AP4" s="2883"/>
      <c r="AQ4" s="2883"/>
      <c r="AR4" s="2883"/>
      <c r="AS4" s="1861"/>
      <c r="AT4" s="1861"/>
      <c r="AU4" s="1861"/>
      <c r="AV4" s="1861"/>
      <c r="AW4" s="1861"/>
      <c r="AX4" s="1861"/>
      <c r="AY4" s="1861"/>
      <c r="AZ4" s="1861"/>
      <c r="BA4" s="1861"/>
      <c r="BB4" s="1861"/>
      <c r="BC4" s="1861"/>
      <c r="BD4" s="1861"/>
      <c r="BE4" s="1861"/>
      <c r="BF4" s="1861"/>
      <c r="BG4" s="1861"/>
      <c r="BH4" s="1861"/>
      <c r="BI4" s="1861"/>
      <c r="BJ4" s="1861"/>
      <c r="BK4" s="1861"/>
      <c r="BL4" s="1861"/>
      <c r="BM4" s="1861"/>
      <c r="BN4" s="1861"/>
      <c r="BO4" s="1861"/>
    </row>
    <row r="5" spans="1:67" s="1735" customFormat="1" ht="42">
      <c r="A5" s="1870" t="s">
        <v>1852</v>
      </c>
      <c r="B5" s="1871" t="s">
        <v>1853</v>
      </c>
      <c r="C5" s="1872" t="s">
        <v>1854</v>
      </c>
      <c r="D5" s="1873" t="s">
        <v>1855</v>
      </c>
      <c r="E5" s="1169" t="s">
        <v>1856</v>
      </c>
      <c r="F5" s="1874" t="s">
        <v>1857</v>
      </c>
      <c r="G5" s="1169" t="s">
        <v>1858</v>
      </c>
      <c r="H5" s="1169" t="s">
        <v>1859</v>
      </c>
      <c r="I5" s="1169" t="s">
        <v>1860</v>
      </c>
      <c r="J5" s="1875" t="s">
        <v>1861</v>
      </c>
      <c r="K5" s="1876" t="s">
        <v>1862</v>
      </c>
      <c r="L5" s="1877" t="s">
        <v>1863</v>
      </c>
      <c r="M5" s="1878" t="s">
        <v>1864</v>
      </c>
      <c r="N5" s="1879" t="s">
        <v>3065</v>
      </c>
      <c r="O5" s="1877" t="s">
        <v>1865</v>
      </c>
      <c r="P5" s="1880" t="s">
        <v>1866</v>
      </c>
      <c r="Q5" s="65" t="s">
        <v>1867</v>
      </c>
      <c r="R5" s="1881" t="s">
        <v>1868</v>
      </c>
      <c r="S5" s="1882" t="s">
        <v>1869</v>
      </c>
      <c r="T5" s="1883" t="s">
        <v>1870</v>
      </c>
      <c r="U5" s="1168" t="s">
        <v>1871</v>
      </c>
      <c r="V5" s="1169" t="s">
        <v>1872</v>
      </c>
      <c r="W5" s="1169" t="s">
        <v>1873</v>
      </c>
      <c r="X5" s="67"/>
      <c r="Y5" s="66" t="s">
        <v>1874</v>
      </c>
      <c r="Z5" s="1884" t="s">
        <v>1871</v>
      </c>
      <c r="AA5" s="1169" t="s">
        <v>1872</v>
      </c>
      <c r="AB5" s="1169" t="s">
        <v>1873</v>
      </c>
      <c r="AC5" s="67"/>
      <c r="AD5" s="67" t="s">
        <v>1874</v>
      </c>
      <c r="AE5" s="1168" t="s">
        <v>1875</v>
      </c>
      <c r="AF5" s="1169" t="s">
        <v>1876</v>
      </c>
      <c r="AG5" s="66" t="s">
        <v>1877</v>
      </c>
      <c r="AH5" s="1168" t="s">
        <v>1878</v>
      </c>
      <c r="AI5" s="1884" t="s">
        <v>1879</v>
      </c>
      <c r="AJ5" s="1884" t="s">
        <v>1880</v>
      </c>
      <c r="AK5" s="1169" t="s">
        <v>1881</v>
      </c>
      <c r="AL5" s="1169" t="s">
        <v>1882</v>
      </c>
      <c r="AM5" s="66" t="s">
        <v>1883</v>
      </c>
      <c r="AN5" s="1885" t="s">
        <v>1884</v>
      </c>
      <c r="AO5" s="1737" t="s">
        <v>1885</v>
      </c>
      <c r="AP5" s="1150" t="s">
        <v>1886</v>
      </c>
      <c r="AQ5" s="1886" t="s">
        <v>1887</v>
      </c>
      <c r="AR5" s="1886" t="s">
        <v>1888</v>
      </c>
      <c r="AS5" s="1747"/>
      <c r="AT5" s="1747"/>
      <c r="AU5" s="1747"/>
      <c r="AV5" s="1747"/>
      <c r="AW5" s="1747"/>
      <c r="AX5" s="1747"/>
      <c r="AY5" s="1747"/>
      <c r="AZ5" s="1747"/>
      <c r="BA5" s="1747"/>
      <c r="BB5" s="1747"/>
      <c r="BC5" s="1747"/>
      <c r="BD5" s="1747"/>
      <c r="BE5" s="1747"/>
      <c r="BF5" s="1747"/>
      <c r="BG5" s="1747"/>
      <c r="BH5" s="1747"/>
      <c r="BI5" s="1747"/>
      <c r="BJ5" s="1747"/>
      <c r="BK5" s="1747"/>
      <c r="BL5" s="1747"/>
      <c r="BM5" s="1747"/>
      <c r="BN5" s="1747"/>
      <c r="BO5" s="1747"/>
    </row>
    <row r="6" spans="1:67" s="1734" customFormat="1" ht="14.25">
      <c r="A6" s="1887" t="str">
        <f>'数据-汇总表'!C19</f>
        <v>酒店</v>
      </c>
      <c r="B6" s="1888" t="str">
        <f>IF(A6=0,"","经营性")</f>
        <v>经营性</v>
      </c>
      <c r="C6" s="1889" t="s">
        <v>1343</v>
      </c>
      <c r="D6" s="964">
        <f>SUMIF(项目基本情况!D$12:I$12,C6,项目基本情况!D$14:I$14)</f>
        <v>40</v>
      </c>
      <c r="E6" s="963">
        <f>IF(B6="","",SUMIF(项目基本情况!D$12:I$12,C6,项目基本情况!D$13:I$13))</f>
        <v>56231</v>
      </c>
      <c r="F6" s="68">
        <f>SUMIF(项目基本情况!D$12:I$12,C6,项目基本情况!D$15:I$15)</f>
        <v>32.74</v>
      </c>
      <c r="G6" s="69">
        <f>IF(ISERROR(ROUND(POWER(1+H6,D6-F6)*(POWER(1+H6,F6)-1)/(POWER(1+H6,D6)-1),3)),0,ROUND(POWER(1+H6,D6-F6)*(POWER(1+H6,F6)-1)/(POWER(1+H6,D6)-1),3))</f>
        <v>0.93</v>
      </c>
      <c r="H6" s="738">
        <v>0.05</v>
      </c>
      <c r="I6" s="738">
        <v>5.5E-2</v>
      </c>
      <c r="J6" s="70">
        <v>8.5000000000000006E-2</v>
      </c>
      <c r="K6" s="1152">
        <f>SUMIF('数据-汇总表'!C$19:C$33,A6,'数据-汇总表'!E$19:E$33)</f>
        <v>29610.970000000008</v>
      </c>
      <c r="L6" s="739">
        <v>6000</v>
      </c>
      <c r="M6" s="71">
        <f t="shared" ref="M6:M14" si="0">ROUND(K6*L6/10000,0)</f>
        <v>17767</v>
      </c>
      <c r="N6" s="737">
        <v>1</v>
      </c>
      <c r="O6" s="71" t="str">
        <f>IF($N$5="成新度","——",ROUND(M6*N6,0))</f>
        <v>——</v>
      </c>
      <c r="P6" s="72" t="str">
        <f>IF($N$5="成新度","——",M6-O6)</f>
        <v>——</v>
      </c>
      <c r="Q6" s="740">
        <v>0.1</v>
      </c>
      <c r="R6" s="73">
        <f ca="1">SUMIF('数据-汇总表'!C$19:C$33,A6,'数据-汇总表'!R$19:R$27)</f>
        <v>0</v>
      </c>
      <c r="S6" s="54">
        <f>IF('数据-汇总表'!$I$17="按面积比例",SUMIF('数据-汇总表'!C$19:C$33,A6,'数据-汇总表'!K$19:K$33),SUMIF('数据-汇总表'!C$19:C$33,A6,'数据-汇总表'!N$19:N$33))</f>
        <v>321.79000000000002</v>
      </c>
      <c r="T6" s="1323">
        <f>ROUND($L$14*S6/10000,0)</f>
        <v>129</v>
      </c>
      <c r="U6" s="74">
        <v>2</v>
      </c>
      <c r="V6" s="75">
        <v>2.5000000000000001E-2</v>
      </c>
      <c r="W6" s="75">
        <v>0.1</v>
      </c>
      <c r="X6" s="1162"/>
      <c r="Y6" s="76">
        <v>1</v>
      </c>
      <c r="Z6" s="77"/>
      <c r="AA6" s="70"/>
      <c r="AB6" s="70"/>
      <c r="AC6" s="1162"/>
      <c r="AD6" s="78"/>
      <c r="AE6" s="1163">
        <f ca="1">IF(AN6="",0,SUMIF(INDIRECT("'"&amp;AN6&amp;"'"&amp;"!E:E"),$AE$5,INDIRECT("'"&amp;AN6&amp;"'"&amp;"!F:F")))</f>
        <v>32.74</v>
      </c>
      <c r="AF6" s="1522"/>
      <c r="AG6" s="143">
        <f>IF(AF6="",0,AE6-AF6)</f>
        <v>0</v>
      </c>
      <c r="AH6" s="79"/>
      <c r="AI6" s="81">
        <v>365</v>
      </c>
      <c r="AJ6" s="82"/>
      <c r="AK6" s="83">
        <v>1.4999999999999999E-2</v>
      </c>
      <c r="AL6" s="84">
        <v>1.5E-3</v>
      </c>
      <c r="AM6" s="85">
        <v>1.4999999999999999E-2</v>
      </c>
      <c r="AN6" s="1890" t="s">
        <v>3535</v>
      </c>
      <c r="AO6" s="55">
        <f ca="1">SUMIF(INDIRECT("'"&amp;AN6&amp;"'"&amp;"!A:A"),"总价",INDIRECT("'"&amp;AN6&amp;"'"&amp;"!B:B"))</f>
        <v>24262</v>
      </c>
      <c r="AP6" s="1891">
        <f>IF(C6="住宅",K6*L6,0)</f>
        <v>0</v>
      </c>
      <c r="AQ6" s="55">
        <f>ROUND($L$14*$N$14*S6/10000,0)</f>
        <v>0</v>
      </c>
      <c r="AR6" s="55">
        <f>ROUND($L$14*(1-$N$14)*S6/10000,0)</f>
        <v>129</v>
      </c>
      <c r="AS6" s="1861"/>
      <c r="AT6" s="1861"/>
      <c r="AU6" s="1861"/>
      <c r="AV6" s="1861"/>
      <c r="AW6" s="1861"/>
      <c r="AX6" s="1861"/>
      <c r="AY6" s="1861"/>
      <c r="AZ6" s="1861"/>
      <c r="BA6" s="1861"/>
      <c r="BB6" s="1861"/>
      <c r="BC6" s="1861"/>
      <c r="BD6" s="1861"/>
      <c r="BE6" s="1861"/>
      <c r="BF6" s="1861"/>
      <c r="BG6" s="1861"/>
      <c r="BH6" s="1861"/>
      <c r="BI6" s="1861"/>
      <c r="BJ6" s="1861"/>
      <c r="BK6" s="1861"/>
      <c r="BL6" s="1861"/>
      <c r="BM6" s="1861"/>
      <c r="BN6" s="1861"/>
      <c r="BO6" s="1861"/>
    </row>
    <row r="7" spans="1:67" s="1734" customFormat="1" ht="14.25">
      <c r="A7" s="1887">
        <f>'数据-汇总表'!C20</f>
        <v>0</v>
      </c>
      <c r="B7" s="1888" t="str">
        <f t="shared" ref="B7:B13" si="1">IF(A7=0,"","经营性")</f>
        <v/>
      </c>
      <c r="C7" s="1889"/>
      <c r="D7" s="964">
        <f>SUMIF(项目基本情况!D$12:I$12,C7,项目基本情况!D$14:I$14)</f>
        <v>0</v>
      </c>
      <c r="E7" s="963" t="str">
        <f>IF(B7="","",SUMIF(项目基本情况!D$12:I$12,C7,项目基本情况!D$13:I$13))</f>
        <v/>
      </c>
      <c r="F7" s="68">
        <f>SUMIF(项目基本情况!D$12:I$12,C7,项目基本情况!D$15:I$15)</f>
        <v>0</v>
      </c>
      <c r="G7" s="69">
        <f t="shared" ref="G7:G11" si="2">IF(ISERROR(ROUND(POWER(1+H7,D7-F7)*(POWER(1+H7,F7)-1)/(POWER(1+H7,D7)-1),3)),0,ROUND(POWER(1+H7,D7-F7)*(POWER(1+H7,F7)-1)/(POWER(1+H7,D7)-1),3))</f>
        <v>0</v>
      </c>
      <c r="H7" s="738"/>
      <c r="I7" s="738"/>
      <c r="J7" s="70"/>
      <c r="K7" s="1152">
        <f>SUMIF('数据-汇总表'!C$19:C$33,A7,'数据-汇总表'!E$19:E$33)</f>
        <v>0</v>
      </c>
      <c r="L7" s="739"/>
      <c r="M7" s="71">
        <f t="shared" si="0"/>
        <v>0</v>
      </c>
      <c r="N7" s="737"/>
      <c r="O7" s="71" t="str">
        <f t="shared" ref="O7:O14" si="3">IF($N$5="成新度","——",ROUND(M7*N7,0))</f>
        <v>——</v>
      </c>
      <c r="P7" s="72" t="str">
        <f t="shared" ref="P7:P14" si="4">IF($N$5="成新度","——",M7-O7)</f>
        <v>——</v>
      </c>
      <c r="Q7" s="740"/>
      <c r="R7" s="73">
        <f ca="1">SUMIF('数据-汇总表'!C$19:C$33,A7,'数据-汇总表'!R$19:R$27)</f>
        <v>0</v>
      </c>
      <c r="S7" s="54">
        <f>IF('数据-汇总表'!$I$17="按面积比例",SUMIF('数据-汇总表'!C$19:C$33,A7,'数据-汇总表'!K$19:K$33),SUMIF('数据-汇总表'!C$19:C$33,A7,'数据-汇总表'!N$19:N$33))</f>
        <v>0</v>
      </c>
      <c r="T7" s="1323">
        <f t="shared" ref="T7:T13" si="5">ROUND($L$14*S7/10000,0)</f>
        <v>0</v>
      </c>
      <c r="U7" s="74"/>
      <c r="V7" s="75"/>
      <c r="W7" s="75"/>
      <c r="X7" s="1162"/>
      <c r="Y7" s="76"/>
      <c r="Z7" s="77"/>
      <c r="AA7" s="70"/>
      <c r="AB7" s="70"/>
      <c r="AC7" s="1162"/>
      <c r="AD7" s="78"/>
      <c r="AE7" s="1163">
        <f t="shared" ref="AE7:AE13" ca="1" si="6">IF(AN7="",0,SUMIF(INDIRECT("'"&amp;AN7&amp;"'"&amp;"!E:E"),$AE$5,INDIRECT("'"&amp;AN7&amp;"'"&amp;"!F:F")))</f>
        <v>0</v>
      </c>
      <c r="AF7" s="1522"/>
      <c r="AG7" s="143">
        <f t="shared" ref="AG7:AG13" si="7">IF(AF7="",0,AE7-AF7)</f>
        <v>0</v>
      </c>
      <c r="AH7" s="79"/>
      <c r="AI7" s="81"/>
      <c r="AJ7" s="82"/>
      <c r="AK7" s="83"/>
      <c r="AL7" s="84"/>
      <c r="AM7" s="85"/>
      <c r="AN7" s="1890"/>
      <c r="AO7" s="55" t="e">
        <f t="shared" ref="AO7:AO13" ca="1" si="8">SUMIF(INDIRECT("'"&amp;AN7&amp;"'"&amp;"!A:A"),"总价",INDIRECT("'"&amp;AN7&amp;"'"&amp;"!B:B"))</f>
        <v>#REF!</v>
      </c>
      <c r="AP7" s="1891">
        <f t="shared" ref="AP7:AP13" si="9">IF(C7="住宅",K7*L7,0)</f>
        <v>0</v>
      </c>
      <c r="AQ7" s="55">
        <f t="shared" ref="AQ7:AQ13" si="10">ROUND($L$14*$N$14*S7/10000,0)</f>
        <v>0</v>
      </c>
      <c r="AR7" s="55">
        <f t="shared" ref="AR7:AR13" si="11">ROUND($L$14*(1-$N$14)*S7/10000,0)</f>
        <v>0</v>
      </c>
      <c r="AS7" s="1861"/>
      <c r="AT7" s="1861"/>
      <c r="AU7" s="1861"/>
      <c r="AV7" s="1861"/>
      <c r="AW7" s="1861"/>
      <c r="AX7" s="1861"/>
      <c r="AY7" s="1861"/>
      <c r="AZ7" s="1861"/>
      <c r="BA7" s="1861"/>
      <c r="BB7" s="1861"/>
      <c r="BC7" s="1861"/>
      <c r="BD7" s="1861"/>
      <c r="BE7" s="1861"/>
      <c r="BF7" s="1861"/>
      <c r="BG7" s="1861"/>
      <c r="BH7" s="1861"/>
      <c r="BI7" s="1861"/>
      <c r="BJ7" s="1861"/>
      <c r="BK7" s="1861"/>
      <c r="BL7" s="1861"/>
      <c r="BM7" s="1861"/>
      <c r="BN7" s="1861"/>
      <c r="BO7" s="1861"/>
    </row>
    <row r="8" spans="1:67" s="1734" customFormat="1" ht="14.25">
      <c r="A8" s="1887">
        <f>'数据-汇总表'!C21</f>
        <v>0</v>
      </c>
      <c r="B8" s="1888" t="str">
        <f t="shared" si="1"/>
        <v/>
      </c>
      <c r="C8" s="1889"/>
      <c r="D8" s="964">
        <f>SUMIF(项目基本情况!D$12:I$12,C8,项目基本情况!D$14:I$14)</f>
        <v>0</v>
      </c>
      <c r="E8" s="963" t="str">
        <f>IF(B8="","",SUMIF(项目基本情况!D$12:I$12,C8,项目基本情况!D$13:I$13))</f>
        <v/>
      </c>
      <c r="F8" s="68">
        <f>SUMIF(项目基本情况!D$12:I$12,C8,项目基本情况!D$15:I$15)</f>
        <v>0</v>
      </c>
      <c r="G8" s="69">
        <f t="shared" si="2"/>
        <v>0</v>
      </c>
      <c r="H8" s="738"/>
      <c r="I8" s="738"/>
      <c r="J8" s="70"/>
      <c r="K8" s="1152">
        <f>SUMIF('数据-汇总表'!C$19:C$33,A8,'数据-汇总表'!E$19:E$33)</f>
        <v>0</v>
      </c>
      <c r="L8" s="739"/>
      <c r="M8" s="71">
        <f>ROUND(K8*L8/10000,0)</f>
        <v>0</v>
      </c>
      <c r="N8" s="737"/>
      <c r="O8" s="71" t="str">
        <f t="shared" si="3"/>
        <v>——</v>
      </c>
      <c r="P8" s="72" t="str">
        <f t="shared" si="4"/>
        <v>——</v>
      </c>
      <c r="Q8" s="740"/>
      <c r="R8" s="73">
        <f ca="1">SUMIF('数据-汇总表'!C$19:C$33,A8,'数据-汇总表'!R$19:R$27)</f>
        <v>0</v>
      </c>
      <c r="S8" s="54">
        <f>IF('数据-汇总表'!$I$17="按面积比例",SUMIF('数据-汇总表'!C$19:C$33,A8,'数据-汇总表'!K$19:K$33),SUMIF('数据-汇总表'!C$19:C$33,A8,'数据-汇总表'!N$19:N$33))</f>
        <v>0</v>
      </c>
      <c r="T8" s="1323">
        <f t="shared" si="5"/>
        <v>0</v>
      </c>
      <c r="U8" s="741"/>
      <c r="V8" s="742"/>
      <c r="W8" s="742"/>
      <c r="X8" s="1162"/>
      <c r="Y8" s="743"/>
      <c r="Z8" s="77"/>
      <c r="AA8" s="70"/>
      <c r="AB8" s="70"/>
      <c r="AC8" s="1162"/>
      <c r="AD8" s="78"/>
      <c r="AE8" s="1163">
        <f t="shared" ca="1" si="6"/>
        <v>0</v>
      </c>
      <c r="AF8" s="1522"/>
      <c r="AG8" s="143">
        <f t="shared" si="7"/>
        <v>0</v>
      </c>
      <c r="AH8" s="744"/>
      <c r="AI8" s="81"/>
      <c r="AJ8" s="82"/>
      <c r="AK8" s="745"/>
      <c r="AL8" s="746"/>
      <c r="AM8" s="747"/>
      <c r="AN8" s="1890"/>
      <c r="AO8" s="55" t="e">
        <f t="shared" ca="1" si="8"/>
        <v>#REF!</v>
      </c>
      <c r="AP8" s="1891">
        <f t="shared" si="9"/>
        <v>0</v>
      </c>
      <c r="AQ8" s="55">
        <f t="shared" si="10"/>
        <v>0</v>
      </c>
      <c r="AR8" s="55">
        <f t="shared" si="11"/>
        <v>0</v>
      </c>
      <c r="AS8" s="1861"/>
      <c r="AT8" s="1861"/>
      <c r="AU8" s="1861"/>
      <c r="AV8" s="1861"/>
      <c r="AW8" s="1861"/>
      <c r="AX8" s="1861"/>
      <c r="AY8" s="1861"/>
      <c r="AZ8" s="1861"/>
      <c r="BA8" s="1861"/>
      <c r="BB8" s="1861"/>
      <c r="BC8" s="1861"/>
      <c r="BD8" s="1861"/>
      <c r="BE8" s="1861"/>
      <c r="BF8" s="1861"/>
      <c r="BG8" s="1861"/>
      <c r="BH8" s="1861"/>
      <c r="BI8" s="1861"/>
      <c r="BJ8" s="1861"/>
      <c r="BK8" s="1861"/>
      <c r="BL8" s="1861"/>
      <c r="BM8" s="1861"/>
      <c r="BN8" s="1861"/>
      <c r="BO8" s="1861"/>
    </row>
    <row r="9" spans="1:67" s="1734" customFormat="1" ht="14.25">
      <c r="A9" s="1887">
        <f>'数据-汇总表'!C22</f>
        <v>0</v>
      </c>
      <c r="B9" s="1888" t="str">
        <f t="shared" si="1"/>
        <v/>
      </c>
      <c r="C9" s="1889"/>
      <c r="D9" s="964">
        <f>SUMIF(项目基本情况!D$12:I$12,C9,项目基本情况!D$14:I$14)</f>
        <v>0</v>
      </c>
      <c r="E9" s="963" t="str">
        <f>IF(B9="","",SUMIF(项目基本情况!D$12:I$12,C9,项目基本情况!D$13:I$13))</f>
        <v/>
      </c>
      <c r="F9" s="68">
        <f>SUMIF(项目基本情况!D$12:I$12,C9,项目基本情况!D$15:I$15)</f>
        <v>0</v>
      </c>
      <c r="G9" s="69">
        <f t="shared" si="2"/>
        <v>0</v>
      </c>
      <c r="H9" s="70"/>
      <c r="I9" s="70"/>
      <c r="J9" s="70"/>
      <c r="K9" s="1152">
        <f>SUMIF('数据-汇总表'!C$19:C$33,A9,'数据-汇总表'!E$19:E$33)</f>
        <v>0</v>
      </c>
      <c r="L9" s="739"/>
      <c r="M9" s="71">
        <f t="shared" si="0"/>
        <v>0</v>
      </c>
      <c r="N9" s="737"/>
      <c r="O9" s="71" t="str">
        <f t="shared" si="3"/>
        <v>——</v>
      </c>
      <c r="P9" s="72" t="str">
        <f t="shared" si="4"/>
        <v>——</v>
      </c>
      <c r="Q9" s="86"/>
      <c r="R9" s="73">
        <f ca="1">SUMIF('数据-汇总表'!C$19:C$33,A9,'数据-汇总表'!R$19:R$27)</f>
        <v>0</v>
      </c>
      <c r="S9" s="54">
        <f>IF('数据-汇总表'!$I$17="按面积比例",SUMIF('数据-汇总表'!C$19:C$33,A9,'数据-汇总表'!K$19:K$33),SUMIF('数据-汇总表'!C$19:C$33,A9,'数据-汇总表'!N$19:N$33))</f>
        <v>0</v>
      </c>
      <c r="T9" s="1323">
        <f t="shared" si="5"/>
        <v>0</v>
      </c>
      <c r="U9" s="74"/>
      <c r="V9" s="75"/>
      <c r="W9" s="75"/>
      <c r="X9" s="1162"/>
      <c r="Y9" s="76"/>
      <c r="Z9" s="77"/>
      <c r="AA9" s="70"/>
      <c r="AB9" s="70"/>
      <c r="AC9" s="1162"/>
      <c r="AD9" s="78"/>
      <c r="AE9" s="1163">
        <f t="shared" ca="1" si="6"/>
        <v>0</v>
      </c>
      <c r="AF9" s="1522"/>
      <c r="AG9" s="143">
        <f t="shared" si="7"/>
        <v>0</v>
      </c>
      <c r="AH9" s="79"/>
      <c r="AI9" s="81"/>
      <c r="AJ9" s="82"/>
      <c r="AK9" s="83"/>
      <c r="AL9" s="84"/>
      <c r="AM9" s="85"/>
      <c r="AN9" s="1890"/>
      <c r="AO9" s="55" t="e">
        <f t="shared" ca="1" si="8"/>
        <v>#REF!</v>
      </c>
      <c r="AP9" s="1891">
        <f t="shared" si="9"/>
        <v>0</v>
      </c>
      <c r="AQ9" s="55">
        <f t="shared" si="10"/>
        <v>0</v>
      </c>
      <c r="AR9" s="55">
        <f t="shared" si="11"/>
        <v>0</v>
      </c>
      <c r="AS9" s="1861"/>
      <c r="AT9" s="1861"/>
      <c r="AU9" s="1861"/>
      <c r="AV9" s="1861"/>
      <c r="AW9" s="1861"/>
      <c r="AX9" s="1861"/>
      <c r="AY9" s="1861"/>
      <c r="AZ9" s="1861"/>
      <c r="BA9" s="1861"/>
      <c r="BB9" s="1861"/>
      <c r="BC9" s="1861"/>
      <c r="BD9" s="1861"/>
      <c r="BE9" s="1861"/>
      <c r="BF9" s="1861"/>
      <c r="BG9" s="1861"/>
      <c r="BH9" s="1861"/>
      <c r="BI9" s="1861"/>
      <c r="BJ9" s="1861"/>
      <c r="BK9" s="1861"/>
      <c r="BL9" s="1861"/>
      <c r="BM9" s="1861"/>
      <c r="BN9" s="1861"/>
      <c r="BO9" s="1861"/>
    </row>
    <row r="10" spans="1:67" s="1734" customFormat="1" ht="14.25">
      <c r="A10" s="1887">
        <f>'数据-汇总表'!C23</f>
        <v>0</v>
      </c>
      <c r="B10" s="1888" t="str">
        <f t="shared" si="1"/>
        <v/>
      </c>
      <c r="C10" s="1889"/>
      <c r="D10" s="964">
        <f>SUMIF(项目基本情况!D$12:I$12,C10,项目基本情况!D$14:I$14)</f>
        <v>0</v>
      </c>
      <c r="E10" s="963" t="str">
        <f>IF(B10="","",SUMIF(项目基本情况!D$12:I$12,C10,项目基本情况!D$13:I$13))</f>
        <v/>
      </c>
      <c r="F10" s="68">
        <f>SUMIF(项目基本情况!D$12:I$12,C10,项目基本情况!D$15:I$15)</f>
        <v>0</v>
      </c>
      <c r="G10" s="69">
        <f t="shared" si="2"/>
        <v>0</v>
      </c>
      <c r="H10" s="70"/>
      <c r="I10" s="70"/>
      <c r="J10" s="70"/>
      <c r="K10" s="1152">
        <f>SUMIF('数据-汇总表'!C$19:C$33,A10,'数据-汇总表'!E$19:E$33)</f>
        <v>0</v>
      </c>
      <c r="L10" s="739"/>
      <c r="M10" s="71">
        <f t="shared" si="0"/>
        <v>0</v>
      </c>
      <c r="N10" s="737"/>
      <c r="O10" s="71" t="str">
        <f t="shared" si="3"/>
        <v>——</v>
      </c>
      <c r="P10" s="72" t="str">
        <f t="shared" si="4"/>
        <v>——</v>
      </c>
      <c r="Q10" s="86"/>
      <c r="R10" s="73">
        <f ca="1">SUMIF('数据-汇总表'!C$19:C$33,A10,'数据-汇总表'!R$19:R$27)</f>
        <v>0</v>
      </c>
      <c r="S10" s="54">
        <f>IF('数据-汇总表'!$I$17="按面积比例",SUMIF('数据-汇总表'!C$19:C$33,A10,'数据-汇总表'!K$19:K$33),SUMIF('数据-汇总表'!C$19:C$33,A10,'数据-汇总表'!N$19:N$33))</f>
        <v>0</v>
      </c>
      <c r="T10" s="1323">
        <f t="shared" si="5"/>
        <v>0</v>
      </c>
      <c r="U10" s="74"/>
      <c r="V10" s="75"/>
      <c r="W10" s="75"/>
      <c r="X10" s="1162"/>
      <c r="Y10" s="76"/>
      <c r="Z10" s="77"/>
      <c r="AA10" s="70"/>
      <c r="AB10" s="70"/>
      <c r="AC10" s="1162"/>
      <c r="AD10" s="78"/>
      <c r="AE10" s="1163">
        <f t="shared" ca="1" si="6"/>
        <v>0</v>
      </c>
      <c r="AF10" s="1522"/>
      <c r="AG10" s="143">
        <f t="shared" si="7"/>
        <v>0</v>
      </c>
      <c r="AH10" s="79"/>
      <c r="AI10" s="81"/>
      <c r="AJ10" s="82"/>
      <c r="AK10" s="83"/>
      <c r="AL10" s="84"/>
      <c r="AM10" s="85"/>
      <c r="AN10" s="1890"/>
      <c r="AO10" s="55" t="e">
        <f t="shared" ca="1" si="8"/>
        <v>#REF!</v>
      </c>
      <c r="AP10" s="1891">
        <f t="shared" si="9"/>
        <v>0</v>
      </c>
      <c r="AQ10" s="55">
        <f t="shared" si="10"/>
        <v>0</v>
      </c>
      <c r="AR10" s="55">
        <f t="shared" si="11"/>
        <v>0</v>
      </c>
      <c r="AS10" s="1861"/>
      <c r="AT10" s="1861"/>
      <c r="AU10" s="1861"/>
      <c r="AV10" s="1861"/>
      <c r="AW10" s="1861"/>
      <c r="AX10" s="1861"/>
      <c r="AY10" s="1861"/>
      <c r="AZ10" s="1861"/>
      <c r="BA10" s="1861"/>
      <c r="BB10" s="1861"/>
      <c r="BC10" s="1861"/>
      <c r="BD10" s="1861"/>
      <c r="BE10" s="1861"/>
      <c r="BF10" s="1861"/>
      <c r="BG10" s="1861"/>
      <c r="BH10" s="1861"/>
      <c r="BI10" s="1861"/>
      <c r="BJ10" s="1861"/>
      <c r="BK10" s="1861"/>
      <c r="BL10" s="1861"/>
      <c r="BM10" s="1861"/>
      <c r="BN10" s="1861"/>
      <c r="BO10" s="1861"/>
    </row>
    <row r="11" spans="1:67" s="1734" customFormat="1" ht="14.25">
      <c r="A11" s="1887">
        <f>'数据-汇总表'!C24</f>
        <v>0</v>
      </c>
      <c r="B11" s="1888" t="str">
        <f t="shared" si="1"/>
        <v/>
      </c>
      <c r="C11" s="1889"/>
      <c r="D11" s="964">
        <f>SUMIF(项目基本情况!D$12:I$12,C11,项目基本情况!D$14:I$14)</f>
        <v>0</v>
      </c>
      <c r="E11" s="963" t="str">
        <f>IF(B11="","",SUMIF(项目基本情况!D$12:I$12,C11,项目基本情况!D$13:I$13))</f>
        <v/>
      </c>
      <c r="F11" s="68">
        <f>SUMIF(项目基本情况!D$12:I$12,C11,项目基本情况!D$15:I$15)</f>
        <v>0</v>
      </c>
      <c r="G11" s="69">
        <f t="shared" si="2"/>
        <v>0</v>
      </c>
      <c r="H11" s="70"/>
      <c r="I11" s="70"/>
      <c r="J11" s="70"/>
      <c r="K11" s="1152">
        <f>SUMIF('数据-汇总表'!C$19:C$33,A11,'数据-汇总表'!E$19:E$33)</f>
        <v>0</v>
      </c>
      <c r="L11" s="87"/>
      <c r="M11" s="71">
        <f t="shared" si="0"/>
        <v>0</v>
      </c>
      <c r="N11" s="88"/>
      <c r="O11" s="71" t="str">
        <f t="shared" si="3"/>
        <v>——</v>
      </c>
      <c r="P11" s="72" t="str">
        <f t="shared" si="4"/>
        <v>——</v>
      </c>
      <c r="Q11" s="86"/>
      <c r="R11" s="73">
        <f ca="1">SUMIF('数据-汇总表'!C$19:C$33,A11,'数据-汇总表'!R$19:R$27)</f>
        <v>0</v>
      </c>
      <c r="S11" s="54">
        <f>IF('数据-汇总表'!$I$17="按面积比例",SUMIF('数据-汇总表'!C$19:C$33,A11,'数据-汇总表'!K$19:K$33),SUMIF('数据-汇总表'!C$19:C$33,A11,'数据-汇总表'!N$19:N$33))</f>
        <v>0</v>
      </c>
      <c r="T11" s="1323">
        <f t="shared" si="5"/>
        <v>0</v>
      </c>
      <c r="U11" s="79"/>
      <c r="V11" s="70"/>
      <c r="W11" s="70"/>
      <c r="X11" s="1162"/>
      <c r="Y11" s="76"/>
      <c r="Z11" s="89"/>
      <c r="AA11" s="70"/>
      <c r="AB11" s="70"/>
      <c r="AC11" s="1162"/>
      <c r="AD11" s="78"/>
      <c r="AE11" s="1163">
        <f t="shared" ca="1" si="6"/>
        <v>0</v>
      </c>
      <c r="AF11" s="1522"/>
      <c r="AG11" s="143">
        <f t="shared" si="7"/>
        <v>0</v>
      </c>
      <c r="AH11" s="79"/>
      <c r="AI11" s="81"/>
      <c r="AJ11" s="82"/>
      <c r="AK11" s="90"/>
      <c r="AL11" s="91"/>
      <c r="AM11" s="92"/>
      <c r="AN11" s="1890"/>
      <c r="AO11" s="55" t="e">
        <f t="shared" ca="1" si="8"/>
        <v>#REF!</v>
      </c>
      <c r="AP11" s="1891">
        <f t="shared" si="9"/>
        <v>0</v>
      </c>
      <c r="AQ11" s="55">
        <f t="shared" si="10"/>
        <v>0</v>
      </c>
      <c r="AR11" s="55">
        <f t="shared" si="11"/>
        <v>0</v>
      </c>
      <c r="AS11" s="1861"/>
      <c r="AT11" s="1861"/>
      <c r="AU11" s="1861"/>
      <c r="AV11" s="1861"/>
      <c r="AW11" s="1861"/>
      <c r="AX11" s="1861"/>
      <c r="AY11" s="1861"/>
      <c r="AZ11" s="1861"/>
      <c r="BA11" s="1861"/>
      <c r="BB11" s="1861"/>
      <c r="BC11" s="1861"/>
      <c r="BD11" s="1861"/>
      <c r="BE11" s="1861"/>
      <c r="BF11" s="1861"/>
      <c r="BG11" s="1861"/>
      <c r="BH11" s="1861"/>
      <c r="BI11" s="1861"/>
      <c r="BJ11" s="1861"/>
      <c r="BK11" s="1861"/>
      <c r="BL11" s="1861"/>
      <c r="BM11" s="1861"/>
      <c r="BN11" s="1861"/>
      <c r="BO11" s="1861"/>
    </row>
    <row r="12" spans="1:67" s="1734" customFormat="1" ht="14.25">
      <c r="A12" s="1887">
        <f>'数据-汇总表'!C25</f>
        <v>0</v>
      </c>
      <c r="B12" s="1888" t="str">
        <f t="shared" si="1"/>
        <v/>
      </c>
      <c r="C12" s="1889"/>
      <c r="D12" s="964">
        <f>SUMIF(项目基本情况!D$12:I$12,C12,项目基本情况!D$14:I$14)</f>
        <v>0</v>
      </c>
      <c r="E12" s="963" t="str">
        <f>IF(B12="","",SUMIF(项目基本情况!D$12:I$12,C12,项目基本情况!D$13:I$13))</f>
        <v/>
      </c>
      <c r="F12" s="68">
        <f>SUMIF(项目基本情况!D$12:I$12,C12,项目基本情况!D$15:I$15)</f>
        <v>0</v>
      </c>
      <c r="G12" s="69">
        <f>IF(ISERROR(ROUND(POWER(1+H12,D12-F12)*(POWER(1+H12,F12)-1)/(POWER(1+H12,D12)-1),3)),0,ROUND(POWER(1+H12,D12-F12)*(POWER(1+H12,F12)-1)/(POWER(1+H12,D12)-1),3))</f>
        <v>0</v>
      </c>
      <c r="H12" s="70"/>
      <c r="I12" s="70"/>
      <c r="J12" s="70"/>
      <c r="K12" s="1152">
        <f>SUMIF('数据-汇总表'!C$19:C$33,A12,'数据-汇总表'!E$19:E$33)</f>
        <v>0</v>
      </c>
      <c r="L12" s="87"/>
      <c r="M12" s="71">
        <f>ROUND(K12*L12/10000,0)</f>
        <v>0</v>
      </c>
      <c r="N12" s="88"/>
      <c r="O12" s="71" t="str">
        <f t="shared" si="3"/>
        <v>——</v>
      </c>
      <c r="P12" s="72" t="str">
        <f t="shared" si="4"/>
        <v>——</v>
      </c>
      <c r="Q12" s="86"/>
      <c r="R12" s="73">
        <f ca="1">SUMIF('数据-汇总表'!C$19:C$33,A12,'数据-汇总表'!R$19:R$27)</f>
        <v>0</v>
      </c>
      <c r="S12" s="54">
        <f>IF('数据-汇总表'!$I$17="按面积比例",SUMIF('数据-汇总表'!C$19:C$33,A12,'数据-汇总表'!K$19:K$33),SUMIF('数据-汇总表'!C$19:C$33,A12,'数据-汇总表'!N$19:N$33))</f>
        <v>0</v>
      </c>
      <c r="T12" s="1323">
        <f t="shared" si="5"/>
        <v>0</v>
      </c>
      <c r="U12" s="79"/>
      <c r="V12" s="70"/>
      <c r="W12" s="70"/>
      <c r="X12" s="1162"/>
      <c r="Y12" s="76"/>
      <c r="Z12" s="89"/>
      <c r="AA12" s="70"/>
      <c r="AB12" s="70"/>
      <c r="AC12" s="1162"/>
      <c r="AD12" s="78"/>
      <c r="AE12" s="1163">
        <f t="shared" ca="1" si="6"/>
        <v>0</v>
      </c>
      <c r="AF12" s="1522"/>
      <c r="AG12" s="143">
        <f t="shared" si="7"/>
        <v>0</v>
      </c>
      <c r="AH12" s="79"/>
      <c r="AI12" s="81"/>
      <c r="AJ12" s="82"/>
      <c r="AK12" s="90"/>
      <c r="AL12" s="91"/>
      <c r="AM12" s="92"/>
      <c r="AN12" s="1890"/>
      <c r="AO12" s="55" t="e">
        <f t="shared" ca="1" si="8"/>
        <v>#REF!</v>
      </c>
      <c r="AP12" s="1891">
        <f t="shared" si="9"/>
        <v>0</v>
      </c>
      <c r="AQ12" s="55">
        <f t="shared" si="10"/>
        <v>0</v>
      </c>
      <c r="AR12" s="55">
        <f t="shared" si="11"/>
        <v>0</v>
      </c>
      <c r="AS12" s="1861"/>
      <c r="AT12" s="1861"/>
      <c r="AU12" s="1861"/>
      <c r="AV12" s="1861"/>
      <c r="AW12" s="1861"/>
      <c r="AX12" s="1861"/>
      <c r="AY12" s="1861"/>
      <c r="AZ12" s="1861"/>
      <c r="BA12" s="1861"/>
      <c r="BB12" s="1861"/>
      <c r="BC12" s="1861"/>
      <c r="BD12" s="1861"/>
      <c r="BE12" s="1861"/>
      <c r="BF12" s="1861"/>
      <c r="BG12" s="1861"/>
      <c r="BH12" s="1861"/>
      <c r="BI12" s="1861"/>
      <c r="BJ12" s="1861"/>
      <c r="BK12" s="1861"/>
      <c r="BL12" s="1861"/>
      <c r="BM12" s="1861"/>
      <c r="BN12" s="1861"/>
      <c r="BO12" s="1861"/>
    </row>
    <row r="13" spans="1:67" s="1734" customFormat="1" ht="14.25">
      <c r="A13" s="1887">
        <f>'数据-汇总表'!C26</f>
        <v>0</v>
      </c>
      <c r="B13" s="1888" t="str">
        <f t="shared" si="1"/>
        <v/>
      </c>
      <c r="C13" s="1889"/>
      <c r="D13" s="964">
        <f>SUMIF(项目基本情况!D$12:I$12,C13,项目基本情况!D$14:I$14)</f>
        <v>0</v>
      </c>
      <c r="E13" s="963" t="str">
        <f>IF(B13="","",SUMIF(项目基本情况!D$12:I$12,C13,项目基本情况!D$13:I$13))</f>
        <v/>
      </c>
      <c r="F13" s="68">
        <f>SUMIF(项目基本情况!D$12:I$12,C13,项目基本情况!D$15:I$15)</f>
        <v>0</v>
      </c>
      <c r="G13" s="69">
        <f>IF(ISERROR(ROUND(POWER(1+H13,D13-F13)*(POWER(1+H13,F13)-1)/(POWER(1+H13,D13)-1),3)),0,ROUND(POWER(1+H13,D13-F13)*(POWER(1+H13,F13)-1)/(POWER(1+H13,D13)-1),3))</f>
        <v>0</v>
      </c>
      <c r="H13" s="70"/>
      <c r="I13" s="70"/>
      <c r="J13" s="70"/>
      <c r="K13" s="1152">
        <f>SUMIF('数据-汇总表'!C$19:C$33,A13,'数据-汇总表'!E$19:E$33)</f>
        <v>0</v>
      </c>
      <c r="L13" s="87"/>
      <c r="M13" s="71">
        <f>ROUND(K13*L13/10000,0)</f>
        <v>0</v>
      </c>
      <c r="N13" s="88"/>
      <c r="O13" s="71" t="str">
        <f t="shared" si="3"/>
        <v>——</v>
      </c>
      <c r="P13" s="72" t="str">
        <f t="shared" si="4"/>
        <v>——</v>
      </c>
      <c r="Q13" s="86"/>
      <c r="R13" s="73">
        <f ca="1">SUMIF('数据-汇总表'!C$19:C$33,A13,'数据-汇总表'!R$19:R$27)</f>
        <v>0</v>
      </c>
      <c r="S13" s="54">
        <f>IF('数据-汇总表'!$I$17="按面积比例",SUMIF('数据-汇总表'!C$19:C$33,A13,'数据-汇总表'!K$19:K$33),SUMIF('数据-汇总表'!C$19:C$33,A13,'数据-汇总表'!N$19:N$33))</f>
        <v>0</v>
      </c>
      <c r="T13" s="1323">
        <f t="shared" si="5"/>
        <v>0</v>
      </c>
      <c r="U13" s="74"/>
      <c r="V13" s="75"/>
      <c r="W13" s="75"/>
      <c r="X13" s="1162"/>
      <c r="Y13" s="76"/>
      <c r="Z13" s="77"/>
      <c r="AA13" s="70"/>
      <c r="AB13" s="70"/>
      <c r="AC13" s="1162"/>
      <c r="AD13" s="78"/>
      <c r="AE13" s="1163">
        <f t="shared" ca="1" si="6"/>
        <v>0</v>
      </c>
      <c r="AF13" s="1522"/>
      <c r="AG13" s="143">
        <f t="shared" si="7"/>
        <v>0</v>
      </c>
      <c r="AH13" s="79"/>
      <c r="AI13" s="81"/>
      <c r="AJ13" s="82"/>
      <c r="AK13" s="83"/>
      <c r="AL13" s="84"/>
      <c r="AM13" s="85"/>
      <c r="AN13" s="1890"/>
      <c r="AO13" s="55" t="e">
        <f t="shared" ca="1" si="8"/>
        <v>#REF!</v>
      </c>
      <c r="AP13" s="1891">
        <f t="shared" si="9"/>
        <v>0</v>
      </c>
      <c r="AQ13" s="55">
        <f t="shared" si="10"/>
        <v>0</v>
      </c>
      <c r="AR13" s="55">
        <f t="shared" si="11"/>
        <v>0</v>
      </c>
      <c r="AS13" s="1861"/>
      <c r="AT13" s="1861"/>
      <c r="AU13" s="1861"/>
      <c r="AV13" s="1861"/>
      <c r="AW13" s="1861"/>
      <c r="AX13" s="1861"/>
      <c r="AY13" s="1861"/>
      <c r="AZ13" s="1861"/>
      <c r="BA13" s="1861"/>
      <c r="BB13" s="1861"/>
      <c r="BC13" s="1861"/>
      <c r="BD13" s="1861"/>
      <c r="BE13" s="1861"/>
      <c r="BF13" s="1861"/>
      <c r="BG13" s="1861"/>
      <c r="BH13" s="1861"/>
      <c r="BI13" s="1861"/>
      <c r="BJ13" s="1861"/>
      <c r="BK13" s="1861"/>
      <c r="BL13" s="1861"/>
      <c r="BM13" s="1861"/>
      <c r="BN13" s="1861"/>
      <c r="BO13" s="1861"/>
    </row>
    <row r="14" spans="1:67" s="1734" customFormat="1" ht="14.25">
      <c r="A14" s="1892" t="s">
        <v>1889</v>
      </c>
      <c r="B14" s="1888" t="s">
        <v>1890</v>
      </c>
      <c r="C14" s="1893" t="s">
        <v>1889</v>
      </c>
      <c r="D14" s="964"/>
      <c r="E14" s="963"/>
      <c r="F14" s="68"/>
      <c r="G14" s="69"/>
      <c r="H14" s="1151"/>
      <c r="I14" s="1151"/>
      <c r="J14" s="1151"/>
      <c r="K14" s="1152">
        <f>SUMIF('数据-汇总表'!C$19:C$33,A14,'数据-汇总表'!E$19:E$33)</f>
        <v>321.78999999999996</v>
      </c>
      <c r="L14" s="87">
        <v>4000</v>
      </c>
      <c r="M14" s="71">
        <f t="shared" si="0"/>
        <v>129</v>
      </c>
      <c r="N14" s="88"/>
      <c r="O14" s="71" t="str">
        <f t="shared" si="3"/>
        <v>——</v>
      </c>
      <c r="P14" s="72" t="str">
        <f t="shared" si="4"/>
        <v>——</v>
      </c>
      <c r="Q14" s="1155"/>
      <c r="R14" s="73"/>
      <c r="S14" s="54"/>
      <c r="T14" s="1323"/>
      <c r="U14" s="677"/>
      <c r="V14" s="1157"/>
      <c r="W14" s="1157"/>
      <c r="X14" s="1158"/>
      <c r="Y14" s="1159"/>
      <c r="Z14" s="1160"/>
      <c r="AA14" s="1161"/>
      <c r="AB14" s="1161"/>
      <c r="AC14" s="1162"/>
      <c r="AD14" s="1158"/>
      <c r="AE14" s="1163"/>
      <c r="AF14" s="55"/>
      <c r="AG14" s="143"/>
      <c r="AH14" s="1163"/>
      <c r="AI14" s="1531"/>
      <c r="AJ14" s="711"/>
      <c r="AK14" s="1164"/>
      <c r="AL14" s="1165"/>
      <c r="AM14" s="1166"/>
      <c r="AN14" s="2881"/>
      <c r="AO14" s="2883"/>
      <c r="AP14" s="2883"/>
      <c r="AQ14" s="2883"/>
      <c r="AR14" s="2883"/>
      <c r="AS14" s="1861"/>
      <c r="AT14" s="1861"/>
      <c r="AU14" s="1861"/>
      <c r="AV14" s="1861"/>
      <c r="AW14" s="1861"/>
      <c r="AX14" s="1861"/>
      <c r="AY14" s="1861"/>
      <c r="AZ14" s="1861"/>
      <c r="BA14" s="1861"/>
      <c r="BB14" s="1861"/>
      <c r="BC14" s="1861"/>
      <c r="BD14" s="1861"/>
      <c r="BE14" s="1861"/>
      <c r="BF14" s="1861"/>
      <c r="BG14" s="1861"/>
      <c r="BH14" s="1861"/>
      <c r="BI14" s="1861"/>
      <c r="BJ14" s="1861"/>
      <c r="BK14" s="1861"/>
      <c r="BL14" s="1861"/>
      <c r="BM14" s="1861"/>
      <c r="BN14" s="1861"/>
      <c r="BO14" s="1861"/>
    </row>
    <row r="15" spans="1:67" s="1734" customFormat="1" ht="27">
      <c r="A15" s="1892" t="s">
        <v>1891</v>
      </c>
      <c r="B15" s="1888" t="s">
        <v>1890</v>
      </c>
      <c r="C15" s="1893" t="s">
        <v>1892</v>
      </c>
      <c r="D15" s="964"/>
      <c r="E15" s="963"/>
      <c r="F15" s="68"/>
      <c r="G15" s="69"/>
      <c r="H15" s="1151"/>
      <c r="I15" s="1151"/>
      <c r="J15" s="1151"/>
      <c r="K15" s="1152">
        <f>SUMIF('数据-汇总表'!C$19:C$33,A15,'数据-汇总表'!E$19:E$33)</f>
        <v>0</v>
      </c>
      <c r="L15" s="1153"/>
      <c r="M15" s="71"/>
      <c r="N15" s="1154"/>
      <c r="O15" s="71"/>
      <c r="P15" s="72"/>
      <c r="Q15" s="1155"/>
      <c r="R15" s="73"/>
      <c r="S15" s="54"/>
      <c r="T15" s="1323"/>
      <c r="U15" s="677"/>
      <c r="V15" s="1157"/>
      <c r="W15" s="1157"/>
      <c r="X15" s="1158"/>
      <c r="Y15" s="1159"/>
      <c r="Z15" s="1160"/>
      <c r="AA15" s="1161"/>
      <c r="AB15" s="1161"/>
      <c r="AC15" s="1162"/>
      <c r="AD15" s="1158"/>
      <c r="AE15" s="1163"/>
      <c r="AF15" s="55"/>
      <c r="AG15" s="143"/>
      <c r="AH15" s="1163"/>
      <c r="AI15" s="1531"/>
      <c r="AJ15" s="711"/>
      <c r="AK15" s="1164"/>
      <c r="AL15" s="1165"/>
      <c r="AM15" s="1166"/>
      <c r="AN15" s="2881"/>
      <c r="AO15" s="2883"/>
      <c r="AP15" s="2883"/>
      <c r="AQ15" s="2883"/>
      <c r="AR15" s="2883"/>
      <c r="AS15" s="1861"/>
      <c r="AT15" s="1861"/>
      <c r="AU15" s="1861"/>
      <c r="AV15" s="1861"/>
      <c r="AW15" s="1861"/>
      <c r="AX15" s="1861"/>
      <c r="AY15" s="1861"/>
      <c r="AZ15" s="1861"/>
      <c r="BA15" s="1861"/>
      <c r="BB15" s="1861"/>
      <c r="BC15" s="1861"/>
      <c r="BD15" s="1861"/>
      <c r="BE15" s="1861"/>
      <c r="BF15" s="1861"/>
      <c r="BG15" s="1861"/>
      <c r="BH15" s="1861"/>
      <c r="BI15" s="1861"/>
      <c r="BJ15" s="1861"/>
      <c r="BK15" s="1861"/>
      <c r="BL15" s="1861"/>
      <c r="BM15" s="1861"/>
      <c r="BN15" s="1861"/>
      <c r="BO15" s="1861"/>
    </row>
    <row r="16" spans="1:67" s="1734" customFormat="1" ht="15.75" thickBot="1">
      <c r="A16" s="1894" t="s">
        <v>1893</v>
      </c>
      <c r="B16" s="93"/>
      <c r="C16" s="939"/>
      <c r="D16" s="1895"/>
      <c r="E16" s="93"/>
      <c r="F16" s="93"/>
      <c r="G16" s="94">
        <f>ROUND(SUMPRODUCT(G6:G13,K6:K13)/SUMPRODUCT((G6:G13&gt;0)*(K6:K13)),3)</f>
        <v>0.93</v>
      </c>
      <c r="H16" s="95">
        <f>ROUND(SUMPRODUCT(H6:H13,K6:K13)/SUMPRODUCT((H6:H13&gt;0)*(K6:K13)),3)</f>
        <v>0.05</v>
      </c>
      <c r="I16" s="96"/>
      <c r="J16" s="96"/>
      <c r="K16" s="97">
        <f>SUM(K6:K15)</f>
        <v>29932.760000000009</v>
      </c>
      <c r="L16" s="98">
        <f>ROUND(M16*10000/SUM(K6:K14),0)</f>
        <v>5979</v>
      </c>
      <c r="M16" s="98">
        <f>SUM(M6:M14)</f>
        <v>17896</v>
      </c>
      <c r="N16" s="99">
        <f>ROUND(SUMPRODUCT(M6:M14,N6:N14)/M16,3)</f>
        <v>0.99299999999999999</v>
      </c>
      <c r="O16" s="98">
        <f>SUM(O6:O14)</f>
        <v>0</v>
      </c>
      <c r="P16" s="98">
        <f>SUM(P6:P14)</f>
        <v>0</v>
      </c>
      <c r="Q16" s="100">
        <f>ROUND(SUMPRODUCT(Q6:Q13,K6:K13)/SUMPRODUCT((Q6:Q13&gt;0)*(K6:K13)),2)</f>
        <v>0.1</v>
      </c>
      <c r="R16" s="1156">
        <f ca="1">SUM(R6:R13)</f>
        <v>0</v>
      </c>
      <c r="S16" s="101">
        <f>SUM(S6:S13)</f>
        <v>321.79000000000002</v>
      </c>
      <c r="T16" s="102">
        <f>IF(SUMIF(T6:T13,"&lt;9E307")=M14,SUMIF(T6:T13,"&lt;9E307"),"有误，请检查")</f>
        <v>129</v>
      </c>
      <c r="U16" s="103"/>
      <c r="V16" s="104"/>
      <c r="W16" s="104"/>
      <c r="X16" s="107"/>
      <c r="Y16" s="105"/>
      <c r="Z16" s="106"/>
      <c r="AA16" s="104"/>
      <c r="AB16" s="104"/>
      <c r="AC16" s="107"/>
      <c r="AD16" s="107"/>
      <c r="AE16" s="103"/>
      <c r="AF16" s="104"/>
      <c r="AG16" s="105"/>
      <c r="AH16" s="103"/>
      <c r="AI16" s="106"/>
      <c r="AJ16" s="106"/>
      <c r="AK16" s="104"/>
      <c r="AL16" s="104"/>
      <c r="AM16" s="105"/>
      <c r="AN16" s="2881"/>
      <c r="AO16" s="2883"/>
      <c r="AP16" s="2883"/>
      <c r="AQ16" s="2883"/>
      <c r="AR16" s="2883"/>
      <c r="AS16" s="1861"/>
      <c r="AT16" s="1861"/>
      <c r="AU16" s="1861"/>
      <c r="AV16" s="1861"/>
      <c r="AW16" s="1861"/>
      <c r="AX16" s="1861"/>
      <c r="AY16" s="1861"/>
      <c r="AZ16" s="1861"/>
      <c r="BA16" s="1861"/>
      <c r="BB16" s="1861"/>
      <c r="BC16" s="1861"/>
      <c r="BD16" s="1861"/>
      <c r="BE16" s="1861"/>
      <c r="BF16" s="1861"/>
      <c r="BG16" s="1861"/>
      <c r="BH16" s="1861"/>
      <c r="BI16" s="1861"/>
      <c r="BJ16" s="1861"/>
      <c r="BK16" s="1861"/>
      <c r="BL16" s="1861"/>
      <c r="BM16" s="1861"/>
      <c r="BN16" s="1861"/>
      <c r="BO16" s="1861"/>
    </row>
    <row r="17" spans="1:67" ht="13.5" thickBot="1">
      <c r="A17" s="1896"/>
      <c r="B17" s="2892"/>
      <c r="C17" s="2881"/>
      <c r="D17" s="2885"/>
      <c r="E17" s="2885"/>
      <c r="F17" s="2881"/>
      <c r="G17" s="2881"/>
      <c r="H17" s="2881"/>
      <c r="I17" s="2881"/>
      <c r="J17" s="2881"/>
      <c r="K17" s="2882"/>
      <c r="L17" s="2882"/>
      <c r="M17" s="2881"/>
      <c r="N17" s="2881"/>
      <c r="O17" s="2881"/>
      <c r="P17" s="2881"/>
      <c r="Q17" s="2881"/>
      <c r="R17" s="2881"/>
      <c r="S17" s="2881"/>
      <c r="T17" s="2881"/>
      <c r="U17" s="2881"/>
      <c r="V17" s="2881"/>
      <c r="W17" s="2881"/>
      <c r="X17" s="2881"/>
      <c r="Y17" s="2881"/>
      <c r="Z17" s="2881"/>
      <c r="AA17" s="2881"/>
      <c r="AB17" s="2881"/>
      <c r="AC17" s="2881"/>
      <c r="AD17" s="2881"/>
      <c r="AE17" s="2881"/>
      <c r="AF17" s="2881"/>
      <c r="AG17" s="2881"/>
      <c r="AH17" s="2881"/>
      <c r="AI17" s="2881"/>
      <c r="AJ17" s="2881"/>
      <c r="AK17" s="2881"/>
      <c r="AL17" s="2881"/>
      <c r="AM17" s="2881"/>
      <c r="AN17" s="2881"/>
      <c r="AO17" s="2881"/>
      <c r="AP17" s="2881"/>
      <c r="AQ17" s="2881"/>
      <c r="AR17" s="2881"/>
    </row>
    <row r="18" spans="1:67" ht="15" thickBot="1">
      <c r="A18" s="64" t="s">
        <v>1894</v>
      </c>
      <c r="B18" s="2895"/>
      <c r="C18" s="2883"/>
      <c r="D18" s="2886"/>
      <c r="E18" s="2883"/>
      <c r="F18" s="2883"/>
      <c r="G18" s="2883"/>
      <c r="H18" s="2883"/>
      <c r="I18" s="2883"/>
      <c r="J18" s="2883"/>
      <c r="K18" s="2882"/>
      <c r="L18" s="2882"/>
      <c r="M18" s="2881"/>
      <c r="N18" s="2881"/>
      <c r="O18" s="2881"/>
      <c r="P18" s="2881"/>
      <c r="Q18" s="2881"/>
      <c r="R18" s="2881"/>
      <c r="S18" s="2881"/>
      <c r="T18" s="2881"/>
      <c r="U18" s="2881"/>
      <c r="V18" s="2881"/>
      <c r="W18" s="2881"/>
      <c r="X18" s="2881"/>
      <c r="Y18" s="2881"/>
      <c r="Z18" s="2881"/>
      <c r="AA18" s="2881"/>
      <c r="AB18" s="2881"/>
      <c r="AC18" s="2881"/>
      <c r="AD18" s="2881"/>
      <c r="AE18" s="2881"/>
      <c r="AF18" s="2881"/>
      <c r="AG18" s="2881"/>
      <c r="AH18" s="2881"/>
      <c r="AI18" s="2881"/>
      <c r="AJ18" s="2881"/>
      <c r="AK18" s="2881"/>
      <c r="AL18" s="2881"/>
      <c r="AM18" s="2881"/>
      <c r="AN18" s="2881"/>
      <c r="AO18" s="2881"/>
      <c r="AP18" s="2881"/>
      <c r="AQ18" s="2881"/>
      <c r="AR18" s="2881"/>
    </row>
    <row r="19" spans="1:67" ht="14.25">
      <c r="A19" s="1897" t="s">
        <v>1895</v>
      </c>
      <c r="B19" s="108">
        <v>0</v>
      </c>
      <c r="C19" s="3010" t="s">
        <v>3032</v>
      </c>
      <c r="D19" s="2886"/>
      <c r="E19" s="2883"/>
      <c r="F19" s="2883"/>
      <c r="G19" s="2883"/>
      <c r="H19" s="2883"/>
      <c r="I19" s="2883"/>
      <c r="J19" s="2883"/>
      <c r="K19" s="2882"/>
      <c r="L19" s="2882"/>
      <c r="M19" s="2881"/>
      <c r="N19" s="2881"/>
      <c r="O19" s="2881"/>
      <c r="P19" s="2881"/>
      <c r="Q19" s="2881"/>
      <c r="R19" s="2881"/>
      <c r="S19" s="2881"/>
      <c r="T19" s="2881"/>
      <c r="U19" s="2881"/>
      <c r="V19" s="2881"/>
      <c r="W19" s="2881"/>
      <c r="X19" s="2881"/>
      <c r="Y19" s="2881"/>
      <c r="Z19" s="2881"/>
      <c r="AA19" s="2881"/>
      <c r="AB19" s="2881"/>
      <c r="AC19" s="2881"/>
      <c r="AD19" s="2881"/>
      <c r="AE19" s="2881"/>
      <c r="AF19" s="2881"/>
      <c r="AG19" s="2881"/>
      <c r="AH19" s="2881"/>
      <c r="AI19" s="2881"/>
      <c r="AJ19" s="2881"/>
      <c r="AK19" s="2881"/>
      <c r="AL19" s="2881"/>
      <c r="AM19" s="2881"/>
      <c r="AN19" s="2881"/>
      <c r="AO19" s="2881"/>
      <c r="AP19" s="2881"/>
      <c r="AQ19" s="2881"/>
      <c r="AR19" s="2881"/>
    </row>
    <row r="20" spans="1:67" ht="14.25">
      <c r="A20" s="1898" t="s">
        <v>1896</v>
      </c>
      <c r="B20" s="109">
        <v>3</v>
      </c>
      <c r="C20" s="3011" t="s">
        <v>3030</v>
      </c>
      <c r="D20" s="2886"/>
      <c r="E20" s="2883"/>
      <c r="F20" s="2883"/>
      <c r="G20" s="2883"/>
      <c r="H20" s="2883"/>
      <c r="I20" s="2883"/>
      <c r="J20" s="2883"/>
      <c r="K20" s="2882"/>
      <c r="L20" s="2882"/>
      <c r="M20" s="2881"/>
      <c r="N20" s="2881"/>
      <c r="O20" s="2881"/>
      <c r="P20" s="2881"/>
      <c r="Q20" s="2881"/>
      <c r="R20" s="2881"/>
      <c r="S20" s="2881"/>
      <c r="T20" s="2881"/>
      <c r="U20" s="2881"/>
      <c r="V20" s="2881"/>
      <c r="W20" s="2881"/>
      <c r="X20" s="2881"/>
      <c r="Y20" s="2881"/>
      <c r="Z20" s="2881"/>
      <c r="AA20" s="2881"/>
      <c r="AB20" s="2881"/>
      <c r="AC20" s="2881"/>
      <c r="AD20" s="2881"/>
      <c r="AE20" s="2881"/>
      <c r="AF20" s="2881"/>
      <c r="AG20" s="2881"/>
      <c r="AH20" s="2881"/>
      <c r="AI20" s="2881"/>
      <c r="AJ20" s="2881"/>
      <c r="AK20" s="2881"/>
      <c r="AL20" s="2881"/>
      <c r="AM20" s="2881"/>
      <c r="AN20" s="2881"/>
      <c r="AO20" s="2881"/>
      <c r="AP20" s="2881"/>
      <c r="AQ20" s="2881"/>
      <c r="AR20" s="2881"/>
    </row>
    <row r="21" spans="1:67" ht="14.25">
      <c r="A21" s="1899" t="s">
        <v>1897</v>
      </c>
      <c r="B21" s="109">
        <v>3</v>
      </c>
      <c r="C21" s="2883"/>
      <c r="D21" s="2886"/>
      <c r="E21" s="2883"/>
      <c r="F21" s="2883"/>
      <c r="G21" s="2883"/>
      <c r="H21" s="2883"/>
      <c r="I21" s="2883"/>
      <c r="J21" s="2883"/>
      <c r="K21" s="2882"/>
      <c r="L21" s="2882"/>
      <c r="M21" s="2881"/>
      <c r="N21" s="2881"/>
      <c r="O21" s="2881"/>
      <c r="P21" s="2881"/>
      <c r="Q21" s="2881"/>
      <c r="R21" s="2881"/>
      <c r="S21" s="2881"/>
      <c r="T21" s="2881"/>
      <c r="U21" s="2881"/>
      <c r="V21" s="2881"/>
      <c r="W21" s="2881"/>
      <c r="X21" s="2881"/>
      <c r="Y21" s="2881"/>
      <c r="Z21" s="2881"/>
      <c r="AA21" s="2881"/>
      <c r="AB21" s="2881"/>
      <c r="AC21" s="2881"/>
      <c r="AD21" s="2881"/>
      <c r="AE21" s="2881"/>
      <c r="AF21" s="2881"/>
      <c r="AG21" s="2881"/>
      <c r="AH21" s="2881"/>
      <c r="AI21" s="2881"/>
      <c r="AJ21" s="2881"/>
      <c r="AK21" s="2881"/>
      <c r="AL21" s="2881"/>
      <c r="AM21" s="2881"/>
      <c r="AN21" s="2881"/>
      <c r="AO21" s="2881"/>
      <c r="AP21" s="2881"/>
      <c r="AQ21" s="2881"/>
      <c r="AR21" s="2881"/>
    </row>
    <row r="22" spans="1:67" ht="14.25">
      <c r="A22" s="1898" t="s">
        <v>1898</v>
      </c>
      <c r="B22" s="110">
        <f>B19+B20</f>
        <v>3</v>
      </c>
      <c r="C22" s="2883"/>
      <c r="D22" s="2886"/>
      <c r="E22" s="2883"/>
      <c r="F22" s="2883"/>
      <c r="G22" s="2883"/>
      <c r="H22" s="2883"/>
      <c r="I22" s="2883"/>
      <c r="J22" s="2883"/>
      <c r="K22" s="2882"/>
      <c r="L22" s="2882"/>
      <c r="M22" s="2881"/>
      <c r="N22" s="2881"/>
      <c r="O22" s="2881"/>
      <c r="P22" s="2881"/>
      <c r="Q22" s="2881"/>
      <c r="R22" s="2881"/>
      <c r="S22" s="2881"/>
      <c r="T22" s="2881"/>
      <c r="U22" s="2881"/>
      <c r="V22" s="2881"/>
      <c r="W22" s="2881"/>
      <c r="X22" s="2881"/>
      <c r="Y22" s="2881"/>
      <c r="Z22" s="2881"/>
      <c r="AA22" s="2881"/>
      <c r="AB22" s="2881"/>
      <c r="AC22" s="2881"/>
      <c r="AD22" s="2881"/>
      <c r="AE22" s="2881"/>
      <c r="AF22" s="2881"/>
      <c r="AG22" s="2881"/>
      <c r="AH22" s="2881"/>
      <c r="AI22" s="2881"/>
      <c r="AJ22" s="2881"/>
      <c r="AK22" s="2881"/>
      <c r="AL22" s="2881"/>
      <c r="AM22" s="2881"/>
      <c r="AN22" s="2881"/>
      <c r="AO22" s="2881"/>
      <c r="AP22" s="2881"/>
      <c r="AQ22" s="2881"/>
      <c r="AR22" s="2881"/>
    </row>
    <row r="23" spans="1:67" ht="14.25">
      <c r="A23" s="1899" t="s">
        <v>1899</v>
      </c>
      <c r="B23" s="110">
        <f>B19+B21</f>
        <v>3</v>
      </c>
      <c r="C23" s="2883"/>
      <c r="D23" s="2886"/>
      <c r="E23" s="2883"/>
      <c r="F23" s="2883"/>
      <c r="G23" s="2883"/>
      <c r="H23" s="2883"/>
      <c r="I23" s="2883"/>
      <c r="J23" s="2883"/>
      <c r="K23" s="2882"/>
      <c r="L23" s="2882"/>
      <c r="M23" s="2881"/>
      <c r="N23" s="2881"/>
      <c r="O23" s="2881"/>
      <c r="P23" s="2881"/>
      <c r="Q23" s="2881"/>
      <c r="R23" s="2881"/>
      <c r="S23" s="2881"/>
      <c r="T23" s="2881"/>
      <c r="U23" s="2881"/>
      <c r="V23" s="2881"/>
      <c r="W23" s="2881"/>
      <c r="X23" s="2881"/>
      <c r="Y23" s="2881"/>
      <c r="Z23" s="2881"/>
      <c r="AA23" s="2881"/>
      <c r="AB23" s="2881"/>
      <c r="AC23" s="2881"/>
      <c r="AD23" s="2881"/>
      <c r="AE23" s="2881"/>
      <c r="AF23" s="2881"/>
      <c r="AG23" s="2881"/>
      <c r="AH23" s="2881"/>
      <c r="AI23" s="2881"/>
      <c r="AJ23" s="2881"/>
      <c r="AK23" s="2881"/>
      <c r="AL23" s="2881"/>
      <c r="AM23" s="2881"/>
      <c r="AN23" s="2881"/>
      <c r="AO23" s="2881"/>
      <c r="AP23" s="2881"/>
      <c r="AQ23" s="2881"/>
      <c r="AR23" s="2881"/>
    </row>
    <row r="24" spans="1:67" ht="15" thickBot="1">
      <c r="A24" s="1900" t="s">
        <v>1900</v>
      </c>
      <c r="B24" s="111">
        <f>B20-B21</f>
        <v>0</v>
      </c>
      <c r="C24" s="2883"/>
      <c r="D24" s="2886"/>
      <c r="E24" s="2883"/>
      <c r="F24" s="2883"/>
      <c r="G24" s="2883"/>
      <c r="H24" s="2883"/>
      <c r="I24" s="2883"/>
      <c r="J24" s="2883"/>
      <c r="K24" s="2882"/>
      <c r="L24" s="2882"/>
      <c r="M24" s="2881"/>
      <c r="N24" s="2881"/>
      <c r="O24" s="2881"/>
      <c r="P24" s="2881"/>
      <c r="Q24" s="2881"/>
      <c r="R24" s="2881"/>
      <c r="S24" s="2881"/>
      <c r="T24" s="2881"/>
      <c r="U24" s="2881"/>
      <c r="V24" s="2881"/>
      <c r="W24" s="2881"/>
      <c r="X24" s="2881"/>
      <c r="Y24" s="2881"/>
      <c r="Z24" s="2881"/>
      <c r="AA24" s="2881"/>
      <c r="AB24" s="2881"/>
      <c r="AC24" s="2881"/>
      <c r="AD24" s="2881"/>
      <c r="AE24" s="2881"/>
      <c r="AF24" s="2881"/>
      <c r="AG24" s="2881"/>
      <c r="AH24" s="2881"/>
      <c r="AI24" s="2881"/>
      <c r="AJ24" s="2881"/>
      <c r="AK24" s="2881"/>
      <c r="AL24" s="2881"/>
      <c r="AM24" s="2881"/>
      <c r="AN24" s="2881"/>
      <c r="AO24" s="2881"/>
      <c r="AP24" s="2881"/>
      <c r="AQ24" s="2881"/>
      <c r="AR24" s="2881"/>
    </row>
    <row r="25" spans="1:67" ht="15" thickBot="1">
      <c r="A25" s="1732"/>
      <c r="B25" s="1862"/>
      <c r="C25" s="2883"/>
      <c r="D25" s="2886"/>
      <c r="E25" s="2883"/>
      <c r="F25" s="2883"/>
      <c r="G25" s="2883"/>
      <c r="H25" s="2883"/>
      <c r="I25" s="2883"/>
      <c r="J25" s="2883"/>
      <c r="K25" s="2882"/>
      <c r="L25" s="2882"/>
      <c r="M25" s="2881"/>
      <c r="N25" s="2881"/>
      <c r="O25" s="2881"/>
      <c r="P25" s="2881"/>
      <c r="Q25" s="2881"/>
      <c r="R25" s="2881"/>
      <c r="S25" s="2881"/>
      <c r="T25" s="2881"/>
      <c r="U25" s="2881"/>
      <c r="V25" s="2881"/>
      <c r="W25" s="2881"/>
      <c r="X25" s="2881"/>
      <c r="Y25" s="2881"/>
      <c r="Z25" s="2881"/>
      <c r="AA25" s="2881"/>
      <c r="AB25" s="2881"/>
      <c r="AC25" s="2881"/>
      <c r="AD25" s="2881"/>
      <c r="AE25" s="2881"/>
      <c r="AF25" s="2881"/>
      <c r="AG25" s="2881"/>
      <c r="AH25" s="2881"/>
      <c r="AI25" s="2881"/>
      <c r="AJ25" s="2881"/>
      <c r="AK25" s="2881"/>
      <c r="AL25" s="2881"/>
      <c r="AM25" s="2881"/>
      <c r="AN25" s="2881"/>
      <c r="AO25" s="2881"/>
      <c r="AP25" s="2881"/>
      <c r="AQ25" s="2881"/>
      <c r="AR25" s="2881"/>
    </row>
    <row r="26" spans="1:67" ht="15" thickBot="1">
      <c r="A26" s="1858" t="s">
        <v>1901</v>
      </c>
      <c r="B26" s="1901" t="s">
        <v>1902</v>
      </c>
      <c r="C26" s="2887" t="s">
        <v>1903</v>
      </c>
      <c r="D26" s="2886"/>
      <c r="E26" s="2883"/>
      <c r="F26" s="2883"/>
      <c r="G26" s="2883"/>
      <c r="H26" s="2883"/>
      <c r="I26" s="2883"/>
      <c r="J26" s="2883"/>
      <c r="K26" s="2882"/>
      <c r="L26" s="2882"/>
      <c r="M26" s="2881"/>
      <c r="N26" s="2881"/>
      <c r="O26" s="2881"/>
      <c r="P26" s="2881"/>
      <c r="Q26" s="2881"/>
      <c r="R26" s="2881"/>
      <c r="S26" s="2881"/>
      <c r="T26" s="2881"/>
      <c r="U26" s="2881"/>
      <c r="V26" s="2881"/>
      <c r="W26" s="2881"/>
      <c r="X26" s="2881"/>
      <c r="Y26" s="2881"/>
      <c r="Z26" s="2881"/>
      <c r="AA26" s="2881"/>
      <c r="AB26" s="2881"/>
      <c r="AC26" s="2881"/>
      <c r="AD26" s="2881"/>
      <c r="AE26" s="2881"/>
      <c r="AF26" s="2881"/>
      <c r="AG26" s="2881"/>
      <c r="AH26" s="2881"/>
      <c r="AI26" s="2881"/>
      <c r="AJ26" s="2881"/>
      <c r="AK26" s="2881"/>
      <c r="AL26" s="2881"/>
      <c r="AM26" s="2881"/>
      <c r="AN26" s="2881"/>
      <c r="AO26" s="2881"/>
      <c r="AP26" s="2881"/>
      <c r="AQ26" s="2881"/>
      <c r="AR26" s="2881"/>
    </row>
    <row r="27" spans="1:67" s="1903" customFormat="1" ht="27.75">
      <c r="A27" s="1902" t="s">
        <v>1904</v>
      </c>
      <c r="B27" s="112">
        <v>160</v>
      </c>
      <c r="C27" s="3012" t="s">
        <v>3034</v>
      </c>
      <c r="D27" s="2889"/>
      <c r="E27" s="2870"/>
      <c r="F27" s="2870"/>
      <c r="G27" s="2883"/>
      <c r="H27" s="2883"/>
      <c r="I27" s="2883"/>
      <c r="J27" s="2883"/>
      <c r="K27" s="2882"/>
      <c r="L27" s="2882"/>
      <c r="M27" s="2881"/>
      <c r="N27" s="2881"/>
      <c r="O27" s="2881"/>
      <c r="P27" s="2881"/>
      <c r="Q27" s="2881"/>
      <c r="R27" s="2881"/>
      <c r="S27" s="2881"/>
      <c r="T27" s="2881"/>
      <c r="U27" s="2881"/>
      <c r="V27" s="2881"/>
      <c r="W27" s="2881"/>
      <c r="X27" s="2881"/>
      <c r="Y27" s="2881"/>
      <c r="Z27" s="2881"/>
      <c r="AA27" s="2881"/>
      <c r="AB27" s="2881"/>
      <c r="AC27" s="2881"/>
      <c r="AD27" s="2881"/>
      <c r="AE27" s="2881"/>
      <c r="AF27" s="2881"/>
      <c r="AG27" s="2881"/>
      <c r="AH27" s="2881"/>
      <c r="AI27" s="2881"/>
      <c r="AJ27" s="2881"/>
      <c r="AK27" s="2881"/>
      <c r="AL27" s="2881"/>
      <c r="AM27" s="2881"/>
      <c r="AN27" s="2881"/>
      <c r="AO27" s="2881"/>
      <c r="AP27" s="2881"/>
      <c r="AQ27" s="2881"/>
      <c r="AR27" s="2881"/>
      <c r="AS27" s="899"/>
      <c r="AT27" s="899"/>
      <c r="AU27" s="899"/>
      <c r="AV27" s="899"/>
      <c r="AW27" s="899"/>
      <c r="AX27" s="899"/>
      <c r="AY27" s="899"/>
      <c r="AZ27" s="899"/>
      <c r="BA27" s="899"/>
      <c r="BB27" s="899"/>
      <c r="BC27" s="899"/>
      <c r="BD27" s="899"/>
      <c r="BE27" s="899"/>
      <c r="BF27" s="899"/>
      <c r="BG27" s="899"/>
      <c r="BH27" s="899"/>
      <c r="BI27" s="899"/>
      <c r="BJ27" s="899"/>
      <c r="BK27" s="899"/>
      <c r="BL27" s="899"/>
      <c r="BM27" s="899"/>
      <c r="BN27" s="899"/>
      <c r="BO27" s="899"/>
    </row>
    <row r="28" spans="1:67" s="1903" customFormat="1" ht="27.75">
      <c r="A28" s="1904" t="s">
        <v>1905</v>
      </c>
      <c r="B28" s="115">
        <v>200</v>
      </c>
      <c r="C28" s="2890"/>
      <c r="D28" s="2889"/>
      <c r="E28" s="2870"/>
      <c r="F28" s="2870"/>
      <c r="G28" s="2883"/>
      <c r="H28" s="2883"/>
      <c r="I28" s="2883"/>
      <c r="J28" s="2883"/>
      <c r="K28" s="2882"/>
      <c r="L28" s="2882"/>
      <c r="M28" s="2881"/>
      <c r="N28" s="2881"/>
      <c r="O28" s="2881"/>
      <c r="P28" s="2881"/>
      <c r="Q28" s="2881"/>
      <c r="R28" s="2881"/>
      <c r="S28" s="2881"/>
      <c r="T28" s="2881"/>
      <c r="U28" s="2881"/>
      <c r="V28" s="2881"/>
      <c r="W28" s="2881"/>
      <c r="X28" s="2881"/>
      <c r="Y28" s="2881"/>
      <c r="Z28" s="2881"/>
      <c r="AA28" s="2881"/>
      <c r="AB28" s="2881"/>
      <c r="AC28" s="2881"/>
      <c r="AD28" s="2881"/>
      <c r="AE28" s="2881"/>
      <c r="AF28" s="2881"/>
      <c r="AG28" s="2881"/>
      <c r="AH28" s="2881"/>
      <c r="AI28" s="2881"/>
      <c r="AJ28" s="2881"/>
      <c r="AK28" s="2881"/>
      <c r="AL28" s="2881"/>
      <c r="AM28" s="2881"/>
      <c r="AN28" s="2881"/>
      <c r="AO28" s="2881"/>
      <c r="AP28" s="2881"/>
      <c r="AQ28" s="2881"/>
      <c r="AR28" s="2881"/>
      <c r="AS28" s="899"/>
      <c r="AT28" s="899"/>
      <c r="AU28" s="899"/>
      <c r="AV28" s="899"/>
      <c r="AW28" s="899"/>
      <c r="AX28" s="899"/>
      <c r="AY28" s="899"/>
      <c r="AZ28" s="899"/>
      <c r="BA28" s="899"/>
      <c r="BB28" s="899"/>
      <c r="BC28" s="899"/>
      <c r="BD28" s="899"/>
      <c r="BE28" s="899"/>
      <c r="BF28" s="899"/>
      <c r="BG28" s="899"/>
      <c r="BH28" s="899"/>
      <c r="BI28" s="899"/>
      <c r="BJ28" s="899"/>
      <c r="BK28" s="899"/>
      <c r="BL28" s="899"/>
      <c r="BM28" s="899"/>
      <c r="BN28" s="899"/>
      <c r="BO28" s="899"/>
    </row>
    <row r="29" spans="1:67" s="1903" customFormat="1" ht="28.5" thickBot="1">
      <c r="A29" s="1905" t="s">
        <v>1906</v>
      </c>
      <c r="B29" s="117"/>
      <c r="C29" s="3013" t="s">
        <v>3020</v>
      </c>
      <c r="D29" s="2889"/>
      <c r="E29" s="2870"/>
      <c r="F29" s="2870"/>
      <c r="G29" s="2883"/>
      <c r="H29" s="2883"/>
      <c r="I29" s="2883"/>
      <c r="J29" s="2883"/>
      <c r="K29" s="2882"/>
      <c r="L29" s="2882"/>
      <c r="M29" s="2881"/>
      <c r="N29" s="2881"/>
      <c r="O29" s="2881"/>
      <c r="P29" s="2881"/>
      <c r="Q29" s="2881"/>
      <c r="R29" s="2881"/>
      <c r="S29" s="2881"/>
      <c r="T29" s="2881"/>
      <c r="U29" s="2881"/>
      <c r="V29" s="2881"/>
      <c r="W29" s="2881"/>
      <c r="X29" s="2881"/>
      <c r="Y29" s="2881"/>
      <c r="Z29" s="2881"/>
      <c r="AA29" s="2881"/>
      <c r="AB29" s="2881"/>
      <c r="AC29" s="2881"/>
      <c r="AD29" s="2881"/>
      <c r="AE29" s="2881"/>
      <c r="AF29" s="2881"/>
      <c r="AG29" s="2881"/>
      <c r="AH29" s="2881"/>
      <c r="AI29" s="2881"/>
      <c r="AJ29" s="2881"/>
      <c r="AK29" s="2881"/>
      <c r="AL29" s="2881"/>
      <c r="AM29" s="2881"/>
      <c r="AN29" s="2881"/>
      <c r="AO29" s="2881"/>
      <c r="AP29" s="2881"/>
      <c r="AQ29" s="2881"/>
      <c r="AR29" s="2881"/>
      <c r="AS29" s="899"/>
      <c r="AT29" s="899"/>
      <c r="AU29" s="899"/>
      <c r="AV29" s="899"/>
      <c r="AW29" s="899"/>
      <c r="AX29" s="899"/>
      <c r="AY29" s="899"/>
      <c r="AZ29" s="899"/>
      <c r="BA29" s="899"/>
      <c r="BB29" s="899"/>
      <c r="BC29" s="899"/>
      <c r="BD29" s="899"/>
      <c r="BE29" s="899"/>
      <c r="BF29" s="899"/>
      <c r="BG29" s="899"/>
      <c r="BH29" s="899"/>
      <c r="BI29" s="899"/>
      <c r="BJ29" s="899"/>
      <c r="BK29" s="899"/>
      <c r="BL29" s="899"/>
      <c r="BM29" s="899"/>
      <c r="BN29" s="899"/>
      <c r="BO29" s="899"/>
    </row>
    <row r="30" spans="1:67" s="1903" customFormat="1" ht="27">
      <c r="A30" s="1906" t="s">
        <v>1907</v>
      </c>
      <c r="B30" s="678">
        <v>200</v>
      </c>
      <c r="C30" s="2890"/>
      <c r="D30" s="2889"/>
      <c r="E30" s="2870"/>
      <c r="F30" s="2870"/>
      <c r="G30" s="2883"/>
      <c r="H30" s="2883"/>
      <c r="I30" s="2883"/>
      <c r="J30" s="2883"/>
      <c r="K30" s="2882"/>
      <c r="L30" s="2882"/>
      <c r="M30" s="2881"/>
      <c r="N30" s="2881"/>
      <c r="O30" s="2881"/>
      <c r="P30" s="2881"/>
      <c r="Q30" s="2881"/>
      <c r="R30" s="2881"/>
      <c r="S30" s="2881"/>
      <c r="T30" s="2881"/>
      <c r="U30" s="2881"/>
      <c r="V30" s="2881"/>
      <c r="W30" s="2881"/>
      <c r="X30" s="2881"/>
      <c r="Y30" s="2881"/>
      <c r="Z30" s="2881"/>
      <c r="AA30" s="2881"/>
      <c r="AB30" s="2881"/>
      <c r="AC30" s="2881"/>
      <c r="AD30" s="2881"/>
      <c r="AE30" s="2881"/>
      <c r="AF30" s="2881"/>
      <c r="AG30" s="2881"/>
      <c r="AH30" s="2881"/>
      <c r="AI30" s="2881"/>
      <c r="AJ30" s="2881"/>
      <c r="AK30" s="2881"/>
      <c r="AL30" s="2881"/>
      <c r="AM30" s="2881"/>
      <c r="AN30" s="2881"/>
      <c r="AO30" s="2881"/>
      <c r="AP30" s="2881"/>
      <c r="AQ30" s="2881"/>
      <c r="AR30" s="2881"/>
      <c r="AS30" s="899"/>
      <c r="AT30" s="899"/>
      <c r="AU30" s="899"/>
      <c r="AV30" s="899"/>
      <c r="AW30" s="899"/>
      <c r="AX30" s="899"/>
      <c r="AY30" s="899"/>
      <c r="AZ30" s="899"/>
      <c r="BA30" s="899"/>
      <c r="BB30" s="899"/>
      <c r="BC30" s="899"/>
      <c r="BD30" s="899"/>
      <c r="BE30" s="899"/>
      <c r="BF30" s="899"/>
      <c r="BG30" s="899"/>
      <c r="BH30" s="899"/>
      <c r="BI30" s="899"/>
      <c r="BJ30" s="899"/>
      <c r="BK30" s="899"/>
      <c r="BL30" s="899"/>
      <c r="BM30" s="899"/>
      <c r="BN30" s="899"/>
      <c r="BO30" s="899"/>
    </row>
    <row r="31" spans="1:67" s="1903" customFormat="1" ht="27">
      <c r="A31" s="1904" t="s">
        <v>1908</v>
      </c>
      <c r="B31" s="116">
        <f>B30-B32</f>
        <v>200</v>
      </c>
      <c r="C31" s="2888"/>
      <c r="D31" s="2889"/>
      <c r="E31" s="2870"/>
      <c r="F31" s="2870"/>
      <c r="G31" s="2883"/>
      <c r="H31" s="2883"/>
      <c r="I31" s="2883"/>
      <c r="J31" s="2883"/>
      <c r="K31" s="2882"/>
      <c r="L31" s="2882"/>
      <c r="M31" s="2881"/>
      <c r="N31" s="2881"/>
      <c r="O31" s="2881"/>
      <c r="P31" s="2881"/>
      <c r="Q31" s="2881"/>
      <c r="R31" s="2881"/>
      <c r="S31" s="2881"/>
      <c r="T31" s="2881"/>
      <c r="U31" s="2881"/>
      <c r="V31" s="2881"/>
      <c r="W31" s="2881"/>
      <c r="X31" s="2881"/>
      <c r="Y31" s="2881"/>
      <c r="Z31" s="2881"/>
      <c r="AA31" s="2881"/>
      <c r="AB31" s="2881"/>
      <c r="AC31" s="2881"/>
      <c r="AD31" s="2881"/>
      <c r="AE31" s="2881"/>
      <c r="AF31" s="2881"/>
      <c r="AG31" s="2881"/>
      <c r="AH31" s="2881"/>
      <c r="AI31" s="2881"/>
      <c r="AJ31" s="2881"/>
      <c r="AK31" s="2881"/>
      <c r="AL31" s="2881"/>
      <c r="AM31" s="2881"/>
      <c r="AN31" s="2881"/>
      <c r="AO31" s="2881"/>
      <c r="AP31" s="2881"/>
      <c r="AQ31" s="2881"/>
      <c r="AR31" s="2881"/>
      <c r="AS31" s="899"/>
      <c r="AT31" s="899"/>
      <c r="AU31" s="899"/>
      <c r="AV31" s="899"/>
      <c r="AW31" s="899"/>
      <c r="AX31" s="899"/>
      <c r="AY31" s="899"/>
      <c r="AZ31" s="899"/>
      <c r="BA31" s="899"/>
      <c r="BB31" s="899"/>
      <c r="BC31" s="899"/>
      <c r="BD31" s="899"/>
      <c r="BE31" s="899"/>
      <c r="BF31" s="899"/>
      <c r="BG31" s="899"/>
      <c r="BH31" s="899"/>
      <c r="BI31" s="899"/>
      <c r="BJ31" s="899"/>
      <c r="BK31" s="899"/>
      <c r="BL31" s="899"/>
      <c r="BM31" s="899"/>
      <c r="BN31" s="899"/>
      <c r="BO31" s="899"/>
    </row>
    <row r="32" spans="1:67" s="1903" customFormat="1" ht="27.75" thickBot="1">
      <c r="A32" s="1907" t="s">
        <v>1909</v>
      </c>
      <c r="B32" s="679">
        <v>0</v>
      </c>
      <c r="C32" s="2890"/>
      <c r="D32" s="2886"/>
      <c r="E32" s="2883"/>
      <c r="F32" s="2883"/>
      <c r="G32" s="2883"/>
      <c r="H32" s="2883"/>
      <c r="I32" s="2883"/>
      <c r="J32" s="2883"/>
      <c r="K32" s="2882"/>
      <c r="L32" s="2882"/>
      <c r="M32" s="2881"/>
      <c r="N32" s="2881"/>
      <c r="O32" s="2881"/>
      <c r="P32" s="2881"/>
      <c r="Q32" s="2881"/>
      <c r="R32" s="2881"/>
      <c r="S32" s="2881"/>
      <c r="T32" s="2881"/>
      <c r="U32" s="2881"/>
      <c r="V32" s="2881"/>
      <c r="W32" s="2881"/>
      <c r="X32" s="2881"/>
      <c r="Y32" s="2881"/>
      <c r="Z32" s="2881"/>
      <c r="AA32" s="2881"/>
      <c r="AB32" s="2881"/>
      <c r="AC32" s="2881"/>
      <c r="AD32" s="2881"/>
      <c r="AE32" s="2881"/>
      <c r="AF32" s="2881"/>
      <c r="AG32" s="2881"/>
      <c r="AH32" s="2881"/>
      <c r="AI32" s="2881"/>
      <c r="AJ32" s="2881"/>
      <c r="AK32" s="2881"/>
      <c r="AL32" s="2881"/>
      <c r="AM32" s="2881"/>
      <c r="AN32" s="2881"/>
      <c r="AO32" s="2881"/>
      <c r="AP32" s="2881"/>
      <c r="AQ32" s="2881"/>
      <c r="AR32" s="2881"/>
      <c r="AS32" s="899"/>
      <c r="AT32" s="899"/>
      <c r="AU32" s="899"/>
      <c r="AV32" s="899"/>
      <c r="AW32" s="899"/>
      <c r="AX32" s="899"/>
      <c r="AY32" s="899"/>
      <c r="AZ32" s="899"/>
      <c r="BA32" s="899"/>
      <c r="BB32" s="899"/>
      <c r="BC32" s="899"/>
      <c r="BD32" s="899"/>
      <c r="BE32" s="899"/>
      <c r="BF32" s="899"/>
      <c r="BG32" s="899"/>
      <c r="BH32" s="899"/>
      <c r="BI32" s="899"/>
      <c r="BJ32" s="899"/>
      <c r="BK32" s="899"/>
      <c r="BL32" s="899"/>
      <c r="BM32" s="899"/>
      <c r="BN32" s="899"/>
      <c r="BO32" s="899"/>
    </row>
    <row r="33" spans="1:67" s="1903" customFormat="1" ht="14.25">
      <c r="A33" s="1902" t="s">
        <v>1910</v>
      </c>
      <c r="B33" s="680">
        <v>0.03</v>
      </c>
      <c r="C33" s="3014" t="s">
        <v>3021</v>
      </c>
      <c r="D33" s="2886"/>
      <c r="E33" s="2883"/>
      <c r="F33" s="2883"/>
      <c r="G33" s="2883"/>
      <c r="H33" s="2883"/>
      <c r="I33" s="2883"/>
      <c r="J33" s="2883"/>
      <c r="K33" s="2882"/>
      <c r="L33" s="2882"/>
      <c r="M33" s="2881"/>
      <c r="N33" s="2881"/>
      <c r="O33" s="2881"/>
      <c r="P33" s="2881"/>
      <c r="Q33" s="2881"/>
      <c r="R33" s="2881"/>
      <c r="S33" s="2881"/>
      <c r="T33" s="2881"/>
      <c r="U33" s="2881"/>
      <c r="V33" s="2881"/>
      <c r="W33" s="2881"/>
      <c r="X33" s="2881"/>
      <c r="Y33" s="2881"/>
      <c r="Z33" s="2881"/>
      <c r="AA33" s="2881"/>
      <c r="AB33" s="2881"/>
      <c r="AC33" s="2881"/>
      <c r="AD33" s="2881"/>
      <c r="AE33" s="2881"/>
      <c r="AF33" s="2881"/>
      <c r="AG33" s="2881"/>
      <c r="AH33" s="2881"/>
      <c r="AI33" s="2881"/>
      <c r="AJ33" s="2881"/>
      <c r="AK33" s="2881"/>
      <c r="AL33" s="2881"/>
      <c r="AM33" s="2881"/>
      <c r="AN33" s="2881"/>
      <c r="AO33" s="2881"/>
      <c r="AP33" s="2881"/>
      <c r="AQ33" s="2881"/>
      <c r="AR33" s="2881"/>
      <c r="AS33" s="899"/>
      <c r="AT33" s="899"/>
      <c r="AU33" s="899"/>
      <c r="AV33" s="899"/>
      <c r="AW33" s="899"/>
      <c r="AX33" s="899"/>
      <c r="AY33" s="899"/>
      <c r="AZ33" s="899"/>
      <c r="BA33" s="899"/>
      <c r="BB33" s="899"/>
      <c r="BC33" s="899"/>
      <c r="BD33" s="899"/>
      <c r="BE33" s="899"/>
      <c r="BF33" s="899"/>
      <c r="BG33" s="899"/>
      <c r="BH33" s="899"/>
      <c r="BI33" s="899"/>
      <c r="BJ33" s="899"/>
      <c r="BK33" s="899"/>
      <c r="BL33" s="899"/>
      <c r="BM33" s="899"/>
      <c r="BN33" s="899"/>
      <c r="BO33" s="899"/>
    </row>
    <row r="34" spans="1:67" s="1903" customFormat="1" ht="14.25">
      <c r="A34" s="1904" t="s">
        <v>1911</v>
      </c>
      <c r="B34" s="118">
        <v>0.03</v>
      </c>
      <c r="C34" s="3014" t="s">
        <v>3022</v>
      </c>
      <c r="D34" s="2894" t="s">
        <v>3031</v>
      </c>
      <c r="E34" s="2892"/>
      <c r="F34" s="2883"/>
      <c r="G34" s="2883"/>
      <c r="H34" s="2883"/>
      <c r="I34" s="2883"/>
      <c r="J34" s="2883"/>
      <c r="K34" s="2882"/>
      <c r="L34" s="2882"/>
      <c r="M34" s="2881"/>
      <c r="N34" s="2881"/>
      <c r="O34" s="2881"/>
      <c r="P34" s="2881"/>
      <c r="Q34" s="2881"/>
      <c r="R34" s="2881"/>
      <c r="S34" s="2881"/>
      <c r="T34" s="2881"/>
      <c r="U34" s="2881"/>
      <c r="V34" s="2881"/>
      <c r="W34" s="2881"/>
      <c r="X34" s="2881"/>
      <c r="Y34" s="2881"/>
      <c r="Z34" s="2881"/>
      <c r="AA34" s="2881"/>
      <c r="AB34" s="2881"/>
      <c r="AC34" s="2881"/>
      <c r="AD34" s="2881"/>
      <c r="AE34" s="2881"/>
      <c r="AF34" s="2881"/>
      <c r="AG34" s="2881"/>
      <c r="AH34" s="2881"/>
      <c r="AI34" s="2881"/>
      <c r="AJ34" s="2881"/>
      <c r="AK34" s="2881"/>
      <c r="AL34" s="2881"/>
      <c r="AM34" s="2881"/>
      <c r="AN34" s="2881"/>
      <c r="AO34" s="2881"/>
      <c r="AP34" s="2881"/>
      <c r="AQ34" s="2881"/>
      <c r="AR34" s="2881"/>
      <c r="AS34" s="899"/>
      <c r="AT34" s="899"/>
      <c r="AU34" s="899"/>
      <c r="AV34" s="899"/>
      <c r="AW34" s="899"/>
      <c r="AX34" s="899"/>
      <c r="AY34" s="899"/>
      <c r="AZ34" s="899"/>
      <c r="BA34" s="899"/>
      <c r="BB34" s="899"/>
      <c r="BC34" s="899"/>
      <c r="BD34" s="899"/>
      <c r="BE34" s="899"/>
      <c r="BF34" s="899"/>
      <c r="BG34" s="899"/>
      <c r="BH34" s="899"/>
      <c r="BI34" s="899"/>
      <c r="BJ34" s="899"/>
      <c r="BK34" s="899"/>
      <c r="BL34" s="899"/>
      <c r="BM34" s="899"/>
      <c r="BN34" s="899"/>
      <c r="BO34" s="899"/>
    </row>
    <row r="35" spans="1:67" s="1903" customFormat="1" ht="14.25">
      <c r="A35" s="1904" t="s">
        <v>1912</v>
      </c>
      <c r="B35" s="115">
        <v>200</v>
      </c>
      <c r="C35" s="3014" t="s">
        <v>3023</v>
      </c>
      <c r="D35" s="2889"/>
      <c r="E35" s="2870"/>
      <c r="F35" s="2870"/>
      <c r="G35" s="2883"/>
      <c r="H35" s="2883"/>
      <c r="I35" s="2883"/>
      <c r="J35" s="2883"/>
      <c r="K35" s="2882"/>
      <c r="L35" s="2882"/>
      <c r="M35" s="2881"/>
      <c r="N35" s="2881"/>
      <c r="O35" s="2881"/>
      <c r="P35" s="2881"/>
      <c r="Q35" s="2881"/>
      <c r="R35" s="2881"/>
      <c r="S35" s="2881"/>
      <c r="T35" s="2881"/>
      <c r="U35" s="2881"/>
      <c r="V35" s="2881"/>
      <c r="W35" s="2881"/>
      <c r="X35" s="2881"/>
      <c r="Y35" s="2881"/>
      <c r="Z35" s="2881"/>
      <c r="AA35" s="2881"/>
      <c r="AB35" s="2881"/>
      <c r="AC35" s="2881"/>
      <c r="AD35" s="2881"/>
      <c r="AE35" s="2881"/>
      <c r="AF35" s="2881"/>
      <c r="AG35" s="2881"/>
      <c r="AH35" s="2881"/>
      <c r="AI35" s="2881"/>
      <c r="AJ35" s="2881"/>
      <c r="AK35" s="2881"/>
      <c r="AL35" s="2881"/>
      <c r="AM35" s="2881"/>
      <c r="AN35" s="2881"/>
      <c r="AO35" s="2881"/>
      <c r="AP35" s="2881"/>
      <c r="AQ35" s="2881"/>
      <c r="AR35" s="2881"/>
      <c r="AS35" s="899"/>
      <c r="AT35" s="899"/>
      <c r="AU35" s="899"/>
      <c r="AV35" s="899"/>
      <c r="AW35" s="899"/>
      <c r="AX35" s="899"/>
      <c r="AY35" s="899"/>
      <c r="AZ35" s="899"/>
      <c r="BA35" s="899"/>
      <c r="BB35" s="899"/>
      <c r="BC35" s="899"/>
      <c r="BD35" s="899"/>
      <c r="BE35" s="899"/>
      <c r="BF35" s="899"/>
      <c r="BG35" s="899"/>
      <c r="BH35" s="899"/>
      <c r="BI35" s="899"/>
      <c r="BJ35" s="899"/>
      <c r="BK35" s="899"/>
      <c r="BL35" s="899"/>
      <c r="BM35" s="899"/>
      <c r="BN35" s="899"/>
      <c r="BO35" s="899"/>
    </row>
    <row r="36" spans="1:67" ht="15" thickBot="1">
      <c r="A36" s="1905" t="s">
        <v>1913</v>
      </c>
      <c r="B36" s="119">
        <v>1.4999999999999999E-2</v>
      </c>
      <c r="C36" s="3014" t="s">
        <v>3024</v>
      </c>
      <c r="D36" s="2886"/>
      <c r="E36" s="2883"/>
      <c r="F36" s="2883"/>
      <c r="G36" s="2883"/>
      <c r="H36" s="2883"/>
      <c r="I36" s="2883"/>
      <c r="J36" s="2883"/>
      <c r="K36" s="2882"/>
      <c r="L36" s="2882"/>
      <c r="M36" s="2881"/>
      <c r="N36" s="2881"/>
      <c r="O36" s="2881"/>
      <c r="P36" s="2881"/>
      <c r="Q36" s="2881"/>
      <c r="R36" s="2881"/>
      <c r="S36" s="2881"/>
      <c r="T36" s="2881"/>
      <c r="U36" s="2881"/>
      <c r="V36" s="2881"/>
      <c r="W36" s="2881"/>
      <c r="X36" s="2881"/>
      <c r="Y36" s="2881"/>
      <c r="Z36" s="2881"/>
      <c r="AA36" s="2881"/>
      <c r="AB36" s="2881"/>
      <c r="AC36" s="2881"/>
      <c r="AD36" s="2881"/>
      <c r="AE36" s="2881"/>
      <c r="AF36" s="2881"/>
      <c r="AG36" s="2881"/>
      <c r="AH36" s="2881"/>
      <c r="AI36" s="2881"/>
      <c r="AJ36" s="2881"/>
      <c r="AK36" s="2881"/>
      <c r="AL36" s="2881"/>
      <c r="AM36" s="2881"/>
      <c r="AN36" s="2881"/>
      <c r="AO36" s="2881"/>
      <c r="AP36" s="2881"/>
      <c r="AQ36" s="2881"/>
      <c r="AR36" s="2881"/>
    </row>
    <row r="37" spans="1:67" ht="14.25">
      <c r="A37" s="1906" t="s">
        <v>1914</v>
      </c>
      <c r="B37" s="120">
        <v>0.02</v>
      </c>
      <c r="C37" s="3014" t="s">
        <v>3025</v>
      </c>
      <c r="D37" s="2886"/>
      <c r="E37" s="2883"/>
      <c r="F37" s="2883"/>
      <c r="G37" s="2883"/>
      <c r="H37" s="2883"/>
      <c r="I37" s="2883"/>
      <c r="J37" s="2883"/>
      <c r="K37" s="2882"/>
      <c r="L37" s="2882"/>
      <c r="M37" s="2881"/>
      <c r="N37" s="2881"/>
      <c r="O37" s="2881"/>
      <c r="P37" s="2881"/>
      <c r="Q37" s="2881"/>
      <c r="R37" s="2881"/>
      <c r="S37" s="2881"/>
      <c r="T37" s="2881"/>
      <c r="U37" s="2881"/>
      <c r="V37" s="2881"/>
      <c r="W37" s="2881"/>
      <c r="X37" s="2881"/>
      <c r="Y37" s="2881"/>
      <c r="Z37" s="2881"/>
      <c r="AA37" s="2881"/>
      <c r="AB37" s="2881"/>
      <c r="AC37" s="2881"/>
      <c r="AD37" s="2881"/>
      <c r="AE37" s="2881"/>
      <c r="AF37" s="2881"/>
      <c r="AG37" s="2881"/>
      <c r="AH37" s="2881"/>
      <c r="AI37" s="2881"/>
      <c r="AJ37" s="2881"/>
      <c r="AK37" s="2881"/>
      <c r="AL37" s="2881"/>
      <c r="AM37" s="2881"/>
      <c r="AN37" s="2881"/>
      <c r="AO37" s="2881"/>
      <c r="AP37" s="2881"/>
      <c r="AQ37" s="2881"/>
      <c r="AR37" s="2881"/>
    </row>
    <row r="38" spans="1:67" ht="14.25">
      <c r="A38" s="1904" t="s">
        <v>1915</v>
      </c>
      <c r="B38" s="118">
        <v>0.02</v>
      </c>
      <c r="C38" s="3014" t="s">
        <v>3025</v>
      </c>
      <c r="D38" s="2886"/>
      <c r="E38" s="2883"/>
      <c r="F38" s="2883"/>
      <c r="G38" s="2883"/>
      <c r="H38" s="2883"/>
      <c r="I38" s="2883"/>
      <c r="J38" s="2883"/>
      <c r="K38" s="2882"/>
      <c r="L38" s="2882"/>
      <c r="M38" s="2881"/>
      <c r="N38" s="2881"/>
      <c r="O38" s="2881"/>
      <c r="P38" s="2881"/>
      <c r="Q38" s="2881"/>
      <c r="R38" s="2881"/>
      <c r="S38" s="2881"/>
      <c r="T38" s="2881"/>
      <c r="U38" s="2881"/>
      <c r="V38" s="2881"/>
      <c r="W38" s="2881"/>
      <c r="X38" s="2881"/>
      <c r="Y38" s="2881"/>
      <c r="Z38" s="2881"/>
      <c r="AA38" s="2881"/>
      <c r="AB38" s="2881"/>
      <c r="AC38" s="2881"/>
      <c r="AD38" s="2881"/>
      <c r="AE38" s="2881"/>
      <c r="AF38" s="2881"/>
      <c r="AG38" s="2881"/>
      <c r="AH38" s="2881"/>
      <c r="AI38" s="2881"/>
      <c r="AJ38" s="2881"/>
      <c r="AK38" s="2881"/>
      <c r="AL38" s="2881"/>
      <c r="AM38" s="2881"/>
      <c r="AN38" s="2881"/>
      <c r="AO38" s="2881"/>
      <c r="AP38" s="2881"/>
      <c r="AQ38" s="2881"/>
      <c r="AR38" s="2881"/>
    </row>
    <row r="39" spans="1:67" ht="14.25">
      <c r="A39" s="1907" t="s">
        <v>1916</v>
      </c>
      <c r="B39" s="323">
        <f ca="1">存贷款利率!I1</f>
        <v>1.4999999999999999E-2</v>
      </c>
      <c r="C39" s="2891"/>
      <c r="D39" s="2886"/>
      <c r="E39" s="2883"/>
      <c r="F39" s="2883"/>
      <c r="G39" s="2883"/>
      <c r="H39" s="2883"/>
      <c r="I39" s="2883"/>
      <c r="J39" s="2883"/>
      <c r="K39" s="2882"/>
      <c r="L39" s="2882"/>
      <c r="M39" s="2881"/>
      <c r="N39" s="2881"/>
      <c r="O39" s="2881"/>
      <c r="P39" s="2881"/>
      <c r="Q39" s="2881"/>
      <c r="R39" s="2881"/>
      <c r="S39" s="2881"/>
      <c r="T39" s="2881"/>
      <c r="U39" s="2881"/>
      <c r="V39" s="2881"/>
      <c r="W39" s="2881"/>
      <c r="X39" s="2881"/>
      <c r="Y39" s="2881"/>
      <c r="Z39" s="2881"/>
      <c r="AA39" s="2881"/>
      <c r="AB39" s="2881"/>
      <c r="AC39" s="2881"/>
      <c r="AD39" s="2881"/>
      <c r="AE39" s="2881"/>
      <c r="AF39" s="2881"/>
      <c r="AG39" s="2881"/>
      <c r="AH39" s="2881"/>
      <c r="AI39" s="2881"/>
      <c r="AJ39" s="2881"/>
      <c r="AK39" s="2881"/>
      <c r="AL39" s="2881"/>
      <c r="AM39" s="2881"/>
      <c r="AN39" s="2881"/>
      <c r="AO39" s="2881"/>
      <c r="AP39" s="2881"/>
      <c r="AQ39" s="2881"/>
      <c r="AR39" s="2881"/>
    </row>
    <row r="40" spans="1:67" ht="15" thickBot="1">
      <c r="A40" s="1907" t="s">
        <v>1917</v>
      </c>
      <c r="B40" s="1201">
        <f ca="1">存贷款利率!G1</f>
        <v>4.7500000000000001E-2</v>
      </c>
      <c r="C40" s="3014" t="s">
        <v>3026</v>
      </c>
      <c r="D40" s="2881"/>
      <c r="E40" s="2886"/>
      <c r="F40" s="2883"/>
      <c r="G40" s="2883"/>
      <c r="H40" s="2883"/>
      <c r="I40" s="2883"/>
      <c r="J40" s="2883"/>
      <c r="K40" s="2882"/>
      <c r="L40" s="2882"/>
      <c r="M40" s="2881"/>
      <c r="N40" s="2881"/>
      <c r="O40" s="2881"/>
      <c r="P40" s="2881"/>
      <c r="Q40" s="2881"/>
      <c r="R40" s="2881"/>
      <c r="S40" s="2881"/>
      <c r="T40" s="2881"/>
      <c r="U40" s="2881"/>
      <c r="V40" s="2881"/>
      <c r="W40" s="2881"/>
      <c r="X40" s="2881"/>
      <c r="Y40" s="2881"/>
      <c r="Z40" s="2881"/>
      <c r="AA40" s="2881"/>
      <c r="AB40" s="2881"/>
      <c r="AC40" s="2881"/>
      <c r="AD40" s="2881"/>
      <c r="AE40" s="2881"/>
      <c r="AF40" s="2881"/>
      <c r="AG40" s="2881"/>
      <c r="AH40" s="2881"/>
      <c r="AI40" s="2881"/>
      <c r="AJ40" s="2881"/>
      <c r="AK40" s="2881"/>
      <c r="AL40" s="2881"/>
      <c r="AM40" s="2881"/>
      <c r="AN40" s="2881"/>
      <c r="AO40" s="2881"/>
      <c r="AP40" s="2881"/>
      <c r="AQ40" s="2881"/>
      <c r="AR40" s="2881"/>
    </row>
    <row r="41" spans="1:67" ht="14.25">
      <c r="A41" s="1902" t="s">
        <v>1918</v>
      </c>
      <c r="B41" s="121">
        <f>B42+B43</f>
        <v>5.6000000000000001E-2</v>
      </c>
      <c r="C41" s="2888"/>
      <c r="D41" s="2881"/>
      <c r="E41" s="2886"/>
      <c r="F41" s="2883"/>
      <c r="G41" s="2883"/>
      <c r="H41" s="2883"/>
      <c r="I41" s="2883"/>
      <c r="J41" s="2883"/>
      <c r="K41" s="2882"/>
      <c r="L41" s="2882"/>
      <c r="M41" s="2881"/>
      <c r="N41" s="2881"/>
      <c r="O41" s="2881"/>
      <c r="P41" s="2881"/>
      <c r="Q41" s="2881"/>
      <c r="R41" s="2881"/>
      <c r="S41" s="2881"/>
      <c r="T41" s="2881"/>
      <c r="U41" s="2881"/>
      <c r="V41" s="2881"/>
      <c r="W41" s="2881"/>
      <c r="X41" s="2881"/>
      <c r="Y41" s="2881"/>
      <c r="Z41" s="2881"/>
      <c r="AA41" s="2881"/>
      <c r="AB41" s="2881"/>
      <c r="AC41" s="2881"/>
      <c r="AD41" s="2881"/>
      <c r="AE41" s="2881"/>
      <c r="AF41" s="2881"/>
      <c r="AG41" s="2881"/>
      <c r="AH41" s="2881"/>
      <c r="AI41" s="2881"/>
      <c r="AJ41" s="2881"/>
      <c r="AK41" s="2881"/>
      <c r="AL41" s="2881"/>
      <c r="AM41" s="2881"/>
      <c r="AN41" s="2881"/>
      <c r="AO41" s="2881"/>
      <c r="AP41" s="2881"/>
      <c r="AQ41" s="2881"/>
      <c r="AR41" s="2881"/>
    </row>
    <row r="42" spans="1:67" ht="14.25">
      <c r="A42" s="1908" t="s">
        <v>1919</v>
      </c>
      <c r="B42" s="122">
        <v>0.05</v>
      </c>
      <c r="C42" s="2893">
        <f>IF(B2&lt;DATE(2016,5,1),0,B42)</f>
        <v>0.05</v>
      </c>
      <c r="D42" s="2886"/>
      <c r="E42" s="2883"/>
      <c r="F42" s="2883"/>
      <c r="G42" s="2883"/>
      <c r="H42" s="2883"/>
      <c r="I42" s="2883"/>
      <c r="J42" s="2883"/>
      <c r="K42" s="2882"/>
      <c r="L42" s="2882"/>
      <c r="M42" s="2881"/>
      <c r="N42" s="2881"/>
      <c r="O42" s="2881"/>
      <c r="P42" s="2881"/>
      <c r="Q42" s="2881"/>
      <c r="R42" s="2881"/>
      <c r="S42" s="2881"/>
      <c r="T42" s="2881"/>
      <c r="U42" s="2881"/>
      <c r="V42" s="2881"/>
      <c r="W42" s="2881"/>
      <c r="X42" s="2881"/>
      <c r="Y42" s="2881"/>
      <c r="Z42" s="2881"/>
      <c r="AA42" s="2881"/>
      <c r="AB42" s="2881"/>
      <c r="AC42" s="2881"/>
      <c r="AD42" s="2881"/>
      <c r="AE42" s="2881"/>
      <c r="AF42" s="2881"/>
      <c r="AG42" s="2881"/>
      <c r="AH42" s="2881"/>
      <c r="AI42" s="2881"/>
      <c r="AJ42" s="2881"/>
      <c r="AK42" s="2881"/>
      <c r="AL42" s="2881"/>
      <c r="AM42" s="2881"/>
      <c r="AN42" s="2881"/>
      <c r="AO42" s="2881"/>
      <c r="AP42" s="2881"/>
      <c r="AQ42" s="2881"/>
      <c r="AR42" s="2881"/>
    </row>
    <row r="43" spans="1:67" ht="14.25">
      <c r="A43" s="1908" t="s">
        <v>1920</v>
      </c>
      <c r="B43" s="123">
        <f>B42*(B44+B45+B46)+B47</f>
        <v>6.000000000000001E-3</v>
      </c>
      <c r="C43" s="2888"/>
      <c r="D43" s="2886"/>
      <c r="E43" s="2883"/>
      <c r="F43" s="2883"/>
      <c r="G43" s="2883"/>
      <c r="H43" s="2883"/>
      <c r="I43" s="2883"/>
      <c r="J43" s="2883"/>
      <c r="K43" s="2882"/>
      <c r="L43" s="2882"/>
      <c r="M43" s="2881"/>
      <c r="N43" s="2881"/>
      <c r="O43" s="2881"/>
      <c r="P43" s="2881"/>
      <c r="Q43" s="2881"/>
      <c r="R43" s="2881"/>
      <c r="S43" s="2881"/>
      <c r="T43" s="2881"/>
      <c r="U43" s="2881"/>
      <c r="V43" s="2881"/>
      <c r="W43" s="2881"/>
      <c r="X43" s="2881"/>
      <c r="Y43" s="2881"/>
      <c r="Z43" s="2881"/>
      <c r="AA43" s="2881"/>
      <c r="AB43" s="2881"/>
      <c r="AC43" s="2881"/>
      <c r="AD43" s="2881"/>
      <c r="AE43" s="2881"/>
      <c r="AF43" s="2881"/>
      <c r="AG43" s="2881"/>
      <c r="AH43" s="2881"/>
      <c r="AI43" s="2881"/>
      <c r="AJ43" s="2881"/>
      <c r="AK43" s="2881"/>
      <c r="AL43" s="2881"/>
      <c r="AM43" s="2881"/>
      <c r="AN43" s="2881"/>
      <c r="AO43" s="2881"/>
      <c r="AP43" s="2881"/>
      <c r="AQ43" s="2881"/>
      <c r="AR43" s="2881"/>
    </row>
    <row r="44" spans="1:67" ht="14.25">
      <c r="A44" s="1909" t="s">
        <v>1921</v>
      </c>
      <c r="B44" s="124">
        <v>7.0000000000000007E-2</v>
      </c>
      <c r="C44" s="3014" t="s">
        <v>3035</v>
      </c>
      <c r="D44" s="2886"/>
      <c r="E44" s="2883"/>
      <c r="F44" s="2883"/>
      <c r="G44" s="2883"/>
      <c r="H44" s="2883"/>
      <c r="I44" s="2883"/>
      <c r="J44" s="2883"/>
      <c r="K44" s="2882"/>
      <c r="L44" s="2882"/>
      <c r="M44" s="2881"/>
      <c r="N44" s="2881"/>
      <c r="O44" s="2881"/>
      <c r="P44" s="2881"/>
      <c r="Q44" s="2881"/>
      <c r="R44" s="2881"/>
      <c r="S44" s="2881"/>
      <c r="T44" s="2881"/>
      <c r="U44" s="2881"/>
      <c r="V44" s="2881"/>
      <c r="W44" s="2881"/>
      <c r="X44" s="2881"/>
      <c r="Y44" s="2881"/>
      <c r="Z44" s="2881"/>
      <c r="AA44" s="2881"/>
      <c r="AB44" s="2881"/>
      <c r="AC44" s="2881"/>
      <c r="AD44" s="2881"/>
      <c r="AE44" s="2881"/>
      <c r="AF44" s="2881"/>
      <c r="AG44" s="2881"/>
      <c r="AH44" s="2881"/>
      <c r="AI44" s="2881"/>
      <c r="AJ44" s="2881"/>
      <c r="AK44" s="2881"/>
      <c r="AL44" s="2881"/>
      <c r="AM44" s="2881"/>
      <c r="AN44" s="2881"/>
      <c r="AO44" s="2881"/>
      <c r="AP44" s="2881"/>
      <c r="AQ44" s="2881"/>
      <c r="AR44" s="2881"/>
    </row>
    <row r="45" spans="1:67" ht="14.25">
      <c r="A45" s="1909" t="s">
        <v>1922</v>
      </c>
      <c r="B45" s="122">
        <v>0.03</v>
      </c>
      <c r="C45" s="3013" t="s">
        <v>3027</v>
      </c>
      <c r="D45" s="2886"/>
      <c r="E45" s="2883"/>
      <c r="F45" s="2883"/>
      <c r="G45" s="2883"/>
      <c r="H45" s="2883"/>
      <c r="I45" s="2883"/>
      <c r="J45" s="2883"/>
      <c r="K45" s="2882"/>
      <c r="L45" s="2882"/>
      <c r="M45" s="2881"/>
      <c r="N45" s="2881"/>
      <c r="O45" s="2881"/>
      <c r="P45" s="2881"/>
      <c r="Q45" s="2881"/>
      <c r="R45" s="2881"/>
      <c r="S45" s="2881"/>
      <c r="T45" s="2881"/>
      <c r="U45" s="2881"/>
      <c r="V45" s="2881"/>
      <c r="W45" s="2881"/>
      <c r="X45" s="2881"/>
      <c r="Y45" s="2881"/>
      <c r="Z45" s="2881"/>
      <c r="AA45" s="2881"/>
      <c r="AB45" s="2881"/>
      <c r="AC45" s="2881"/>
      <c r="AD45" s="2881"/>
      <c r="AE45" s="2881"/>
      <c r="AF45" s="2881"/>
      <c r="AG45" s="2881"/>
      <c r="AH45" s="2881"/>
      <c r="AI45" s="2881"/>
      <c r="AJ45" s="2881"/>
      <c r="AK45" s="2881"/>
      <c r="AL45" s="2881"/>
      <c r="AM45" s="2881"/>
      <c r="AN45" s="2881"/>
      <c r="AO45" s="2881"/>
      <c r="AP45" s="2881"/>
      <c r="AQ45" s="2881"/>
      <c r="AR45" s="2881"/>
    </row>
    <row r="46" spans="1:67" ht="14.25">
      <c r="A46" s="1909" t="s">
        <v>1923</v>
      </c>
      <c r="B46" s="122">
        <v>0.02</v>
      </c>
      <c r="C46" s="3013" t="s">
        <v>3028</v>
      </c>
      <c r="D46" s="2886"/>
      <c r="E46" s="2883"/>
      <c r="F46" s="2883"/>
      <c r="G46" s="2883"/>
      <c r="H46" s="2883"/>
      <c r="I46" s="2883"/>
      <c r="J46" s="2883"/>
      <c r="K46" s="2882"/>
      <c r="L46" s="2882"/>
      <c r="M46" s="2881"/>
      <c r="N46" s="2881"/>
      <c r="O46" s="2881"/>
      <c r="P46" s="2881"/>
      <c r="Q46" s="2881"/>
      <c r="R46" s="2881"/>
      <c r="S46" s="2881"/>
      <c r="T46" s="2881"/>
      <c r="U46" s="2881"/>
      <c r="V46" s="2881"/>
      <c r="W46" s="2881"/>
      <c r="X46" s="2881"/>
      <c r="Y46" s="2881"/>
      <c r="Z46" s="2881"/>
      <c r="AA46" s="2881"/>
      <c r="AB46" s="2881"/>
      <c r="AC46" s="2881"/>
      <c r="AD46" s="2881"/>
      <c r="AE46" s="2881"/>
      <c r="AF46" s="2881"/>
      <c r="AG46" s="2881"/>
      <c r="AH46" s="2881"/>
      <c r="AI46" s="2881"/>
      <c r="AJ46" s="2881"/>
      <c r="AK46" s="2881"/>
      <c r="AL46" s="2881"/>
      <c r="AM46" s="2881"/>
      <c r="AN46" s="2881"/>
      <c r="AO46" s="2881"/>
      <c r="AP46" s="2881"/>
      <c r="AQ46" s="2881"/>
      <c r="AR46" s="2881"/>
    </row>
    <row r="47" spans="1:67" ht="15" thickBot="1">
      <c r="A47" s="1910" t="s">
        <v>1924</v>
      </c>
      <c r="B47" s="125">
        <v>0</v>
      </c>
      <c r="C47" s="3016" t="s">
        <v>3036</v>
      </c>
      <c r="D47" s="2886"/>
      <c r="E47" s="2883"/>
      <c r="F47" s="2883"/>
      <c r="G47" s="2883"/>
      <c r="H47" s="2883"/>
      <c r="I47" s="2883"/>
      <c r="J47" s="2883"/>
      <c r="K47" s="2882"/>
      <c r="L47" s="2882"/>
      <c r="M47" s="2881"/>
      <c r="N47" s="2881"/>
      <c r="O47" s="2881"/>
      <c r="P47" s="2881"/>
      <c r="Q47" s="2881"/>
      <c r="R47" s="2881"/>
      <c r="S47" s="2881"/>
      <c r="T47" s="2881"/>
      <c r="U47" s="2881"/>
      <c r="V47" s="2881"/>
      <c r="W47" s="2881"/>
      <c r="X47" s="2881"/>
      <c r="Y47" s="2881"/>
      <c r="Z47" s="2881"/>
      <c r="AA47" s="2881"/>
      <c r="AB47" s="2881"/>
      <c r="AC47" s="2881"/>
      <c r="AD47" s="2881"/>
      <c r="AE47" s="2881"/>
      <c r="AF47" s="2881"/>
      <c r="AG47" s="2881"/>
      <c r="AH47" s="2881"/>
      <c r="AI47" s="2881"/>
      <c r="AJ47" s="2881"/>
      <c r="AK47" s="2881"/>
      <c r="AL47" s="2881"/>
      <c r="AM47" s="2881"/>
      <c r="AN47" s="2881"/>
      <c r="AO47" s="2881"/>
      <c r="AP47" s="2881"/>
      <c r="AQ47" s="2881"/>
      <c r="AR47" s="2881"/>
    </row>
    <row r="48" spans="1:67" ht="14.25">
      <c r="A48" s="1911" t="s">
        <v>1925</v>
      </c>
      <c r="B48" s="126">
        <v>0.03</v>
      </c>
      <c r="C48" s="3013" t="s">
        <v>3027</v>
      </c>
      <c r="D48" s="2886"/>
      <c r="E48" s="2883"/>
      <c r="F48" s="2883"/>
      <c r="G48" s="2883"/>
      <c r="H48" s="2883"/>
      <c r="I48" s="2883"/>
      <c r="J48" s="2883"/>
      <c r="K48" s="2882"/>
      <c r="L48" s="2882"/>
      <c r="M48" s="2881"/>
      <c r="N48" s="2881"/>
      <c r="O48" s="2881"/>
      <c r="P48" s="2881"/>
      <c r="Q48" s="2881"/>
      <c r="R48" s="2881"/>
      <c r="S48" s="2881"/>
      <c r="T48" s="2881"/>
      <c r="U48" s="2881"/>
      <c r="V48" s="2881"/>
      <c r="W48" s="2881"/>
      <c r="X48" s="2881"/>
      <c r="Y48" s="2881"/>
      <c r="Z48" s="2881"/>
      <c r="AA48" s="2881"/>
      <c r="AB48" s="2881"/>
      <c r="AC48" s="2881"/>
      <c r="AD48" s="2881"/>
      <c r="AE48" s="2881"/>
      <c r="AF48" s="2881"/>
      <c r="AG48" s="2881"/>
      <c r="AH48" s="2881"/>
      <c r="AI48" s="2881"/>
      <c r="AJ48" s="2881"/>
      <c r="AK48" s="2881"/>
      <c r="AL48" s="2881"/>
      <c r="AM48" s="2881"/>
      <c r="AN48" s="2881"/>
      <c r="AO48" s="2881"/>
      <c r="AP48" s="2881"/>
      <c r="AQ48" s="2881"/>
      <c r="AR48" s="2881"/>
    </row>
    <row r="49" spans="1:44" ht="15" thickBot="1">
      <c r="A49" s="1907" t="s">
        <v>1926</v>
      </c>
      <c r="B49" s="122">
        <v>5.0000000000000001E-4</v>
      </c>
      <c r="C49" s="3013" t="s">
        <v>3029</v>
      </c>
      <c r="D49" s="2886"/>
      <c r="E49" s="2883"/>
      <c r="F49" s="2883"/>
      <c r="G49" s="2883"/>
      <c r="H49" s="2883"/>
      <c r="I49" s="2883"/>
      <c r="J49" s="2883"/>
      <c r="K49" s="2882"/>
      <c r="L49" s="2882"/>
      <c r="M49" s="2881"/>
      <c r="N49" s="2881"/>
      <c r="O49" s="2881"/>
      <c r="P49" s="2881"/>
      <c r="Q49" s="2881"/>
      <c r="R49" s="2881"/>
      <c r="S49" s="2881"/>
      <c r="T49" s="2881"/>
      <c r="U49" s="2881"/>
      <c r="V49" s="2881"/>
      <c r="W49" s="2881"/>
      <c r="X49" s="2881"/>
      <c r="Y49" s="2881"/>
      <c r="Z49" s="2881"/>
      <c r="AA49" s="2881"/>
      <c r="AB49" s="2881"/>
      <c r="AC49" s="2881"/>
      <c r="AD49" s="2881"/>
      <c r="AE49" s="2881"/>
      <c r="AF49" s="2881"/>
      <c r="AG49" s="2881"/>
      <c r="AH49" s="2881"/>
      <c r="AI49" s="2881"/>
      <c r="AJ49" s="2881"/>
      <c r="AK49" s="2881"/>
      <c r="AL49" s="2881"/>
      <c r="AM49" s="2881"/>
      <c r="AN49" s="2881"/>
      <c r="AO49" s="2881"/>
      <c r="AP49" s="2881"/>
      <c r="AQ49" s="2881"/>
      <c r="AR49" s="2881"/>
    </row>
    <row r="50" spans="1:44" ht="14.25">
      <c r="A50" s="1912" t="s">
        <v>1927</v>
      </c>
      <c r="B50" s="127">
        <v>1.2E-2</v>
      </c>
      <c r="C50" s="2870"/>
      <c r="D50" s="2886"/>
      <c r="E50" s="2883"/>
      <c r="F50" s="2883"/>
      <c r="G50" s="2883"/>
      <c r="H50" s="2883"/>
      <c r="I50" s="2883"/>
      <c r="J50" s="2883"/>
      <c r="K50" s="2882"/>
      <c r="L50" s="2882"/>
      <c r="M50" s="2881"/>
      <c r="N50" s="2881"/>
      <c r="O50" s="2881"/>
      <c r="P50" s="2881"/>
      <c r="Q50" s="2881"/>
      <c r="R50" s="2881"/>
      <c r="S50" s="2881"/>
      <c r="T50" s="2881"/>
      <c r="U50" s="2881"/>
      <c r="V50" s="2881"/>
      <c r="W50" s="2881"/>
      <c r="X50" s="2881"/>
      <c r="Y50" s="2881"/>
      <c r="Z50" s="2881"/>
      <c r="AA50" s="2881"/>
      <c r="AB50" s="2881"/>
      <c r="AC50" s="2881"/>
      <c r="AD50" s="2881"/>
      <c r="AE50" s="2881"/>
      <c r="AF50" s="2881"/>
      <c r="AG50" s="2881"/>
      <c r="AH50" s="2881"/>
      <c r="AI50" s="2881"/>
      <c r="AJ50" s="2881"/>
      <c r="AK50" s="2881"/>
      <c r="AL50" s="2881"/>
      <c r="AM50" s="2881"/>
      <c r="AN50" s="2881"/>
      <c r="AO50" s="2881"/>
      <c r="AP50" s="2881"/>
      <c r="AQ50" s="2881"/>
      <c r="AR50" s="2881"/>
    </row>
    <row r="51" spans="1:44" ht="15" thickBot="1">
      <c r="A51" s="1905" t="s">
        <v>1928</v>
      </c>
      <c r="B51" s="128">
        <v>0.12</v>
      </c>
      <c r="C51" s="2870"/>
      <c r="D51" s="2886"/>
      <c r="E51" s="2883"/>
      <c r="F51" s="2883"/>
      <c r="G51" s="2883"/>
      <c r="H51" s="2883"/>
      <c r="I51" s="2883"/>
      <c r="J51" s="2883"/>
      <c r="K51" s="2882"/>
      <c r="L51" s="2882"/>
      <c r="M51" s="2881"/>
      <c r="N51" s="2881"/>
      <c r="O51" s="2881"/>
      <c r="P51" s="2881"/>
      <c r="Q51" s="2881"/>
      <c r="R51" s="2881"/>
      <c r="S51" s="2881"/>
      <c r="T51" s="2881"/>
      <c r="U51" s="2881"/>
      <c r="V51" s="2881"/>
      <c r="W51" s="2881"/>
      <c r="X51" s="2881"/>
      <c r="Y51" s="2881"/>
      <c r="Z51" s="2881"/>
      <c r="AA51" s="2881"/>
      <c r="AB51" s="2881"/>
      <c r="AC51" s="2881"/>
      <c r="AD51" s="2881"/>
      <c r="AE51" s="2881"/>
      <c r="AF51" s="2881"/>
      <c r="AG51" s="2881"/>
      <c r="AH51" s="2881"/>
      <c r="AI51" s="2881"/>
      <c r="AJ51" s="2881"/>
      <c r="AK51" s="2881"/>
      <c r="AL51" s="2881"/>
      <c r="AM51" s="2881"/>
      <c r="AN51" s="2881"/>
      <c r="AO51" s="2881"/>
      <c r="AP51" s="2881"/>
      <c r="AQ51" s="2881"/>
      <c r="AR51" s="2881"/>
    </row>
    <row r="52" spans="1:44" ht="14.25">
      <c r="A52" s="1912" t="s">
        <v>1929</v>
      </c>
      <c r="B52" s="129">
        <f>SUMIF(A54:A63,B53,B54:B63)</f>
        <v>0</v>
      </c>
      <c r="C52" s="2870"/>
      <c r="D52" s="2886"/>
      <c r="E52" s="2883"/>
      <c r="F52" s="2883"/>
      <c r="G52" s="2883"/>
      <c r="H52" s="2883"/>
      <c r="I52" s="2883"/>
      <c r="J52" s="2883"/>
      <c r="K52" s="2882"/>
      <c r="L52" s="2882"/>
      <c r="M52" s="2881"/>
      <c r="N52" s="2881"/>
      <c r="O52" s="2881"/>
      <c r="P52" s="2881"/>
      <c r="Q52" s="2881"/>
      <c r="R52" s="2881"/>
      <c r="S52" s="2881"/>
      <c r="T52" s="2881"/>
      <c r="U52" s="2881"/>
      <c r="V52" s="2881"/>
      <c r="W52" s="2881"/>
      <c r="X52" s="2881"/>
      <c r="Y52" s="2881"/>
      <c r="Z52" s="2881"/>
      <c r="AA52" s="2881"/>
      <c r="AB52" s="2881"/>
      <c r="AC52" s="2881"/>
      <c r="AD52" s="2881"/>
      <c r="AE52" s="2881"/>
      <c r="AF52" s="2881"/>
      <c r="AG52" s="2881"/>
      <c r="AH52" s="2881"/>
      <c r="AI52" s="2881"/>
      <c r="AJ52" s="2881"/>
      <c r="AK52" s="2881"/>
      <c r="AL52" s="2881"/>
      <c r="AM52" s="2881"/>
      <c r="AN52" s="2881"/>
      <c r="AO52" s="2881"/>
      <c r="AP52" s="2881"/>
      <c r="AQ52" s="2881"/>
      <c r="AR52" s="2881"/>
    </row>
    <row r="53" spans="1:44" ht="27">
      <c r="A53" s="1904" t="s">
        <v>1930</v>
      </c>
      <c r="B53" s="1913"/>
      <c r="C53" s="2870" t="s">
        <v>1931</v>
      </c>
      <c r="D53" s="3015" t="s">
        <v>3033</v>
      </c>
      <c r="E53" s="2883"/>
      <c r="F53" s="2883"/>
      <c r="G53" s="2883"/>
      <c r="H53" s="2883"/>
      <c r="I53" s="2883"/>
      <c r="J53" s="2883"/>
      <c r="K53" s="2882"/>
      <c r="L53" s="2882"/>
      <c r="M53" s="2881"/>
      <c r="N53" s="2881"/>
      <c r="O53" s="2881"/>
      <c r="P53" s="2881"/>
      <c r="Q53" s="2881"/>
      <c r="R53" s="2881"/>
      <c r="S53" s="2881"/>
      <c r="T53" s="2881"/>
      <c r="U53" s="2881"/>
      <c r="V53" s="2881"/>
      <c r="W53" s="2881"/>
      <c r="X53" s="2881"/>
      <c r="Y53" s="2881"/>
      <c r="Z53" s="2881"/>
      <c r="AA53" s="2881"/>
      <c r="AB53" s="2881"/>
      <c r="AC53" s="2881"/>
      <c r="AD53" s="2881"/>
      <c r="AE53" s="2881"/>
      <c r="AF53" s="2881"/>
      <c r="AG53" s="2881"/>
      <c r="AH53" s="2881"/>
      <c r="AI53" s="2881"/>
      <c r="AJ53" s="2881"/>
      <c r="AK53" s="2881"/>
      <c r="AL53" s="2881"/>
      <c r="AM53" s="2881"/>
      <c r="AN53" s="2881"/>
      <c r="AO53" s="2881"/>
      <c r="AP53" s="2881"/>
      <c r="AQ53" s="2881"/>
      <c r="AR53" s="2881"/>
    </row>
    <row r="54" spans="1:44" ht="14.25">
      <c r="A54" s="1914" t="s">
        <v>1932</v>
      </c>
      <c r="B54" s="80">
        <v>30</v>
      </c>
      <c r="C54" s="2870">
        <v>30</v>
      </c>
      <c r="D54" s="2886"/>
      <c r="E54" s="2883"/>
      <c r="F54" s="2883"/>
      <c r="G54" s="2883"/>
      <c r="H54" s="2883"/>
      <c r="I54" s="2883"/>
      <c r="J54" s="2883"/>
      <c r="K54" s="2882"/>
      <c r="L54" s="2882"/>
      <c r="M54" s="2881"/>
      <c r="N54" s="2881"/>
      <c r="O54" s="2881"/>
      <c r="P54" s="2881"/>
      <c r="Q54" s="2881"/>
      <c r="R54" s="2881"/>
      <c r="S54" s="2881"/>
      <c r="T54" s="2881"/>
      <c r="U54" s="2881"/>
      <c r="V54" s="2881"/>
      <c r="W54" s="2881"/>
      <c r="X54" s="2881"/>
      <c r="Y54" s="2881"/>
      <c r="Z54" s="2881"/>
      <c r="AA54" s="2881"/>
      <c r="AB54" s="2881"/>
      <c r="AC54" s="2881"/>
      <c r="AD54" s="2881"/>
      <c r="AE54" s="2881"/>
      <c r="AF54" s="2881"/>
      <c r="AG54" s="2881"/>
      <c r="AH54" s="2881"/>
      <c r="AI54" s="2881"/>
      <c r="AJ54" s="2881"/>
      <c r="AK54" s="2881"/>
      <c r="AL54" s="2881"/>
      <c r="AM54" s="2881"/>
      <c r="AN54" s="2881"/>
      <c r="AO54" s="2881"/>
      <c r="AP54" s="2881"/>
      <c r="AQ54" s="2881"/>
      <c r="AR54" s="2881"/>
    </row>
    <row r="55" spans="1:44" ht="14.25">
      <c r="A55" s="1914" t="s">
        <v>1933</v>
      </c>
      <c r="B55" s="80">
        <v>24</v>
      </c>
      <c r="C55" s="2870">
        <v>24</v>
      </c>
      <c r="D55" s="2886"/>
      <c r="E55" s="2883"/>
      <c r="F55" s="2883"/>
      <c r="G55" s="2883"/>
      <c r="H55" s="2883"/>
      <c r="I55" s="2884"/>
      <c r="J55" s="2883"/>
      <c r="K55" s="2882"/>
      <c r="L55" s="2882"/>
      <c r="M55" s="2881"/>
      <c r="N55" s="2881"/>
      <c r="O55" s="2881"/>
      <c r="P55" s="2881"/>
      <c r="Q55" s="2881"/>
      <c r="R55" s="2881"/>
      <c r="S55" s="2881"/>
      <c r="T55" s="2881"/>
      <c r="U55" s="2881"/>
      <c r="V55" s="2881"/>
      <c r="W55" s="2881"/>
      <c r="X55" s="2881"/>
      <c r="Y55" s="2881"/>
      <c r="Z55" s="2881"/>
      <c r="AA55" s="2881"/>
      <c r="AB55" s="2881"/>
      <c r="AC55" s="2881"/>
      <c r="AD55" s="2881"/>
      <c r="AE55" s="2881"/>
      <c r="AF55" s="2881"/>
      <c r="AG55" s="2881"/>
      <c r="AH55" s="2881"/>
      <c r="AI55" s="2881"/>
      <c r="AJ55" s="2881"/>
      <c r="AK55" s="2881"/>
      <c r="AL55" s="2881"/>
      <c r="AM55" s="2881"/>
      <c r="AN55" s="2881"/>
      <c r="AO55" s="2881"/>
      <c r="AP55" s="2881"/>
      <c r="AQ55" s="2881"/>
      <c r="AR55" s="2881"/>
    </row>
    <row r="56" spans="1:44" ht="14.25">
      <c r="A56" s="1914" t="s">
        <v>1934</v>
      </c>
      <c r="B56" s="80">
        <v>18</v>
      </c>
      <c r="C56" s="2870">
        <v>18</v>
      </c>
      <c r="D56" s="2886"/>
      <c r="E56" s="2883"/>
      <c r="F56" s="2883"/>
      <c r="G56" s="2883"/>
      <c r="H56" s="2883"/>
      <c r="I56" s="2883"/>
      <c r="J56" s="2883"/>
      <c r="K56" s="2882"/>
      <c r="L56" s="2882"/>
      <c r="M56" s="2881"/>
      <c r="N56" s="2881"/>
      <c r="O56" s="2881"/>
      <c r="P56" s="2881"/>
      <c r="Q56" s="2881"/>
      <c r="R56" s="2881"/>
      <c r="S56" s="2881"/>
      <c r="T56" s="2881"/>
      <c r="U56" s="2881"/>
      <c r="V56" s="2881"/>
      <c r="W56" s="2881"/>
      <c r="X56" s="2881"/>
      <c r="Y56" s="2881"/>
      <c r="Z56" s="2881"/>
      <c r="AA56" s="2881"/>
      <c r="AB56" s="2881"/>
      <c r="AC56" s="2881"/>
      <c r="AD56" s="2881"/>
      <c r="AE56" s="2881"/>
      <c r="AF56" s="2881"/>
      <c r="AG56" s="2881"/>
      <c r="AH56" s="2881"/>
      <c r="AI56" s="2881"/>
      <c r="AJ56" s="2881"/>
      <c r="AK56" s="2881"/>
      <c r="AL56" s="2881"/>
      <c r="AM56" s="2881"/>
      <c r="AN56" s="2881"/>
      <c r="AO56" s="2881"/>
      <c r="AP56" s="2881"/>
      <c r="AQ56" s="2881"/>
      <c r="AR56" s="2881"/>
    </row>
    <row r="57" spans="1:44" ht="14.25">
      <c r="A57" s="1914" t="s">
        <v>1935</v>
      </c>
      <c r="B57" s="80">
        <v>12</v>
      </c>
      <c r="C57" s="2870">
        <v>12</v>
      </c>
      <c r="D57" s="2886"/>
      <c r="E57" s="2883"/>
      <c r="F57" s="2883"/>
      <c r="G57" s="2883"/>
      <c r="H57" s="2883"/>
      <c r="I57" s="2883"/>
      <c r="J57" s="2883"/>
      <c r="K57" s="2882"/>
      <c r="L57" s="2882"/>
      <c r="M57" s="2881"/>
      <c r="N57" s="2881"/>
      <c r="O57" s="2881"/>
      <c r="P57" s="2881"/>
      <c r="Q57" s="2881"/>
      <c r="R57" s="2881"/>
      <c r="S57" s="2881"/>
      <c r="T57" s="2881"/>
      <c r="U57" s="2881"/>
      <c r="V57" s="2881"/>
      <c r="W57" s="2881"/>
      <c r="X57" s="2881"/>
      <c r="Y57" s="2881"/>
      <c r="Z57" s="2881"/>
      <c r="AA57" s="2881"/>
      <c r="AB57" s="2881"/>
      <c r="AC57" s="2881"/>
      <c r="AD57" s="2881"/>
      <c r="AE57" s="2881"/>
      <c r="AF57" s="2881"/>
      <c r="AG57" s="2881"/>
      <c r="AH57" s="2881"/>
      <c r="AI57" s="2881"/>
      <c r="AJ57" s="2881"/>
      <c r="AK57" s="2881"/>
      <c r="AL57" s="2881"/>
      <c r="AM57" s="2881"/>
      <c r="AN57" s="2881"/>
      <c r="AO57" s="2881"/>
      <c r="AP57" s="2881"/>
      <c r="AQ57" s="2881"/>
      <c r="AR57" s="2881"/>
    </row>
    <row r="58" spans="1:44" ht="14.25">
      <c r="A58" s="1914" t="s">
        <v>1936</v>
      </c>
      <c r="B58" s="80">
        <v>3</v>
      </c>
      <c r="C58" s="2870">
        <v>3</v>
      </c>
      <c r="D58" s="2886"/>
      <c r="E58" s="2883"/>
      <c r="F58" s="2883"/>
      <c r="G58" s="2883"/>
      <c r="H58" s="2883"/>
      <c r="I58" s="2883"/>
      <c r="J58" s="2883"/>
      <c r="K58" s="2882"/>
      <c r="L58" s="2882"/>
      <c r="M58" s="2881"/>
      <c r="N58" s="2881"/>
      <c r="O58" s="2881"/>
      <c r="P58" s="2881"/>
      <c r="Q58" s="2881"/>
      <c r="R58" s="2881"/>
      <c r="S58" s="2881"/>
      <c r="T58" s="2881"/>
      <c r="U58" s="2881"/>
      <c r="V58" s="2881"/>
      <c r="W58" s="2881"/>
      <c r="X58" s="2881"/>
      <c r="Y58" s="2881"/>
      <c r="Z58" s="2881"/>
      <c r="AA58" s="2881"/>
      <c r="AB58" s="2881"/>
      <c r="AC58" s="2881"/>
      <c r="AD58" s="2881"/>
      <c r="AE58" s="2881"/>
      <c r="AF58" s="2881"/>
      <c r="AG58" s="2881"/>
      <c r="AH58" s="2881"/>
      <c r="AI58" s="2881"/>
      <c r="AJ58" s="2881"/>
      <c r="AK58" s="2881"/>
      <c r="AL58" s="2881"/>
      <c r="AM58" s="2881"/>
      <c r="AN58" s="2881"/>
      <c r="AO58" s="2881"/>
      <c r="AP58" s="2881"/>
      <c r="AQ58" s="2881"/>
      <c r="AR58" s="2881"/>
    </row>
    <row r="59" spans="1:44" ht="14.25">
      <c r="A59" s="1914" t="s">
        <v>1937</v>
      </c>
      <c r="B59" s="80">
        <v>1.5</v>
      </c>
      <c r="C59" s="2870">
        <v>1.5</v>
      </c>
      <c r="D59" s="2886"/>
      <c r="E59" s="2883"/>
      <c r="F59" s="2883"/>
      <c r="G59" s="2883"/>
      <c r="H59" s="2883"/>
      <c r="I59" s="2883"/>
      <c r="J59" s="2883"/>
      <c r="K59" s="2882"/>
      <c r="L59" s="2882"/>
      <c r="M59" s="2881"/>
      <c r="N59" s="2881"/>
      <c r="O59" s="2881"/>
      <c r="P59" s="2881"/>
      <c r="Q59" s="2881"/>
      <c r="R59" s="2881"/>
      <c r="S59" s="2881"/>
      <c r="T59" s="2881"/>
      <c r="U59" s="2881"/>
      <c r="V59" s="2881"/>
      <c r="W59" s="2881"/>
      <c r="X59" s="2881"/>
      <c r="Y59" s="2881"/>
      <c r="Z59" s="2881"/>
      <c r="AA59" s="2881"/>
      <c r="AB59" s="2881"/>
      <c r="AC59" s="2881"/>
      <c r="AD59" s="2881"/>
      <c r="AE59" s="2881"/>
      <c r="AF59" s="2881"/>
      <c r="AG59" s="2881"/>
      <c r="AH59" s="2881"/>
      <c r="AI59" s="2881"/>
      <c r="AJ59" s="2881"/>
      <c r="AK59" s="2881"/>
      <c r="AL59" s="2881"/>
      <c r="AM59" s="2881"/>
      <c r="AN59" s="2881"/>
      <c r="AO59" s="2881"/>
      <c r="AP59" s="2881"/>
      <c r="AQ59" s="2881"/>
      <c r="AR59" s="2881"/>
    </row>
    <row r="60" spans="1:44" ht="14.25">
      <c r="A60" s="1914" t="s">
        <v>1938</v>
      </c>
      <c r="B60" s="80"/>
      <c r="C60" s="2883"/>
      <c r="D60" s="2886"/>
      <c r="E60" s="2883"/>
      <c r="F60" s="2883"/>
      <c r="G60" s="2883"/>
      <c r="H60" s="2883"/>
      <c r="I60" s="2883"/>
      <c r="J60" s="2883"/>
      <c r="K60" s="2882"/>
      <c r="L60" s="2882"/>
      <c r="M60" s="2881"/>
      <c r="N60" s="2881"/>
      <c r="O60" s="2881"/>
      <c r="P60" s="2881"/>
      <c r="Q60" s="2881"/>
      <c r="R60" s="2881"/>
      <c r="S60" s="2881"/>
      <c r="T60" s="2881"/>
      <c r="U60" s="2881"/>
      <c r="V60" s="2881"/>
      <c r="W60" s="2881"/>
      <c r="X60" s="2881"/>
      <c r="Y60" s="2881"/>
      <c r="Z60" s="2881"/>
      <c r="AA60" s="2881"/>
      <c r="AB60" s="2881"/>
      <c r="AC60" s="2881"/>
      <c r="AD60" s="2881"/>
      <c r="AE60" s="2881"/>
      <c r="AF60" s="2881"/>
      <c r="AG60" s="2881"/>
      <c r="AH60" s="2881"/>
      <c r="AI60" s="2881"/>
      <c r="AJ60" s="2881"/>
      <c r="AK60" s="2881"/>
      <c r="AL60" s="2881"/>
      <c r="AM60" s="2881"/>
      <c r="AN60" s="2881"/>
      <c r="AO60" s="2881"/>
      <c r="AP60" s="2881"/>
      <c r="AQ60" s="2881"/>
      <c r="AR60" s="2881"/>
    </row>
    <row r="61" spans="1:44" ht="14.25">
      <c r="A61" s="1914" t="s">
        <v>1939</v>
      </c>
      <c r="B61" s="80"/>
      <c r="C61" s="2883"/>
      <c r="D61" s="2886"/>
      <c r="E61" s="2883"/>
      <c r="F61" s="2883"/>
      <c r="G61" s="2883"/>
      <c r="H61" s="2883"/>
      <c r="I61" s="2883"/>
      <c r="J61" s="2883"/>
      <c r="K61" s="2882"/>
      <c r="L61" s="2882"/>
      <c r="M61" s="2881"/>
      <c r="N61" s="2881"/>
      <c r="O61" s="2881"/>
      <c r="P61" s="2881"/>
      <c r="Q61" s="2881"/>
      <c r="R61" s="2881"/>
      <c r="S61" s="2881"/>
      <c r="T61" s="2881"/>
      <c r="U61" s="2881"/>
      <c r="V61" s="2881"/>
      <c r="W61" s="2881"/>
      <c r="X61" s="2881"/>
      <c r="Y61" s="2881"/>
      <c r="Z61" s="2881"/>
      <c r="AA61" s="2881"/>
      <c r="AB61" s="2881"/>
      <c r="AC61" s="2881"/>
      <c r="AD61" s="2881"/>
      <c r="AE61" s="2881"/>
      <c r="AF61" s="2881"/>
      <c r="AG61" s="2881"/>
      <c r="AH61" s="2881"/>
      <c r="AI61" s="2881"/>
      <c r="AJ61" s="2881"/>
      <c r="AK61" s="2881"/>
      <c r="AL61" s="2881"/>
      <c r="AM61" s="2881"/>
      <c r="AN61" s="2881"/>
      <c r="AO61" s="2881"/>
      <c r="AP61" s="2881"/>
      <c r="AQ61" s="2881"/>
      <c r="AR61" s="2881"/>
    </row>
    <row r="62" spans="1:44" ht="14.25">
      <c r="A62" s="1914" t="s">
        <v>1940</v>
      </c>
      <c r="B62" s="80"/>
      <c r="C62" s="2883"/>
      <c r="D62" s="2886"/>
      <c r="E62" s="2883"/>
      <c r="F62" s="2883"/>
      <c r="G62" s="2883"/>
      <c r="H62" s="2883"/>
      <c r="I62" s="2883"/>
      <c r="J62" s="2883"/>
      <c r="K62" s="2882"/>
      <c r="L62" s="2882"/>
      <c r="M62" s="2881"/>
      <c r="N62" s="2881"/>
      <c r="O62" s="2881"/>
      <c r="P62" s="2881"/>
      <c r="Q62" s="2881"/>
      <c r="R62" s="2881"/>
      <c r="S62" s="2881"/>
      <c r="T62" s="2881"/>
      <c r="U62" s="2881"/>
      <c r="V62" s="2881"/>
      <c r="W62" s="2881"/>
      <c r="X62" s="2881"/>
      <c r="Y62" s="2881"/>
      <c r="Z62" s="2881"/>
      <c r="AA62" s="2881"/>
      <c r="AB62" s="2881"/>
      <c r="AC62" s="2881"/>
      <c r="AD62" s="2881"/>
      <c r="AE62" s="2881"/>
      <c r="AF62" s="2881"/>
      <c r="AG62" s="2881"/>
      <c r="AH62" s="2881"/>
      <c r="AI62" s="2881"/>
      <c r="AJ62" s="2881"/>
      <c r="AK62" s="2881"/>
      <c r="AL62" s="2881"/>
      <c r="AM62" s="2881"/>
      <c r="AN62" s="2881"/>
      <c r="AO62" s="2881"/>
      <c r="AP62" s="2881"/>
      <c r="AQ62" s="2881"/>
      <c r="AR62" s="2881"/>
    </row>
    <row r="63" spans="1:44" ht="15" thickBot="1">
      <c r="A63" s="1915" t="s">
        <v>1941</v>
      </c>
      <c r="B63" s="130"/>
      <c r="C63" s="2883"/>
      <c r="D63" s="2886"/>
      <c r="E63" s="2883"/>
      <c r="F63" s="2883"/>
      <c r="G63" s="2883"/>
      <c r="H63" s="2883"/>
      <c r="I63" s="2883"/>
      <c r="J63" s="2883"/>
      <c r="K63" s="2882"/>
      <c r="L63" s="2882"/>
      <c r="M63" s="2881"/>
      <c r="N63" s="2881"/>
      <c r="O63" s="2881"/>
      <c r="P63" s="2881"/>
      <c r="Q63" s="2881"/>
      <c r="R63" s="2881"/>
      <c r="S63" s="2881"/>
      <c r="T63" s="2881"/>
      <c r="U63" s="2881"/>
      <c r="V63" s="2881"/>
      <c r="W63" s="2881"/>
      <c r="X63" s="2881"/>
      <c r="Y63" s="2881"/>
      <c r="Z63" s="2881"/>
      <c r="AA63" s="2881"/>
      <c r="AB63" s="2881"/>
      <c r="AC63" s="2881"/>
      <c r="AD63" s="2881"/>
      <c r="AE63" s="2881"/>
      <c r="AF63" s="2881"/>
      <c r="AG63" s="2881"/>
      <c r="AH63" s="2881"/>
      <c r="AI63" s="2881"/>
      <c r="AJ63" s="2881"/>
      <c r="AK63" s="2881"/>
      <c r="AL63" s="2881"/>
      <c r="AM63" s="2881"/>
      <c r="AN63" s="2881"/>
      <c r="AO63" s="2881"/>
      <c r="AP63" s="2881"/>
      <c r="AQ63" s="2881"/>
      <c r="AR63" s="2881"/>
    </row>
    <row r="64" spans="1:44" s="898" customFormat="1">
      <c r="A64" s="2873"/>
      <c r="B64" s="2881"/>
      <c r="C64" s="2881"/>
      <c r="D64" s="2885"/>
      <c r="E64" s="2881"/>
      <c r="F64" s="2881"/>
      <c r="G64" s="2881"/>
      <c r="H64" s="2881"/>
      <c r="I64" s="2881"/>
      <c r="J64" s="2881"/>
      <c r="K64" s="2882"/>
      <c r="L64" s="2882"/>
      <c r="M64" s="2881"/>
      <c r="N64" s="2881"/>
      <c r="O64" s="2881"/>
      <c r="P64" s="2881"/>
      <c r="Q64" s="2881"/>
      <c r="R64" s="2881"/>
      <c r="S64" s="2881"/>
      <c r="T64" s="2881"/>
      <c r="U64" s="2881"/>
      <c r="V64" s="2881"/>
      <c r="W64" s="2881"/>
      <c r="X64" s="2881"/>
      <c r="Y64" s="2881"/>
      <c r="Z64" s="2881"/>
      <c r="AA64" s="2881"/>
      <c r="AB64" s="2881"/>
      <c r="AC64" s="2881"/>
      <c r="AD64" s="2881"/>
      <c r="AE64" s="2881"/>
      <c r="AF64" s="2881"/>
      <c r="AG64" s="2881"/>
      <c r="AH64" s="2881"/>
      <c r="AI64" s="2881"/>
      <c r="AJ64" s="2881"/>
      <c r="AK64" s="2881"/>
      <c r="AL64" s="2881"/>
      <c r="AM64" s="2881"/>
      <c r="AN64" s="2881"/>
      <c r="AO64" s="2881"/>
      <c r="AP64" s="2881"/>
      <c r="AQ64" s="2881"/>
      <c r="AR64" s="2881"/>
    </row>
    <row r="65" spans="1:44" s="898" customFormat="1">
      <c r="A65" s="2873"/>
      <c r="B65" s="2881"/>
      <c r="C65" s="2881"/>
      <c r="D65" s="2885"/>
      <c r="E65" s="2881"/>
      <c r="F65" s="2881"/>
      <c r="G65" s="2881"/>
      <c r="H65" s="2881"/>
      <c r="I65" s="2881"/>
      <c r="J65" s="2881"/>
      <c r="K65" s="2882"/>
      <c r="L65" s="2882"/>
      <c r="M65" s="2881"/>
      <c r="N65" s="2881"/>
      <c r="O65" s="2881"/>
      <c r="P65" s="2881"/>
      <c r="Q65" s="2881"/>
      <c r="R65" s="2881"/>
      <c r="S65" s="2881"/>
      <c r="T65" s="2881"/>
      <c r="U65" s="2881"/>
      <c r="V65" s="2881"/>
      <c r="W65" s="2881"/>
      <c r="X65" s="2881"/>
      <c r="Y65" s="2881"/>
      <c r="Z65" s="2881"/>
      <c r="AA65" s="2881"/>
      <c r="AB65" s="2881"/>
      <c r="AC65" s="2881"/>
      <c r="AD65" s="2881"/>
      <c r="AE65" s="2881"/>
      <c r="AF65" s="2881"/>
      <c r="AG65" s="2881"/>
      <c r="AH65" s="2881"/>
      <c r="AI65" s="2881"/>
      <c r="AJ65" s="2881"/>
      <c r="AK65" s="2881"/>
      <c r="AL65" s="2881"/>
      <c r="AM65" s="2881"/>
      <c r="AN65" s="2881"/>
      <c r="AO65" s="2881"/>
      <c r="AP65" s="2881"/>
      <c r="AQ65" s="2881"/>
      <c r="AR65" s="2881"/>
    </row>
    <row r="66" spans="1:44" s="898" customFormat="1">
      <c r="A66" s="2873"/>
      <c r="B66" s="2881"/>
      <c r="C66" s="2881"/>
      <c r="D66" s="2885"/>
      <c r="E66" s="2881"/>
      <c r="F66" s="2881"/>
      <c r="G66" s="2881"/>
      <c r="H66" s="2881"/>
      <c r="I66" s="2881"/>
      <c r="J66" s="2881"/>
      <c r="K66" s="2882"/>
      <c r="L66" s="2882"/>
      <c r="M66" s="2881"/>
      <c r="N66" s="2881"/>
      <c r="O66" s="2881"/>
      <c r="P66" s="2881"/>
      <c r="Q66" s="2881"/>
      <c r="R66" s="2881"/>
      <c r="S66" s="2881"/>
      <c r="T66" s="2881"/>
      <c r="U66" s="2881"/>
      <c r="V66" s="2881"/>
      <c r="W66" s="2881"/>
      <c r="X66" s="2881"/>
      <c r="Y66" s="2881"/>
      <c r="Z66" s="2881"/>
      <c r="AA66" s="2881"/>
      <c r="AB66" s="2881"/>
      <c r="AC66" s="2881"/>
      <c r="AD66" s="2881"/>
      <c r="AE66" s="2881"/>
      <c r="AF66" s="2881"/>
      <c r="AG66" s="2881"/>
      <c r="AH66" s="2881"/>
      <c r="AI66" s="2881"/>
      <c r="AJ66" s="2881"/>
      <c r="AK66" s="2881"/>
      <c r="AL66" s="2881"/>
      <c r="AM66" s="2881"/>
      <c r="AN66" s="2881"/>
      <c r="AO66" s="2881"/>
      <c r="AP66" s="2881"/>
      <c r="AQ66" s="2881"/>
      <c r="AR66" s="2881"/>
    </row>
    <row r="67" spans="1:44" s="898" customFormat="1">
      <c r="A67" s="2873"/>
      <c r="B67" s="2881"/>
      <c r="C67" s="2881"/>
      <c r="D67" s="2885"/>
      <c r="E67" s="2881"/>
      <c r="F67" s="2881"/>
      <c r="G67" s="2881"/>
      <c r="H67" s="2881"/>
      <c r="I67" s="2881"/>
      <c r="J67" s="2881"/>
      <c r="K67" s="2882"/>
      <c r="L67" s="2882"/>
      <c r="M67" s="2881"/>
      <c r="N67" s="2881"/>
      <c r="O67" s="2881"/>
      <c r="P67" s="2881"/>
      <c r="Q67" s="2881"/>
      <c r="R67" s="2881"/>
      <c r="S67" s="2881"/>
      <c r="T67" s="2881"/>
      <c r="U67" s="2881"/>
      <c r="V67" s="2881"/>
      <c r="W67" s="2881"/>
      <c r="X67" s="2881"/>
      <c r="Y67" s="2881"/>
      <c r="Z67" s="2881"/>
      <c r="AA67" s="2881"/>
      <c r="AB67" s="2881"/>
      <c r="AC67" s="2881"/>
      <c r="AD67" s="2881"/>
      <c r="AE67" s="2881"/>
      <c r="AF67" s="2881"/>
      <c r="AG67" s="2881"/>
      <c r="AH67" s="2881"/>
      <c r="AI67" s="2881"/>
      <c r="AJ67" s="2881"/>
      <c r="AK67" s="2881"/>
      <c r="AL67" s="2881"/>
      <c r="AM67" s="2881"/>
      <c r="AN67" s="2881"/>
      <c r="AO67" s="2881"/>
      <c r="AP67" s="2881"/>
      <c r="AQ67" s="2881"/>
      <c r="AR67" s="2881"/>
    </row>
    <row r="68" spans="1:44" s="898" customFormat="1">
      <c r="A68" s="2873"/>
      <c r="B68" s="2881"/>
      <c r="C68" s="2881"/>
      <c r="D68" s="2885"/>
      <c r="E68" s="2881"/>
      <c r="F68" s="2881"/>
      <c r="G68" s="2881"/>
      <c r="H68" s="2881"/>
      <c r="I68" s="2881"/>
      <c r="J68" s="2881"/>
      <c r="K68" s="2882"/>
      <c r="L68" s="2882"/>
      <c r="M68" s="2881"/>
      <c r="N68" s="2881"/>
      <c r="O68" s="2881"/>
      <c r="P68" s="2881"/>
      <c r="Q68" s="2881"/>
      <c r="R68" s="2881"/>
      <c r="S68" s="2881"/>
      <c r="T68" s="2881"/>
      <c r="U68" s="2881"/>
      <c r="V68" s="2881"/>
      <c r="W68" s="2881"/>
      <c r="X68" s="2881"/>
      <c r="Y68" s="2881"/>
      <c r="Z68" s="2881"/>
      <c r="AA68" s="2881"/>
      <c r="AB68" s="2881"/>
      <c r="AC68" s="2881"/>
      <c r="AD68" s="2881"/>
      <c r="AE68" s="2881"/>
      <c r="AF68" s="2881"/>
      <c r="AG68" s="2881"/>
      <c r="AH68" s="2881"/>
      <c r="AI68" s="2881"/>
      <c r="AJ68" s="2881"/>
      <c r="AK68" s="2881"/>
      <c r="AL68" s="2881"/>
      <c r="AM68" s="2881"/>
      <c r="AN68" s="2881"/>
      <c r="AO68" s="2881"/>
      <c r="AP68" s="2881"/>
      <c r="AQ68" s="2881"/>
      <c r="AR68" s="2881"/>
    </row>
    <row r="69" spans="1:44" s="898" customFormat="1">
      <c r="A69" s="1916"/>
      <c r="D69" s="1917"/>
      <c r="K69" s="734"/>
      <c r="L69" s="734"/>
    </row>
    <row r="70" spans="1:44" s="898" customFormat="1">
      <c r="A70" s="1916"/>
      <c r="D70" s="1917"/>
      <c r="K70" s="734"/>
      <c r="L70" s="734"/>
    </row>
    <row r="71" spans="1:44" s="898" customFormat="1">
      <c r="A71" s="1916"/>
      <c r="D71" s="1917"/>
      <c r="K71" s="734"/>
      <c r="L71" s="734"/>
    </row>
    <row r="72" spans="1:44" s="898" customFormat="1">
      <c r="A72" s="1916"/>
      <c r="D72" s="1917"/>
      <c r="K72" s="734"/>
      <c r="L72" s="734"/>
    </row>
    <row r="73" spans="1:44" s="898" customFormat="1">
      <c r="A73" s="1916"/>
      <c r="D73" s="1917"/>
      <c r="K73" s="734"/>
      <c r="L73" s="734"/>
    </row>
    <row r="74" spans="1:44" s="898" customFormat="1">
      <c r="A74" s="1916"/>
      <c r="D74" s="1917"/>
      <c r="K74" s="734"/>
      <c r="L74" s="734"/>
    </row>
    <row r="75" spans="1:44" s="898" customFormat="1">
      <c r="A75" s="1916"/>
      <c r="D75" s="1917"/>
      <c r="K75" s="734"/>
      <c r="L75" s="734"/>
    </row>
    <row r="76" spans="1:44" s="898" customFormat="1">
      <c r="A76" s="1916"/>
      <c r="D76" s="1917"/>
      <c r="K76" s="734"/>
      <c r="L76" s="734"/>
    </row>
    <row r="77" spans="1:44" s="898" customFormat="1">
      <c r="A77" s="1916"/>
      <c r="D77" s="1917"/>
      <c r="K77" s="734"/>
      <c r="L77" s="734"/>
    </row>
    <row r="78" spans="1:44" s="898" customFormat="1">
      <c r="A78" s="1916"/>
      <c r="D78" s="1917"/>
      <c r="K78" s="734"/>
      <c r="L78" s="734"/>
    </row>
    <row r="79" spans="1:44" s="898" customFormat="1">
      <c r="A79" s="1916"/>
      <c r="D79" s="1917"/>
      <c r="K79" s="734"/>
      <c r="L79" s="734"/>
    </row>
    <row r="80" spans="1:44" s="898" customFormat="1">
      <c r="A80" s="1916"/>
      <c r="D80" s="1917"/>
      <c r="K80" s="734"/>
      <c r="L80" s="734"/>
    </row>
    <row r="81" spans="1:12" s="898" customFormat="1">
      <c r="A81" s="1916"/>
      <c r="D81" s="1917"/>
      <c r="K81" s="734"/>
      <c r="L81" s="734"/>
    </row>
    <row r="82" spans="1:12" s="898" customFormat="1">
      <c r="A82" s="1916"/>
      <c r="D82" s="1917"/>
      <c r="K82" s="734"/>
      <c r="L82" s="734"/>
    </row>
    <row r="83" spans="1:12" s="898" customFormat="1">
      <c r="A83" s="1916"/>
      <c r="D83" s="1917"/>
      <c r="K83" s="734"/>
      <c r="L83" s="734"/>
    </row>
    <row r="84" spans="1:12" s="898" customFormat="1">
      <c r="A84" s="1916"/>
      <c r="D84" s="1917"/>
      <c r="K84" s="734"/>
      <c r="L84" s="734"/>
    </row>
    <row r="85" spans="1:12" s="898" customFormat="1">
      <c r="A85" s="1916"/>
      <c r="D85" s="1917"/>
      <c r="K85" s="734"/>
      <c r="L85" s="734"/>
    </row>
    <row r="86" spans="1:12" s="898" customFormat="1">
      <c r="A86" s="1916"/>
      <c r="D86" s="1917"/>
      <c r="K86" s="734"/>
      <c r="L86" s="734"/>
    </row>
    <row r="87" spans="1:12" s="898" customFormat="1">
      <c r="A87" s="1916"/>
      <c r="D87" s="1917"/>
      <c r="K87" s="734"/>
      <c r="L87" s="734"/>
    </row>
    <row r="88" spans="1:12" s="898" customFormat="1">
      <c r="A88" s="1916"/>
      <c r="D88" s="1917"/>
      <c r="K88" s="734"/>
      <c r="L88" s="734"/>
    </row>
    <row r="89" spans="1:12" s="898" customFormat="1">
      <c r="A89" s="1916"/>
      <c r="D89" s="1917"/>
      <c r="K89" s="734"/>
      <c r="L89" s="734"/>
    </row>
    <row r="90" spans="1:12" s="898" customFormat="1">
      <c r="A90" s="1916"/>
      <c r="D90" s="1917"/>
      <c r="K90" s="734"/>
      <c r="L90" s="734"/>
    </row>
    <row r="91" spans="1:12" s="898" customFormat="1">
      <c r="A91" s="1916"/>
      <c r="D91" s="1917"/>
      <c r="K91" s="734"/>
      <c r="L91" s="734"/>
    </row>
    <row r="92" spans="1:12" s="898" customFormat="1">
      <c r="A92" s="1916"/>
      <c r="D92" s="1917"/>
      <c r="K92" s="734"/>
      <c r="L92" s="734"/>
    </row>
    <row r="93" spans="1:12" s="898" customFormat="1">
      <c r="A93" s="1916"/>
      <c r="D93" s="1917"/>
      <c r="K93" s="734"/>
      <c r="L93" s="734"/>
    </row>
    <row r="94" spans="1:12" s="898" customFormat="1">
      <c r="A94" s="1916"/>
      <c r="D94" s="1917"/>
      <c r="K94" s="734"/>
      <c r="L94" s="734"/>
    </row>
    <row r="95" spans="1:12" s="898" customFormat="1">
      <c r="A95" s="1916"/>
      <c r="D95" s="1917"/>
      <c r="K95" s="734"/>
      <c r="L95" s="734"/>
    </row>
    <row r="96" spans="1:12" s="898" customFormat="1">
      <c r="A96" s="1916"/>
      <c r="D96" s="1917"/>
      <c r="K96" s="734"/>
      <c r="L96" s="734"/>
    </row>
    <row r="97" spans="1:12" s="898" customFormat="1">
      <c r="A97" s="1916"/>
      <c r="D97" s="1917"/>
      <c r="K97" s="734"/>
      <c r="L97" s="734"/>
    </row>
    <row r="98" spans="1:12" s="898" customFormat="1">
      <c r="A98" s="1916"/>
      <c r="D98" s="1917"/>
      <c r="K98" s="734"/>
      <c r="L98" s="734"/>
    </row>
    <row r="99" spans="1:12" s="898" customFormat="1">
      <c r="A99" s="1916"/>
      <c r="D99" s="1917"/>
      <c r="K99" s="734"/>
      <c r="L99" s="734"/>
    </row>
    <row r="100" spans="1:12" s="898" customFormat="1">
      <c r="A100" s="1916"/>
      <c r="D100" s="1917"/>
      <c r="K100" s="734"/>
      <c r="L100" s="734"/>
    </row>
    <row r="101" spans="1:12" s="898" customFormat="1">
      <c r="A101" s="1916"/>
      <c r="D101" s="1917"/>
      <c r="K101" s="734"/>
      <c r="L101" s="734"/>
    </row>
    <row r="102" spans="1:12" s="898" customFormat="1">
      <c r="A102" s="1916"/>
      <c r="D102" s="1917"/>
      <c r="K102" s="734"/>
      <c r="L102" s="734"/>
    </row>
    <row r="103" spans="1:12" s="898" customFormat="1">
      <c r="A103" s="1916"/>
      <c r="D103" s="1917"/>
      <c r="K103" s="734"/>
      <c r="L103" s="734"/>
    </row>
    <row r="104" spans="1:12" s="898" customFormat="1">
      <c r="A104" s="1916"/>
      <c r="D104" s="1917"/>
      <c r="K104" s="734"/>
      <c r="L104" s="734"/>
    </row>
    <row r="105" spans="1:12" s="898" customFormat="1">
      <c r="A105" s="1916"/>
      <c r="D105" s="1917"/>
      <c r="K105" s="734"/>
      <c r="L105" s="734"/>
    </row>
    <row r="106" spans="1:12" s="898" customFormat="1">
      <c r="A106" s="1916"/>
      <c r="D106" s="1917"/>
      <c r="K106" s="734"/>
      <c r="L106" s="734"/>
    </row>
    <row r="107" spans="1:12" s="898" customFormat="1">
      <c r="A107" s="1916"/>
      <c r="D107" s="1917"/>
      <c r="K107" s="734"/>
      <c r="L107" s="734"/>
    </row>
    <row r="108" spans="1:12" s="898" customFormat="1">
      <c r="A108" s="1916"/>
      <c r="D108" s="1917"/>
      <c r="K108" s="734"/>
      <c r="L108" s="734"/>
    </row>
    <row r="109" spans="1:12" s="898" customFormat="1">
      <c r="A109" s="1916"/>
      <c r="D109" s="1917"/>
      <c r="K109" s="734"/>
      <c r="L109" s="734"/>
    </row>
    <row r="110" spans="1:12" s="898" customFormat="1">
      <c r="A110" s="1916"/>
      <c r="D110" s="1917"/>
      <c r="K110" s="734"/>
      <c r="L110" s="734"/>
    </row>
    <row r="111" spans="1:12" s="898" customFormat="1">
      <c r="A111" s="1916"/>
      <c r="D111" s="1917"/>
      <c r="K111" s="734"/>
      <c r="L111" s="734"/>
    </row>
    <row r="112" spans="1:12" s="898" customFormat="1">
      <c r="A112" s="1916"/>
      <c r="D112" s="1917"/>
      <c r="K112" s="734"/>
      <c r="L112" s="734"/>
    </row>
    <row r="113" spans="1:12" s="898" customFormat="1">
      <c r="A113" s="1916"/>
      <c r="D113" s="1917"/>
      <c r="K113" s="734"/>
      <c r="L113" s="734"/>
    </row>
    <row r="114" spans="1:12" s="898" customFormat="1">
      <c r="A114" s="1916"/>
      <c r="D114" s="1917"/>
      <c r="K114" s="734"/>
      <c r="L114" s="734"/>
    </row>
    <row r="115" spans="1:12" s="898" customFormat="1">
      <c r="A115" s="1916"/>
      <c r="D115" s="1917"/>
      <c r="K115" s="734"/>
      <c r="L115" s="734"/>
    </row>
    <row r="116" spans="1:12" s="898" customFormat="1">
      <c r="A116" s="1916"/>
      <c r="D116" s="1917"/>
      <c r="K116" s="734"/>
      <c r="L116" s="734"/>
    </row>
    <row r="117" spans="1:12" s="898" customFormat="1">
      <c r="A117" s="1916"/>
      <c r="D117" s="1917"/>
      <c r="K117" s="734"/>
      <c r="L117" s="734"/>
    </row>
    <row r="118" spans="1:12" s="898" customFormat="1">
      <c r="A118" s="1916"/>
      <c r="D118" s="1917"/>
      <c r="K118" s="734"/>
      <c r="L118" s="734"/>
    </row>
    <row r="119" spans="1:12" s="898" customFormat="1">
      <c r="A119" s="1916"/>
      <c r="D119" s="1917"/>
      <c r="K119" s="734"/>
      <c r="L119" s="734"/>
    </row>
    <row r="120" spans="1:12" s="898" customFormat="1">
      <c r="A120" s="1916"/>
      <c r="D120" s="1917"/>
      <c r="K120" s="734"/>
      <c r="L120" s="734"/>
    </row>
    <row r="121" spans="1:12" s="898" customFormat="1">
      <c r="A121" s="1916"/>
      <c r="D121" s="1917"/>
      <c r="K121" s="734"/>
      <c r="L121" s="734"/>
    </row>
    <row r="122" spans="1:12" s="898" customFormat="1">
      <c r="A122" s="1916"/>
      <c r="D122" s="1917"/>
      <c r="K122" s="734"/>
      <c r="L122" s="734"/>
    </row>
    <row r="123" spans="1:12" s="898" customFormat="1">
      <c r="A123" s="1916"/>
      <c r="D123" s="1917"/>
      <c r="K123" s="734"/>
      <c r="L123" s="734"/>
    </row>
    <row r="124" spans="1:12" s="898" customFormat="1">
      <c r="A124" s="1916"/>
      <c r="D124" s="1917"/>
      <c r="K124" s="734"/>
      <c r="L124" s="734"/>
    </row>
    <row r="125" spans="1:12" s="898" customFormat="1">
      <c r="A125" s="1916"/>
      <c r="D125" s="1917"/>
      <c r="K125" s="734"/>
      <c r="L125" s="734"/>
    </row>
    <row r="126" spans="1:12" s="898" customFormat="1">
      <c r="A126" s="1916"/>
      <c r="D126" s="1917"/>
      <c r="K126" s="734"/>
      <c r="L126" s="734"/>
    </row>
    <row r="127" spans="1:12" s="898" customFormat="1">
      <c r="A127" s="1916"/>
      <c r="D127" s="1917"/>
      <c r="K127" s="734"/>
      <c r="L127" s="734"/>
    </row>
    <row r="128" spans="1:12" s="898" customFormat="1">
      <c r="A128" s="1916"/>
      <c r="D128" s="1917"/>
      <c r="K128" s="734"/>
      <c r="L128" s="734"/>
    </row>
    <row r="129" spans="1:12" s="898" customFormat="1">
      <c r="A129" s="1916"/>
      <c r="D129" s="1917"/>
      <c r="K129" s="734"/>
      <c r="L129" s="734"/>
    </row>
    <row r="130" spans="1:12" s="898" customFormat="1">
      <c r="A130" s="1916"/>
      <c r="D130" s="1917"/>
      <c r="K130" s="734"/>
      <c r="L130" s="734"/>
    </row>
    <row r="131" spans="1:12" s="898" customFormat="1">
      <c r="A131" s="1916"/>
      <c r="D131" s="1917"/>
      <c r="K131" s="734"/>
      <c r="L131" s="734"/>
    </row>
    <row r="132" spans="1:12" s="898" customFormat="1">
      <c r="A132" s="1916"/>
      <c r="D132" s="1917"/>
      <c r="K132" s="734"/>
      <c r="L132" s="734"/>
    </row>
    <row r="133" spans="1:12" s="898" customFormat="1">
      <c r="A133" s="1916"/>
      <c r="D133" s="1917"/>
      <c r="K133" s="734"/>
      <c r="L133" s="734"/>
    </row>
    <row r="134" spans="1:12" s="1856" customFormat="1">
      <c r="A134" s="1918"/>
      <c r="D134" s="1919"/>
      <c r="K134" s="27"/>
      <c r="L134" s="27"/>
    </row>
    <row r="135" spans="1:12" s="1856" customFormat="1">
      <c r="A135" s="1918"/>
      <c r="D135" s="1919"/>
      <c r="K135" s="27"/>
      <c r="L135" s="27"/>
    </row>
    <row r="136" spans="1:12" s="1856" customFormat="1">
      <c r="A136" s="1918"/>
      <c r="D136" s="1919"/>
      <c r="K136" s="27"/>
      <c r="L136" s="27"/>
    </row>
    <row r="137" spans="1:12" s="1856" customFormat="1">
      <c r="A137" s="1918"/>
      <c r="D137" s="1919"/>
      <c r="K137" s="27"/>
      <c r="L137" s="27"/>
    </row>
    <row r="138" spans="1:12" s="1856" customFormat="1">
      <c r="A138" s="1918"/>
      <c r="D138" s="1919"/>
      <c r="K138" s="27"/>
      <c r="L138" s="27"/>
    </row>
    <row r="139" spans="1:12" s="1856" customFormat="1">
      <c r="A139" s="1918"/>
      <c r="D139" s="1919"/>
      <c r="K139" s="27"/>
      <c r="L139" s="27"/>
    </row>
    <row r="140" spans="1:12" s="1856" customFormat="1">
      <c r="A140" s="1918"/>
      <c r="D140" s="1919"/>
      <c r="K140" s="27"/>
      <c r="L140" s="27"/>
    </row>
    <row r="141" spans="1:12" s="1856" customFormat="1">
      <c r="A141" s="1918"/>
      <c r="D141" s="1919"/>
      <c r="K141" s="27"/>
      <c r="L141" s="27"/>
    </row>
    <row r="142" spans="1:12" s="1856" customFormat="1">
      <c r="A142" s="1918"/>
      <c r="D142" s="1919"/>
      <c r="K142" s="27"/>
      <c r="L142" s="27"/>
    </row>
    <row r="143" spans="1:12" s="1856" customFormat="1">
      <c r="A143" s="1918"/>
      <c r="D143" s="1919"/>
      <c r="K143" s="27"/>
      <c r="L143" s="27"/>
    </row>
    <row r="144" spans="1:12" s="1856" customFormat="1">
      <c r="A144" s="1918"/>
      <c r="D144" s="1919"/>
      <c r="K144" s="27"/>
      <c r="L144" s="27"/>
    </row>
    <row r="145" spans="1:12" s="1856" customFormat="1">
      <c r="A145" s="1918"/>
      <c r="D145" s="1919"/>
      <c r="K145" s="27"/>
      <c r="L145" s="27"/>
    </row>
    <row r="146" spans="1:12" s="1856" customFormat="1">
      <c r="A146" s="1918"/>
      <c r="D146" s="1919"/>
      <c r="K146" s="27"/>
      <c r="L146" s="27"/>
    </row>
    <row r="147" spans="1:12" s="1856" customFormat="1">
      <c r="A147" s="1918"/>
      <c r="D147" s="1919"/>
      <c r="K147" s="27"/>
      <c r="L147" s="27"/>
    </row>
    <row r="148" spans="1:12" s="1856" customFormat="1">
      <c r="A148" s="1918"/>
      <c r="D148" s="1919"/>
      <c r="K148" s="27"/>
      <c r="L148" s="27"/>
    </row>
    <row r="149" spans="1:12" s="1856" customFormat="1">
      <c r="A149" s="1918"/>
      <c r="D149" s="1919"/>
      <c r="K149" s="27"/>
      <c r="L149" s="27"/>
    </row>
    <row r="150" spans="1:12" s="1856" customFormat="1">
      <c r="A150" s="1918"/>
      <c r="D150" s="1919"/>
      <c r="K150" s="27"/>
      <c r="L150" s="27"/>
    </row>
    <row r="151" spans="1:12" s="1856" customFormat="1">
      <c r="A151" s="1918"/>
      <c r="D151" s="1919"/>
      <c r="K151" s="27"/>
      <c r="L151" s="27"/>
    </row>
    <row r="152" spans="1:12" s="1856" customFormat="1">
      <c r="A152" s="1918"/>
      <c r="D152" s="1919"/>
      <c r="K152" s="27"/>
      <c r="L152" s="27"/>
    </row>
    <row r="153" spans="1:12" s="1856" customFormat="1">
      <c r="A153" s="1918"/>
      <c r="D153" s="1919"/>
      <c r="K153" s="27"/>
      <c r="L153" s="27"/>
    </row>
    <row r="154" spans="1:12" s="1856" customFormat="1">
      <c r="A154" s="1918"/>
      <c r="D154" s="1919"/>
      <c r="K154" s="27"/>
      <c r="L154" s="27"/>
    </row>
    <row r="155" spans="1:12" s="1856" customFormat="1">
      <c r="A155" s="1918"/>
      <c r="D155" s="1919"/>
      <c r="K155" s="27"/>
      <c r="L155" s="27"/>
    </row>
    <row r="156" spans="1:12" s="1856" customFormat="1">
      <c r="A156" s="1918"/>
      <c r="D156" s="1919"/>
      <c r="K156" s="27"/>
      <c r="L156" s="27"/>
    </row>
    <row r="157" spans="1:12" s="1856" customFormat="1">
      <c r="A157" s="1918"/>
      <c r="D157" s="1919"/>
      <c r="K157" s="27"/>
      <c r="L157" s="27"/>
    </row>
    <row r="158" spans="1:12" s="1856" customFormat="1">
      <c r="A158" s="1918"/>
      <c r="D158" s="1919"/>
      <c r="K158" s="27"/>
      <c r="L158" s="27"/>
    </row>
    <row r="159" spans="1:12" s="1856" customFormat="1">
      <c r="A159" s="1918"/>
      <c r="D159" s="1919"/>
      <c r="K159" s="27"/>
      <c r="L159" s="27"/>
    </row>
    <row r="160" spans="1:12" s="1856" customFormat="1">
      <c r="A160" s="1918"/>
      <c r="D160" s="1919"/>
      <c r="K160" s="27"/>
      <c r="L160" s="27"/>
    </row>
    <row r="161" spans="1:12" s="1856" customFormat="1">
      <c r="A161" s="1918"/>
      <c r="D161" s="1919"/>
      <c r="K161" s="27"/>
      <c r="L161" s="27"/>
    </row>
    <row r="162" spans="1:12" s="1856" customFormat="1">
      <c r="A162" s="1918"/>
      <c r="D162" s="1919"/>
      <c r="K162" s="27"/>
      <c r="L162" s="27"/>
    </row>
    <row r="163" spans="1:12" s="1856" customFormat="1">
      <c r="A163" s="1918"/>
      <c r="D163" s="1919"/>
      <c r="K163" s="27"/>
      <c r="L163" s="27"/>
    </row>
    <row r="164" spans="1:12" s="1856" customFormat="1">
      <c r="A164" s="1918"/>
      <c r="D164" s="1919"/>
      <c r="K164" s="27"/>
      <c r="L164" s="27"/>
    </row>
    <row r="165" spans="1:12" s="1856" customFormat="1">
      <c r="A165" s="1918"/>
      <c r="D165" s="1919"/>
      <c r="K165" s="27"/>
      <c r="L165" s="27"/>
    </row>
    <row r="166" spans="1:12" s="1856" customFormat="1">
      <c r="A166" s="1918"/>
      <c r="D166" s="1919"/>
      <c r="K166" s="27"/>
      <c r="L166" s="27"/>
    </row>
    <row r="167" spans="1:12" s="1856" customFormat="1">
      <c r="A167" s="1918"/>
      <c r="D167" s="1919"/>
      <c r="K167" s="27"/>
      <c r="L167" s="27"/>
    </row>
    <row r="168" spans="1:12" s="1856" customFormat="1">
      <c r="A168" s="1918"/>
      <c r="D168" s="1919"/>
      <c r="K168" s="27"/>
      <c r="L168" s="27"/>
    </row>
    <row r="169" spans="1:12" s="1856" customFormat="1">
      <c r="A169" s="1918"/>
      <c r="D169" s="1919"/>
      <c r="K169" s="27"/>
      <c r="L169" s="27"/>
    </row>
    <row r="170" spans="1:12" s="1856" customFormat="1">
      <c r="A170" s="1918"/>
      <c r="D170" s="1919"/>
      <c r="K170" s="27"/>
      <c r="L170" s="27"/>
    </row>
    <row r="171" spans="1:12" s="1856" customFormat="1">
      <c r="A171" s="1918"/>
      <c r="D171" s="1919"/>
      <c r="K171" s="27"/>
      <c r="L171" s="27"/>
    </row>
    <row r="172" spans="1:12" s="1856" customFormat="1">
      <c r="A172" s="1918"/>
      <c r="D172" s="1919"/>
      <c r="K172" s="27"/>
      <c r="L172" s="27"/>
    </row>
    <row r="173" spans="1:12" s="1856" customFormat="1">
      <c r="A173" s="1918"/>
      <c r="D173" s="1919"/>
      <c r="K173" s="27"/>
      <c r="L173" s="27"/>
    </row>
    <row r="174" spans="1:12" s="1856" customFormat="1">
      <c r="A174" s="1918"/>
      <c r="D174" s="1919"/>
      <c r="K174" s="27"/>
      <c r="L174" s="27"/>
    </row>
  </sheetData>
  <sheetProtection password="CEE9" sheet="1" objects="1" scenarios="1" formatCells="0" formatColumns="0" formatRows="0"/>
  <phoneticPr fontId="3" type="noConversion"/>
  <dataValidations count="7">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N5">
      <formula1>"工程进度,成新度,工程进度/成新度"</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B14:B15">
      <formula1>类别</formula1>
    </dataValidation>
    <dataValidation type="list" allowBlank="1" showInputMessage="1" showErrorMessage="1" sqref="AN6:AN13">
      <formula1>估价方法</formula1>
    </dataValidation>
  </dataValidations>
  <pageMargins left="0.7" right="0.7" top="0.75" bottom="0.75" header="0.3" footer="0.3"/>
  <pageSetup paperSize="9" scale="25" fitToHeight="0" orientation="portrait" r:id="rId1"/>
  <ignoredErrors>
    <ignoredError sqref="G16:H16" formulaRange="1"/>
  </ignoredError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Normal="80" zoomScaleSheetLayoutView="100" workbookViewId="0">
      <pane xSplit="1" ySplit="2" topLeftCell="B3" activePane="bottomRight" state="frozen"/>
      <selection activeCell="C50" sqref="C50"/>
      <selection pane="topRight" activeCell="C50" sqref="C50"/>
      <selection pane="bottomLeft" activeCell="C50" sqref="C50"/>
      <selection pane="bottomRight" activeCell="C3" sqref="C3:C10"/>
    </sheetView>
  </sheetViews>
  <sheetFormatPr defaultColWidth="9" defaultRowHeight="14.25"/>
  <cols>
    <col min="1" max="1" width="9.5" style="1861" customWidth="1"/>
    <col min="2" max="2" width="24.5" style="1747" customWidth="1"/>
    <col min="3" max="3" width="24.5" style="2718" customWidth="1"/>
    <col min="4" max="4" width="2.625" style="2718" customWidth="1"/>
    <col min="5" max="5" width="5.875" style="2718" customWidth="1"/>
    <col min="6" max="6" width="27" style="1747" customWidth="1"/>
    <col min="7" max="7" width="27" style="2719" customWidth="1"/>
    <col min="8" max="8" width="11.875" style="2699" customWidth="1"/>
    <col min="9" max="9" width="16.75" style="2700" customWidth="1"/>
    <col min="10" max="10" width="2.625" style="2699" customWidth="1"/>
    <col min="11" max="11" width="11.875" style="2699" customWidth="1"/>
    <col min="12" max="12" width="16.75" style="2700" customWidth="1"/>
    <col min="13" max="13" width="2.625" style="2699" customWidth="1"/>
    <col min="14" max="14" width="11.875" style="2699" customWidth="1"/>
    <col min="15" max="15" width="16.75" style="2700" customWidth="1"/>
    <col min="16" max="16" width="2.625" style="2699" customWidth="1"/>
    <col min="17" max="17" width="11.875" style="2699" customWidth="1"/>
    <col min="18" max="18" width="16.75" style="2701" customWidth="1"/>
    <col min="19" max="29" width="9" style="904"/>
    <col min="30" max="16384" width="9" style="1861"/>
  </cols>
  <sheetData>
    <row r="1" spans="1:29" s="2666" customFormat="1" ht="18.75" thickBot="1">
      <c r="A1" s="3254" t="s">
        <v>3012</v>
      </c>
      <c r="B1" s="3255"/>
      <c r="C1" s="3255"/>
      <c r="D1" s="3255"/>
      <c r="E1" s="3255"/>
      <c r="F1" s="3255"/>
      <c r="G1" s="3255"/>
      <c r="H1" s="2661"/>
      <c r="I1" s="2662"/>
      <c r="J1" s="2661"/>
      <c r="K1" s="2661"/>
      <c r="L1" s="2662"/>
      <c r="M1" s="2661"/>
      <c r="N1" s="2661"/>
      <c r="O1" s="2662"/>
      <c r="P1" s="2661"/>
      <c r="Q1" s="2663"/>
      <c r="R1" s="2664"/>
      <c r="S1" s="2665"/>
      <c r="T1" s="2665"/>
      <c r="U1" s="2665"/>
      <c r="V1" s="2665"/>
      <c r="W1" s="2665"/>
      <c r="X1" s="2665"/>
      <c r="Y1" s="2665"/>
      <c r="Z1" s="2665"/>
      <c r="AA1" s="2665"/>
      <c r="AB1" s="2665"/>
      <c r="AC1" s="2665"/>
    </row>
    <row r="2" spans="1:29" ht="15" thickBot="1">
      <c r="A2" s="2667"/>
      <c r="B2" s="2668"/>
      <c r="C2" s="2669" t="s">
        <v>3008</v>
      </c>
      <c r="D2" s="2670"/>
      <c r="E2" s="2667"/>
      <c r="F2" s="2671"/>
      <c r="G2" s="2669" t="s">
        <v>3009</v>
      </c>
      <c r="H2" s="904"/>
      <c r="I2" s="904"/>
      <c r="J2" s="904"/>
      <c r="K2" s="904"/>
      <c r="L2" s="904"/>
      <c r="M2" s="904"/>
      <c r="N2" s="904"/>
      <c r="O2" s="904"/>
      <c r="P2" s="904"/>
      <c r="Q2" s="904"/>
      <c r="R2" s="904"/>
    </row>
    <row r="3" spans="1:29" ht="25.5">
      <c r="A3" s="2650" t="s">
        <v>3010</v>
      </c>
      <c r="B3" s="2672" t="s">
        <v>2982</v>
      </c>
      <c r="C3" s="3035"/>
      <c r="D3" s="2673"/>
      <c r="E3" s="2651" t="s">
        <v>3010</v>
      </c>
      <c r="F3" s="2674" t="s">
        <v>2983</v>
      </c>
      <c r="G3" s="2675" t="s">
        <v>3011</v>
      </c>
      <c r="H3" s="904"/>
      <c r="I3" s="904"/>
      <c r="J3" s="904"/>
      <c r="K3" s="904"/>
      <c r="L3" s="904"/>
      <c r="M3" s="904"/>
      <c r="N3" s="904"/>
      <c r="O3" s="904"/>
      <c r="P3" s="904"/>
      <c r="Q3" s="904"/>
      <c r="R3" s="904"/>
    </row>
    <row r="4" spans="1:29" ht="16.5" customHeight="1">
      <c r="A4" s="2651"/>
      <c r="B4" s="329" t="s">
        <v>2984</v>
      </c>
      <c r="C4" s="2676"/>
      <c r="D4" s="2673"/>
      <c r="E4" s="2677"/>
      <c r="F4" s="1547" t="s">
        <v>2985</v>
      </c>
      <c r="G4" s="2678" t="s">
        <v>2986</v>
      </c>
      <c r="H4" s="904"/>
      <c r="I4" s="904"/>
      <c r="J4" s="904"/>
      <c r="K4" s="904"/>
      <c r="L4" s="904"/>
      <c r="M4" s="904"/>
      <c r="N4" s="904"/>
      <c r="O4" s="904"/>
      <c r="P4" s="904"/>
      <c r="Q4" s="904"/>
      <c r="R4" s="904"/>
    </row>
    <row r="5" spans="1:29" ht="16.5" customHeight="1">
      <c r="A5" s="2651"/>
      <c r="B5" s="329" t="s">
        <v>2987</v>
      </c>
      <c r="C5" s="2676"/>
      <c r="D5" s="2673"/>
      <c r="E5" s="2677"/>
      <c r="F5" s="329" t="s">
        <v>2988</v>
      </c>
      <c r="G5" s="2678" t="s">
        <v>2989</v>
      </c>
      <c r="H5" s="904"/>
      <c r="I5" s="904"/>
      <c r="J5" s="904"/>
      <c r="K5" s="904"/>
      <c r="L5" s="904"/>
      <c r="M5" s="904"/>
      <c r="N5" s="904"/>
      <c r="O5" s="904"/>
      <c r="P5" s="904"/>
      <c r="Q5" s="904"/>
      <c r="R5" s="904"/>
    </row>
    <row r="6" spans="1:29">
      <c r="A6" s="2651"/>
      <c r="B6" s="329" t="s">
        <v>2990</v>
      </c>
      <c r="C6" s="3036"/>
      <c r="D6" s="2673"/>
      <c r="E6" s="2677"/>
      <c r="F6" s="329" t="s">
        <v>2991</v>
      </c>
      <c r="G6" s="2678" t="s">
        <v>2992</v>
      </c>
      <c r="H6" s="904"/>
      <c r="I6" s="904"/>
      <c r="J6" s="904"/>
      <c r="K6" s="904"/>
      <c r="L6" s="904"/>
      <c r="M6" s="904"/>
      <c r="N6" s="904"/>
      <c r="O6" s="904"/>
      <c r="P6" s="904"/>
      <c r="Q6" s="904"/>
      <c r="R6" s="904"/>
    </row>
    <row r="7" spans="1:29" ht="24.75" thickBot="1">
      <c r="A7" s="2651"/>
      <c r="B7" s="329" t="s">
        <v>2988</v>
      </c>
      <c r="C7" s="3036"/>
      <c r="D7" s="2679"/>
      <c r="E7" s="2680"/>
      <c r="F7" s="2681" t="s">
        <v>2993</v>
      </c>
      <c r="G7" s="2682" t="s">
        <v>2994</v>
      </c>
      <c r="H7" s="904"/>
      <c r="I7" s="904"/>
      <c r="J7" s="904"/>
      <c r="K7" s="904"/>
      <c r="L7" s="904"/>
      <c r="M7" s="904"/>
      <c r="N7" s="904"/>
      <c r="O7" s="904"/>
      <c r="P7" s="904"/>
      <c r="Q7" s="904"/>
      <c r="R7" s="904"/>
    </row>
    <row r="8" spans="1:29">
      <c r="A8" s="2651"/>
      <c r="B8" s="329" t="s">
        <v>2991</v>
      </c>
      <c r="C8" s="3036"/>
      <c r="D8" s="2679"/>
      <c r="E8" s="2679"/>
      <c r="F8" s="2683"/>
      <c r="G8" s="2683"/>
      <c r="H8" s="904"/>
      <c r="I8" s="904"/>
      <c r="J8" s="904"/>
      <c r="K8" s="904"/>
      <c r="L8" s="904"/>
      <c r="M8" s="904"/>
      <c r="N8" s="904"/>
      <c r="O8" s="904"/>
      <c r="P8" s="904"/>
      <c r="Q8" s="904"/>
      <c r="R8" s="904"/>
    </row>
    <row r="9" spans="1:29" ht="42.75" customHeight="1">
      <c r="A9" s="2651"/>
      <c r="B9" s="329" t="s">
        <v>2995</v>
      </c>
      <c r="C9" s="3037"/>
      <c r="D9" s="2673"/>
      <c r="E9" s="2679"/>
      <c r="F9" s="2683"/>
      <c r="G9" s="2683"/>
      <c r="H9" s="904"/>
      <c r="I9" s="904"/>
      <c r="J9" s="904"/>
      <c r="K9" s="904"/>
      <c r="L9" s="904"/>
      <c r="M9" s="904"/>
      <c r="N9" s="904"/>
      <c r="O9" s="904"/>
      <c r="P9" s="904"/>
      <c r="Q9" s="904"/>
      <c r="R9" s="904"/>
    </row>
    <row r="10" spans="1:29" s="2689" customFormat="1" ht="15" thickBot="1">
      <c r="A10" s="2652"/>
      <c r="B10" s="2684" t="s">
        <v>2996</v>
      </c>
      <c r="C10" s="2685"/>
      <c r="D10" s="2673"/>
      <c r="E10" s="2673"/>
      <c r="F10" s="2683"/>
      <c r="G10" s="2683"/>
      <c r="H10" s="2686"/>
      <c r="I10" s="2687"/>
      <c r="J10" s="2688"/>
      <c r="K10" s="2686"/>
      <c r="L10" s="2687"/>
      <c r="M10" s="2688"/>
      <c r="N10" s="2686"/>
      <c r="O10" s="2687"/>
      <c r="P10" s="2688"/>
      <c r="Q10" s="2686"/>
      <c r="R10" s="2687"/>
      <c r="S10" s="904"/>
      <c r="T10" s="904"/>
      <c r="U10" s="904"/>
      <c r="V10" s="904"/>
      <c r="W10" s="904"/>
      <c r="X10" s="904"/>
      <c r="Y10" s="904"/>
      <c r="Z10" s="904"/>
      <c r="AA10" s="904"/>
      <c r="AB10" s="904"/>
      <c r="AC10" s="904"/>
    </row>
    <row r="11" spans="1:29" s="2689" customFormat="1">
      <c r="A11" s="2690"/>
      <c r="B11" s="2679"/>
      <c r="C11" s="2673"/>
      <c r="D11" s="2673"/>
      <c r="E11" s="2673"/>
      <c r="F11" s="2679"/>
      <c r="G11" s="2691"/>
      <c r="H11" s="2686"/>
      <c r="I11" s="2687"/>
      <c r="J11" s="2688"/>
      <c r="K11" s="2686"/>
      <c r="L11" s="2687"/>
      <c r="M11" s="2688"/>
      <c r="N11" s="2686"/>
      <c r="O11" s="2687"/>
      <c r="P11" s="2688"/>
      <c r="Q11" s="2686"/>
      <c r="R11" s="2687"/>
      <c r="S11" s="904"/>
      <c r="T11" s="904"/>
      <c r="U11" s="904"/>
      <c r="V11" s="904"/>
      <c r="W11" s="904"/>
      <c r="X11" s="904"/>
      <c r="Y11" s="904"/>
      <c r="Z11" s="904"/>
      <c r="AA11" s="904"/>
      <c r="AB11" s="904"/>
      <c r="AC11" s="904"/>
    </row>
    <row r="12" spans="1:29" s="2666" customFormat="1" ht="18">
      <c r="A12" s="2690"/>
      <c r="B12" s="2679"/>
      <c r="C12" s="2673"/>
      <c r="D12" s="2692"/>
      <c r="E12" s="2673"/>
      <c r="F12" s="2679"/>
      <c r="G12" s="2691"/>
      <c r="H12" s="2693"/>
      <c r="I12" s="2694"/>
      <c r="J12" s="2693"/>
      <c r="K12" s="2693"/>
      <c r="L12" s="2695"/>
      <c r="M12" s="2693"/>
      <c r="N12" s="2696"/>
      <c r="O12" s="2697"/>
      <c r="P12" s="2696"/>
      <c r="Q12" s="2696"/>
      <c r="R12" s="2664"/>
      <c r="S12" s="2665"/>
      <c r="T12" s="2665"/>
      <c r="U12" s="2665"/>
      <c r="V12" s="2665"/>
      <c r="W12" s="2665"/>
      <c r="X12" s="2665"/>
      <c r="Y12" s="2665"/>
      <c r="Z12" s="2665"/>
      <c r="AA12" s="2665"/>
      <c r="AB12" s="2665"/>
      <c r="AC12" s="2665"/>
    </row>
    <row r="13" spans="1:29" ht="15.75" thickBot="1">
      <c r="A13" s="2698" t="s">
        <v>3013</v>
      </c>
      <c r="B13" s="2692"/>
      <c r="C13" s="2692"/>
      <c r="D13" s="2690"/>
      <c r="E13" s="2692"/>
      <c r="F13" s="2692"/>
      <c r="G13" s="2692"/>
    </row>
    <row r="14" spans="1:29" ht="15" thickBot="1">
      <c r="A14" s="2702"/>
      <c r="B14" s="2702"/>
      <c r="C14" s="2703" t="s">
        <v>2997</v>
      </c>
      <c r="D14" s="2673"/>
      <c r="E14" s="2704"/>
      <c r="F14" s="2704"/>
      <c r="G14" s="2669" t="s">
        <v>2998</v>
      </c>
    </row>
    <row r="15" spans="1:29" ht="25.5">
      <c r="A15" s="2653" t="s">
        <v>2999</v>
      </c>
      <c r="B15" s="2705" t="s">
        <v>2982</v>
      </c>
      <c r="C15" s="2706">
        <f>C3</f>
        <v>0</v>
      </c>
      <c r="D15" s="2673"/>
      <c r="E15" s="2654" t="s">
        <v>3000</v>
      </c>
      <c r="F15" s="2705" t="s">
        <v>3001</v>
      </c>
      <c r="G15" s="2707" t="str">
        <f>G3</f>
        <v>估价对象位于XX开发区，园区建设成熟度XX，产业集聚程度XX</v>
      </c>
    </row>
    <row r="16" spans="1:29" ht="38.25">
      <c r="A16" s="2655"/>
      <c r="B16" s="2708" t="s">
        <v>2984</v>
      </c>
      <c r="C16" s="2709">
        <f>C4</f>
        <v>0</v>
      </c>
      <c r="D16" s="2673"/>
      <c r="E16" s="2656"/>
      <c r="F16" s="2710" t="s">
        <v>2985</v>
      </c>
      <c r="G16" s="2711" t="str">
        <f>G4</f>
        <v>估价对象周边道路状况、公共交通通达情况、停车便捷程度，综合评价交通便捷度较好</v>
      </c>
    </row>
    <row r="17" spans="1:18">
      <c r="A17" s="2655"/>
      <c r="B17" s="2708" t="s">
        <v>2987</v>
      </c>
      <c r="C17" s="2709">
        <f>C5</f>
        <v>0</v>
      </c>
      <c r="D17" s="2679"/>
      <c r="E17" s="2656"/>
      <c r="F17" s="2710" t="s">
        <v>3002</v>
      </c>
      <c r="G17" s="2712"/>
    </row>
    <row r="18" spans="1:18" ht="25.5">
      <c r="A18" s="2655"/>
      <c r="B18" s="2710" t="s">
        <v>2990</v>
      </c>
      <c r="C18" s="2711">
        <f>C6</f>
        <v>0</v>
      </c>
      <c r="D18" s="2679"/>
      <c r="E18" s="2656"/>
      <c r="F18" s="2710" t="s">
        <v>2993</v>
      </c>
      <c r="G18" s="2711" t="str">
        <f>G7</f>
        <v>该园区内是否有污染型企业，绿化情况，卫生条件，整体环境状况判断</v>
      </c>
    </row>
    <row r="19" spans="1:18" ht="25.5">
      <c r="A19" s="2655"/>
      <c r="B19" s="2710" t="s">
        <v>3003</v>
      </c>
      <c r="C19" s="3131" t="s">
        <v>3601</v>
      </c>
      <c r="D19" s="2673"/>
      <c r="E19" s="2656"/>
      <c r="F19" s="329" t="s">
        <v>2988</v>
      </c>
      <c r="G19" s="2711" t="str">
        <f>G5</f>
        <v>估价对象所在区域公共配套设施齐备情况</v>
      </c>
    </row>
    <row r="20" spans="1:18">
      <c r="A20" s="2655"/>
      <c r="B20" s="2710" t="s">
        <v>3004</v>
      </c>
      <c r="C20" s="2709">
        <f>C9</f>
        <v>0</v>
      </c>
      <c r="D20" s="2679"/>
      <c r="E20" s="2656"/>
      <c r="F20" s="329" t="s">
        <v>2991</v>
      </c>
      <c r="G20" s="2711" t="str">
        <f>G6</f>
        <v>估价对象所在区域基础设施水平</v>
      </c>
    </row>
    <row r="21" spans="1:18">
      <c r="A21" s="2655"/>
      <c r="B21" s="329" t="s">
        <v>2988</v>
      </c>
      <c r="C21" s="2711">
        <f>C7</f>
        <v>0</v>
      </c>
      <c r="D21" s="2673"/>
      <c r="E21" s="2656"/>
      <c r="F21" s="2710" t="s">
        <v>3005</v>
      </c>
      <c r="G21" s="2713"/>
    </row>
    <row r="22" spans="1:18" ht="13.5" customHeight="1">
      <c r="A22" s="2655"/>
      <c r="B22" s="329" t="s">
        <v>2991</v>
      </c>
      <c r="C22" s="2711">
        <f>C8</f>
        <v>0</v>
      </c>
      <c r="D22" s="2673"/>
      <c r="E22" s="2656"/>
      <c r="F22" s="2710" t="s">
        <v>2996</v>
      </c>
      <c r="G22" s="2712"/>
    </row>
    <row r="23" spans="1:18" s="904" customFormat="1" ht="15" thickBot="1">
      <c r="A23" s="2655"/>
      <c r="B23" s="2710" t="s">
        <v>3005</v>
      </c>
      <c r="C23" s="2713" t="s">
        <v>3600</v>
      </c>
      <c r="D23" s="1916"/>
      <c r="E23" s="2657"/>
      <c r="F23" s="2714" t="s">
        <v>3006</v>
      </c>
      <c r="G23" s="2715"/>
      <c r="H23" s="2699"/>
      <c r="I23" s="2700"/>
      <c r="J23" s="2699"/>
      <c r="K23" s="2699"/>
      <c r="L23" s="2700"/>
      <c r="M23" s="2699"/>
      <c r="N23" s="2699"/>
      <c r="O23" s="2700"/>
      <c r="P23" s="2699"/>
      <c r="Q23" s="2699"/>
      <c r="R23" s="2701"/>
    </row>
    <row r="24" spans="1:18" s="904" customFormat="1" ht="15" thickBot="1">
      <c r="A24" s="2658"/>
      <c r="B24" s="2714" t="s">
        <v>3007</v>
      </c>
      <c r="C24" s="2716">
        <f>C10</f>
        <v>0</v>
      </c>
      <c r="D24" s="1916"/>
      <c r="E24" s="2648"/>
      <c r="F24" s="2648"/>
      <c r="G24" s="2717"/>
      <c r="H24" s="2699"/>
      <c r="I24" s="2700"/>
      <c r="J24" s="2699"/>
      <c r="K24" s="2699"/>
      <c r="L24" s="2700"/>
      <c r="M24" s="2699"/>
      <c r="N24" s="2699"/>
      <c r="O24" s="2700"/>
      <c r="P24" s="2699"/>
      <c r="Q24" s="2699"/>
      <c r="R24" s="2701"/>
    </row>
    <row r="25" spans="1:18" s="904" customFormat="1">
      <c r="B25" s="2699"/>
      <c r="C25" s="2699"/>
      <c r="D25" s="2699"/>
      <c r="H25" s="2699"/>
      <c r="I25" s="2700"/>
      <c r="J25" s="2699"/>
      <c r="K25" s="2699"/>
      <c r="L25" s="2700"/>
      <c r="M25" s="2699"/>
      <c r="N25" s="2699"/>
      <c r="O25" s="2700"/>
      <c r="P25" s="2699"/>
      <c r="Q25" s="2699"/>
      <c r="R25" s="2701"/>
    </row>
    <row r="26" spans="1:18" s="904" customFormat="1">
      <c r="B26" s="2699"/>
      <c r="C26" s="2699"/>
      <c r="D26" s="2699"/>
      <c r="H26" s="2699"/>
      <c r="I26" s="2700"/>
      <c r="J26" s="2699"/>
      <c r="K26" s="2699"/>
      <c r="L26" s="2700"/>
      <c r="M26" s="2699"/>
      <c r="N26" s="2699"/>
      <c r="O26" s="2700"/>
      <c r="P26" s="2699"/>
      <c r="Q26" s="2699"/>
      <c r="R26" s="2701"/>
    </row>
    <row r="27" spans="1:18" s="904" customFormat="1">
      <c r="B27" s="2699"/>
      <c r="C27" s="2699"/>
      <c r="D27" s="2699"/>
      <c r="H27" s="2699"/>
      <c r="I27" s="2700"/>
      <c r="J27" s="2699"/>
      <c r="K27" s="2699"/>
      <c r="L27" s="2700"/>
      <c r="M27" s="2699"/>
      <c r="N27" s="2699"/>
      <c r="O27" s="2700"/>
      <c r="P27" s="2699"/>
      <c r="Q27" s="2699"/>
      <c r="R27" s="2701"/>
    </row>
    <row r="28" spans="1:18" s="904" customFormat="1">
      <c r="B28" s="2699"/>
      <c r="C28" s="2699"/>
      <c r="D28" s="2699"/>
      <c r="H28" s="2699"/>
      <c r="I28" s="2700"/>
      <c r="J28" s="2699"/>
      <c r="K28" s="2699"/>
      <c r="L28" s="2700"/>
      <c r="M28" s="2699"/>
      <c r="N28" s="2699"/>
      <c r="O28" s="2700"/>
      <c r="P28" s="2699"/>
      <c r="Q28" s="2699"/>
      <c r="R28" s="2701"/>
    </row>
    <row r="29" spans="1:18" s="904" customFormat="1">
      <c r="B29" s="2699"/>
      <c r="C29" s="2699"/>
      <c r="D29" s="2699"/>
      <c r="H29" s="2699"/>
      <c r="I29" s="2700"/>
      <c r="J29" s="2699"/>
      <c r="K29" s="2699"/>
      <c r="L29" s="2700"/>
      <c r="M29" s="2699"/>
      <c r="N29" s="2699"/>
      <c r="O29" s="2700"/>
      <c r="P29" s="2699"/>
      <c r="Q29" s="2699"/>
      <c r="R29" s="2701"/>
    </row>
    <row r="30" spans="1:18" s="904" customFormat="1">
      <c r="B30" s="2699"/>
      <c r="C30" s="2699"/>
      <c r="D30" s="2699"/>
      <c r="H30" s="2699"/>
      <c r="I30" s="2700"/>
      <c r="J30" s="2699"/>
      <c r="K30" s="2699"/>
      <c r="L30" s="2700"/>
      <c r="M30" s="2699"/>
      <c r="N30" s="2699"/>
      <c r="O30" s="2700"/>
      <c r="P30" s="2699"/>
      <c r="Q30" s="2699"/>
      <c r="R30" s="2701"/>
    </row>
    <row r="31" spans="1:18" s="904" customFormat="1">
      <c r="B31" s="2699"/>
      <c r="C31" s="2699"/>
      <c r="D31" s="2699"/>
      <c r="H31" s="2699"/>
      <c r="I31" s="2700"/>
      <c r="J31" s="2699"/>
      <c r="K31" s="2699"/>
      <c r="L31" s="2700"/>
      <c r="M31" s="2699"/>
      <c r="N31" s="2699"/>
      <c r="O31" s="2700"/>
      <c r="P31" s="2699"/>
      <c r="Q31" s="2699"/>
      <c r="R31" s="2701"/>
    </row>
    <row r="32" spans="1:18" s="904" customFormat="1">
      <c r="B32" s="2699"/>
      <c r="C32" s="2699"/>
      <c r="D32" s="2699"/>
      <c r="H32" s="2699"/>
      <c r="I32" s="2700"/>
      <c r="J32" s="2699"/>
      <c r="K32" s="2699"/>
      <c r="L32" s="2700"/>
      <c r="M32" s="2699"/>
      <c r="N32" s="2699"/>
      <c r="O32" s="2700"/>
      <c r="P32" s="2699"/>
      <c r="Q32" s="2699"/>
      <c r="R32" s="2701"/>
    </row>
    <row r="33" spans="2:18" s="904" customFormat="1">
      <c r="B33" s="2699"/>
      <c r="C33" s="2699"/>
      <c r="D33" s="2699"/>
      <c r="H33" s="2699"/>
      <c r="I33" s="2700"/>
      <c r="J33" s="2699"/>
      <c r="K33" s="2699"/>
      <c r="L33" s="2700"/>
      <c r="M33" s="2699"/>
      <c r="N33" s="2699"/>
      <c r="O33" s="2700"/>
      <c r="P33" s="2699"/>
      <c r="Q33" s="2699"/>
      <c r="R33" s="2701"/>
    </row>
    <row r="34" spans="2:18" s="904" customFormat="1">
      <c r="B34" s="2699"/>
      <c r="C34" s="2699"/>
      <c r="D34" s="2699"/>
      <c r="H34" s="2699"/>
      <c r="I34" s="2700"/>
      <c r="J34" s="2699"/>
      <c r="K34" s="2699"/>
      <c r="L34" s="2700"/>
      <c r="M34" s="2699"/>
      <c r="N34" s="2699"/>
      <c r="O34" s="2700"/>
      <c r="P34" s="2699"/>
      <c r="Q34" s="2699"/>
      <c r="R34" s="2701"/>
    </row>
    <row r="35" spans="2:18" s="904" customFormat="1">
      <c r="B35" s="2699"/>
      <c r="C35" s="2699"/>
      <c r="D35" s="2699"/>
      <c r="H35" s="2699"/>
      <c r="I35" s="2700"/>
      <c r="J35" s="2699"/>
      <c r="K35" s="2699"/>
      <c r="L35" s="2700"/>
      <c r="M35" s="2699"/>
      <c r="N35" s="2699"/>
      <c r="O35" s="2700"/>
      <c r="P35" s="2699"/>
      <c r="Q35" s="2699"/>
      <c r="R35" s="2701"/>
    </row>
    <row r="36" spans="2:18" s="904" customFormat="1">
      <c r="B36" s="2699"/>
      <c r="C36" s="2699"/>
      <c r="D36" s="2699"/>
      <c r="H36" s="2699"/>
      <c r="I36" s="2700"/>
      <c r="J36" s="2699"/>
      <c r="K36" s="2699"/>
      <c r="L36" s="2700"/>
      <c r="M36" s="2699"/>
      <c r="N36" s="2699"/>
      <c r="O36" s="2700"/>
      <c r="P36" s="2699"/>
      <c r="Q36" s="2699"/>
      <c r="R36" s="2701"/>
    </row>
    <row r="37" spans="2:18" s="904" customFormat="1">
      <c r="B37" s="2699"/>
      <c r="C37" s="2699"/>
      <c r="D37" s="2699"/>
      <c r="H37" s="2699"/>
      <c r="I37" s="2700"/>
      <c r="J37" s="2699"/>
      <c r="K37" s="2699"/>
      <c r="L37" s="2700"/>
      <c r="M37" s="2699"/>
      <c r="N37" s="2699"/>
      <c r="O37" s="2700"/>
      <c r="P37" s="2699"/>
      <c r="Q37" s="2699"/>
      <c r="R37" s="2701"/>
    </row>
    <row r="38" spans="2:18" s="904" customFormat="1">
      <c r="B38" s="2699"/>
      <c r="C38" s="2699"/>
      <c r="D38" s="2699"/>
      <c r="E38" s="2699"/>
      <c r="F38" s="2699"/>
      <c r="G38" s="2700"/>
      <c r="H38" s="2699"/>
      <c r="I38" s="2700"/>
      <c r="J38" s="2699"/>
      <c r="K38" s="2699"/>
      <c r="L38" s="2700"/>
      <c r="M38" s="2699"/>
      <c r="N38" s="2699"/>
      <c r="O38" s="2700"/>
      <c r="P38" s="2699"/>
      <c r="Q38" s="2699"/>
      <c r="R38" s="2701"/>
    </row>
    <row r="39" spans="2:18" s="904" customFormat="1">
      <c r="B39" s="2699"/>
      <c r="C39" s="2699"/>
      <c r="D39" s="2699"/>
      <c r="E39" s="2699"/>
      <c r="F39" s="2699"/>
      <c r="G39" s="2700"/>
      <c r="H39" s="2699"/>
      <c r="I39" s="2700"/>
      <c r="J39" s="2699"/>
      <c r="K39" s="2699"/>
      <c r="L39" s="2700"/>
      <c r="M39" s="2699"/>
      <c r="N39" s="2699"/>
      <c r="O39" s="2700"/>
      <c r="P39" s="2699"/>
      <c r="Q39" s="2699"/>
      <c r="R39" s="2701"/>
    </row>
    <row r="40" spans="2:18" s="904" customFormat="1">
      <c r="B40" s="2699"/>
      <c r="C40" s="2699"/>
      <c r="D40" s="2699"/>
      <c r="E40" s="2699"/>
      <c r="F40" s="2699"/>
      <c r="G40" s="2700"/>
      <c r="H40" s="2699"/>
      <c r="I40" s="2700"/>
      <c r="J40" s="2699"/>
      <c r="K40" s="2699"/>
      <c r="L40" s="2700"/>
      <c r="M40" s="2699"/>
      <c r="N40" s="2699"/>
      <c r="O40" s="2700"/>
      <c r="P40" s="2699"/>
      <c r="Q40" s="2699"/>
      <c r="R40" s="2701"/>
    </row>
    <row r="41" spans="2:18" s="904" customFormat="1">
      <c r="B41" s="2699"/>
      <c r="C41" s="2699"/>
      <c r="D41" s="2699"/>
      <c r="E41" s="2699"/>
      <c r="F41" s="2699"/>
      <c r="G41" s="2700"/>
      <c r="H41" s="2699"/>
      <c r="I41" s="2700"/>
      <c r="J41" s="2699"/>
      <c r="K41" s="2699"/>
      <c r="L41" s="2700"/>
      <c r="M41" s="2699"/>
      <c r="N41" s="2699"/>
      <c r="O41" s="2700"/>
      <c r="P41" s="2699"/>
      <c r="Q41" s="2699"/>
      <c r="R41" s="2701"/>
    </row>
    <row r="42" spans="2:18" s="904" customFormat="1">
      <c r="B42" s="2699"/>
      <c r="C42" s="2699"/>
      <c r="D42" s="2699"/>
      <c r="E42" s="2699"/>
      <c r="F42" s="2699"/>
      <c r="G42" s="2700"/>
      <c r="H42" s="2699"/>
      <c r="I42" s="2700"/>
      <c r="J42" s="2699"/>
      <c r="K42" s="2699"/>
      <c r="L42" s="2700"/>
      <c r="M42" s="2699"/>
      <c r="N42" s="2699"/>
      <c r="O42" s="2700"/>
      <c r="P42" s="2699"/>
      <c r="Q42" s="2699"/>
      <c r="R42" s="2701"/>
    </row>
    <row r="43" spans="2:18" s="904" customFormat="1">
      <c r="B43" s="2699"/>
      <c r="C43" s="2699"/>
      <c r="D43" s="2699"/>
      <c r="E43" s="2699"/>
      <c r="F43" s="2699"/>
      <c r="G43" s="2700"/>
      <c r="H43" s="2699"/>
      <c r="I43" s="2700"/>
      <c r="J43" s="2699"/>
      <c r="K43" s="2699"/>
      <c r="L43" s="2700"/>
      <c r="M43" s="2699"/>
      <c r="N43" s="2699"/>
      <c r="O43" s="2700"/>
      <c r="P43" s="2699"/>
      <c r="Q43" s="2699"/>
      <c r="R43" s="2701"/>
    </row>
    <row r="44" spans="2:18" s="904" customFormat="1">
      <c r="B44" s="2699"/>
      <c r="C44" s="2699"/>
      <c r="D44" s="2699"/>
      <c r="E44" s="2699"/>
      <c r="F44" s="2699"/>
      <c r="G44" s="2700"/>
      <c r="H44" s="2699"/>
      <c r="I44" s="2700"/>
      <c r="J44" s="2699"/>
      <c r="K44" s="2699"/>
      <c r="L44" s="2700"/>
      <c r="M44" s="2699"/>
      <c r="N44" s="2699"/>
      <c r="O44" s="2700"/>
      <c r="P44" s="2699"/>
      <c r="Q44" s="2699"/>
      <c r="R44" s="2701"/>
    </row>
    <row r="45" spans="2:18" s="904" customFormat="1">
      <c r="B45" s="2699"/>
      <c r="C45" s="2699"/>
      <c r="D45" s="2699"/>
      <c r="E45" s="2699"/>
      <c r="F45" s="2699"/>
      <c r="G45" s="2700"/>
      <c r="H45" s="2699"/>
      <c r="I45" s="2700"/>
      <c r="J45" s="2699"/>
      <c r="K45" s="2699"/>
      <c r="L45" s="2700"/>
      <c r="M45" s="2699"/>
      <c r="N45" s="2699"/>
      <c r="O45" s="2700"/>
      <c r="P45" s="2699"/>
      <c r="Q45" s="2699"/>
      <c r="R45" s="2701"/>
    </row>
    <row r="46" spans="2:18" s="904" customFormat="1">
      <c r="B46" s="2699"/>
      <c r="C46" s="2699"/>
      <c r="D46" s="2699"/>
      <c r="E46" s="2699"/>
      <c r="F46" s="2699"/>
      <c r="G46" s="2700"/>
      <c r="H46" s="2699"/>
      <c r="I46" s="2700"/>
      <c r="J46" s="2699"/>
      <c r="K46" s="2699"/>
      <c r="L46" s="2700"/>
      <c r="M46" s="2699"/>
      <c r="N46" s="2699"/>
      <c r="O46" s="2700"/>
      <c r="P46" s="2699"/>
      <c r="Q46" s="2699"/>
      <c r="R46" s="2701"/>
    </row>
    <row r="47" spans="2:18" s="904" customFormat="1">
      <c r="B47" s="2699"/>
      <c r="C47" s="2699"/>
      <c r="D47" s="2699"/>
      <c r="E47" s="2699"/>
      <c r="F47" s="2699"/>
      <c r="G47" s="2700"/>
      <c r="H47" s="2699"/>
      <c r="I47" s="2700"/>
      <c r="J47" s="2699"/>
      <c r="K47" s="2699"/>
      <c r="L47" s="2700"/>
      <c r="M47" s="2699"/>
      <c r="N47" s="2699"/>
      <c r="O47" s="2700"/>
      <c r="P47" s="2699"/>
      <c r="Q47" s="2699"/>
      <c r="R47" s="2701"/>
    </row>
    <row r="48" spans="2:18" s="904" customFormat="1">
      <c r="B48" s="2699"/>
      <c r="C48" s="2699"/>
      <c r="D48" s="2699"/>
      <c r="E48" s="2699"/>
      <c r="F48" s="2699"/>
      <c r="G48" s="2700"/>
      <c r="H48" s="2699"/>
      <c r="I48" s="2700"/>
      <c r="J48" s="2699"/>
      <c r="K48" s="2699"/>
      <c r="L48" s="2700"/>
      <c r="M48" s="2699"/>
      <c r="N48" s="2699"/>
      <c r="O48" s="2700"/>
      <c r="P48" s="2699"/>
      <c r="Q48" s="2699"/>
      <c r="R48" s="2701"/>
    </row>
    <row r="49" spans="2:18" s="904" customFormat="1">
      <c r="B49" s="2699"/>
      <c r="C49" s="2699"/>
      <c r="D49" s="2699"/>
      <c r="E49" s="2699"/>
      <c r="F49" s="2699"/>
      <c r="G49" s="2700"/>
      <c r="H49" s="2699"/>
      <c r="I49" s="2700"/>
      <c r="J49" s="2699"/>
      <c r="K49" s="2699"/>
      <c r="L49" s="2700"/>
      <c r="M49" s="2699"/>
      <c r="N49" s="2699"/>
      <c r="O49" s="2700"/>
      <c r="P49" s="2699"/>
      <c r="Q49" s="2699"/>
      <c r="R49" s="2701"/>
    </row>
    <row r="50" spans="2:18" s="904" customFormat="1">
      <c r="B50" s="2699"/>
      <c r="C50" s="2699"/>
      <c r="D50" s="2699"/>
      <c r="E50" s="2699"/>
      <c r="F50" s="2699"/>
      <c r="G50" s="2700"/>
      <c r="H50" s="2699"/>
      <c r="I50" s="2700"/>
      <c r="J50" s="2699"/>
      <c r="K50" s="2699"/>
      <c r="L50" s="2700"/>
      <c r="M50" s="2699"/>
      <c r="N50" s="2699"/>
      <c r="O50" s="2700"/>
      <c r="P50" s="2699"/>
      <c r="Q50" s="2699"/>
      <c r="R50" s="2701"/>
    </row>
    <row r="51" spans="2:18" s="904" customFormat="1">
      <c r="B51" s="2699"/>
      <c r="C51" s="2699"/>
      <c r="D51" s="2699"/>
      <c r="E51" s="2699"/>
      <c r="F51" s="2699"/>
      <c r="G51" s="2700"/>
      <c r="H51" s="2699"/>
      <c r="I51" s="2700"/>
      <c r="J51" s="2699"/>
      <c r="K51" s="2699"/>
      <c r="L51" s="2700"/>
      <c r="M51" s="2699"/>
      <c r="N51" s="2699"/>
      <c r="O51" s="2700"/>
      <c r="P51" s="2699"/>
      <c r="Q51" s="2699"/>
      <c r="R51" s="2701"/>
    </row>
    <row r="52" spans="2:18" s="904" customFormat="1">
      <c r="B52" s="2699"/>
      <c r="C52" s="2699"/>
      <c r="D52" s="2699"/>
      <c r="E52" s="2699"/>
      <c r="F52" s="2699"/>
      <c r="G52" s="2700"/>
      <c r="H52" s="2699"/>
      <c r="I52" s="2700"/>
      <c r="J52" s="2699"/>
      <c r="K52" s="2699"/>
      <c r="L52" s="2700"/>
      <c r="M52" s="2699"/>
      <c r="N52" s="2699"/>
      <c r="O52" s="2700"/>
      <c r="P52" s="2699"/>
      <c r="Q52" s="2699"/>
      <c r="R52" s="2701"/>
    </row>
    <row r="53" spans="2:18" s="904" customFormat="1">
      <c r="B53" s="2699"/>
      <c r="C53" s="2699"/>
      <c r="D53" s="2699"/>
      <c r="E53" s="2699"/>
      <c r="F53" s="2699"/>
      <c r="G53" s="2700"/>
      <c r="H53" s="2699"/>
      <c r="I53" s="2700"/>
      <c r="J53" s="2699"/>
      <c r="K53" s="2699"/>
      <c r="L53" s="2700"/>
      <c r="M53" s="2699"/>
      <c r="N53" s="2699"/>
      <c r="O53" s="2700"/>
      <c r="P53" s="2699"/>
      <c r="Q53" s="2699"/>
      <c r="R53" s="2701"/>
    </row>
    <row r="54" spans="2:18" s="904" customFormat="1">
      <c r="B54" s="2699"/>
      <c r="C54" s="2699"/>
      <c r="D54" s="2699"/>
      <c r="E54" s="2699"/>
      <c r="F54" s="2699"/>
      <c r="G54" s="2700"/>
      <c r="H54" s="2699"/>
      <c r="I54" s="2700"/>
      <c r="J54" s="2699"/>
      <c r="K54" s="2699"/>
      <c r="L54" s="2700"/>
      <c r="M54" s="2699"/>
      <c r="N54" s="2699"/>
      <c r="O54" s="2700"/>
      <c r="P54" s="2699"/>
      <c r="Q54" s="2699"/>
      <c r="R54" s="2701"/>
    </row>
    <row r="55" spans="2:18" s="904" customFormat="1">
      <c r="B55" s="2699"/>
      <c r="C55" s="2699"/>
      <c r="D55" s="2699"/>
      <c r="E55" s="2699"/>
      <c r="F55" s="2699"/>
      <c r="G55" s="2700"/>
      <c r="H55" s="2699"/>
      <c r="I55" s="2700"/>
      <c r="J55" s="2699"/>
      <c r="K55" s="2699"/>
      <c r="L55" s="2700"/>
      <c r="M55" s="2699"/>
      <c r="N55" s="2699"/>
      <c r="O55" s="2700"/>
      <c r="P55" s="2699"/>
      <c r="Q55" s="2699"/>
      <c r="R55" s="2701"/>
    </row>
    <row r="56" spans="2:18" s="904" customFormat="1">
      <c r="B56" s="2699"/>
      <c r="C56" s="2699"/>
      <c r="D56" s="2699"/>
      <c r="E56" s="2699"/>
      <c r="F56" s="2699"/>
      <c r="G56" s="2700"/>
      <c r="H56" s="2699"/>
      <c r="I56" s="2700"/>
      <c r="J56" s="2699"/>
      <c r="K56" s="2699"/>
      <c r="L56" s="2700"/>
      <c r="M56" s="2699"/>
      <c r="N56" s="2699"/>
      <c r="O56" s="2700"/>
      <c r="P56" s="2699"/>
      <c r="Q56" s="2699"/>
      <c r="R56" s="2701"/>
    </row>
    <row r="57" spans="2:18" s="904" customFormat="1">
      <c r="B57" s="2699"/>
      <c r="C57" s="2699"/>
      <c r="D57" s="2699"/>
      <c r="E57" s="2699"/>
      <c r="F57" s="2699"/>
      <c r="G57" s="2700"/>
      <c r="H57" s="2699"/>
      <c r="I57" s="2700"/>
      <c r="J57" s="2699"/>
      <c r="K57" s="2699"/>
      <c r="L57" s="2700"/>
      <c r="M57" s="2699"/>
      <c r="N57" s="2699"/>
      <c r="O57" s="2700"/>
      <c r="P57" s="2699"/>
      <c r="Q57" s="2699"/>
      <c r="R57" s="2701"/>
    </row>
    <row r="58" spans="2:18" s="904" customFormat="1">
      <c r="B58" s="2699"/>
      <c r="C58" s="2699"/>
      <c r="D58" s="2699"/>
      <c r="E58" s="2699"/>
      <c r="F58" s="2699"/>
      <c r="G58" s="2700"/>
      <c r="H58" s="2699"/>
      <c r="I58" s="2700"/>
      <c r="J58" s="2699"/>
      <c r="K58" s="2699"/>
      <c r="L58" s="2700"/>
      <c r="M58" s="2699"/>
      <c r="N58" s="2699"/>
      <c r="O58" s="2700"/>
      <c r="P58" s="2699"/>
      <c r="Q58" s="2699"/>
      <c r="R58" s="2701"/>
    </row>
    <row r="59" spans="2:18" s="904" customFormat="1">
      <c r="B59" s="2699"/>
      <c r="C59" s="2699"/>
      <c r="D59" s="2699"/>
      <c r="E59" s="2699"/>
      <c r="F59" s="2699"/>
      <c r="G59" s="2700"/>
      <c r="H59" s="2699"/>
      <c r="I59" s="2700"/>
      <c r="J59" s="2699"/>
      <c r="K59" s="2699"/>
      <c r="L59" s="2700"/>
      <c r="M59" s="2699"/>
      <c r="N59" s="2699"/>
      <c r="O59" s="2700"/>
      <c r="P59" s="2699"/>
      <c r="Q59" s="2699"/>
      <c r="R59" s="2701"/>
    </row>
    <row r="60" spans="2:18" s="904" customFormat="1">
      <c r="B60" s="2699"/>
      <c r="C60" s="2699"/>
      <c r="D60" s="2699"/>
      <c r="E60" s="2699"/>
      <c r="F60" s="2699"/>
      <c r="G60" s="2700"/>
      <c r="H60" s="2699"/>
      <c r="I60" s="2700"/>
      <c r="J60" s="2699"/>
      <c r="K60" s="2699"/>
      <c r="L60" s="2700"/>
      <c r="M60" s="2699"/>
      <c r="N60" s="2699"/>
      <c r="O60" s="2700"/>
      <c r="P60" s="2699"/>
      <c r="Q60" s="2699"/>
      <c r="R60" s="2701"/>
    </row>
    <row r="61" spans="2:18" s="904" customFormat="1">
      <c r="B61" s="2699"/>
      <c r="C61" s="2699"/>
      <c r="D61" s="2699"/>
      <c r="E61" s="2699"/>
      <c r="F61" s="2699"/>
      <c r="G61" s="2700"/>
      <c r="H61" s="2699"/>
      <c r="I61" s="2700"/>
      <c r="J61" s="2699"/>
      <c r="K61" s="2699"/>
      <c r="L61" s="2700"/>
      <c r="M61" s="2699"/>
      <c r="N61" s="2699"/>
      <c r="O61" s="2700"/>
      <c r="P61" s="2699"/>
      <c r="Q61" s="2699"/>
      <c r="R61" s="2701"/>
    </row>
    <row r="62" spans="2:18" s="904" customFormat="1">
      <c r="B62" s="2699"/>
      <c r="C62" s="2699"/>
      <c r="D62" s="2699"/>
      <c r="E62" s="2699"/>
      <c r="F62" s="2699"/>
      <c r="G62" s="2700"/>
      <c r="H62" s="2699"/>
      <c r="I62" s="2700"/>
      <c r="J62" s="2699"/>
      <c r="K62" s="2699"/>
      <c r="L62" s="2700"/>
      <c r="M62" s="2699"/>
      <c r="N62" s="2699"/>
      <c r="O62" s="2700"/>
      <c r="P62" s="2699"/>
      <c r="Q62" s="2699"/>
      <c r="R62" s="2701"/>
    </row>
    <row r="63" spans="2:18" s="904" customFormat="1">
      <c r="B63" s="2699"/>
      <c r="C63" s="2699"/>
      <c r="D63" s="2699"/>
      <c r="E63" s="2699"/>
      <c r="F63" s="2699"/>
      <c r="G63" s="2700"/>
      <c r="H63" s="2699"/>
      <c r="I63" s="2700"/>
      <c r="J63" s="2699"/>
      <c r="K63" s="2699"/>
      <c r="L63" s="2700"/>
      <c r="M63" s="2699"/>
      <c r="N63" s="2699"/>
      <c r="O63" s="2700"/>
      <c r="P63" s="2699"/>
      <c r="Q63" s="2699"/>
      <c r="R63" s="2701"/>
    </row>
    <row r="64" spans="2:18" s="904" customFormat="1">
      <c r="B64" s="2699"/>
      <c r="C64" s="2699"/>
      <c r="D64" s="2699"/>
      <c r="E64" s="2699"/>
      <c r="F64" s="2699"/>
      <c r="G64" s="2700"/>
      <c r="H64" s="2699"/>
      <c r="I64" s="2700"/>
      <c r="J64" s="2699"/>
      <c r="K64" s="2699"/>
      <c r="L64" s="2700"/>
      <c r="M64" s="2699"/>
      <c r="N64" s="2699"/>
      <c r="O64" s="2700"/>
      <c r="P64" s="2699"/>
      <c r="Q64" s="2699"/>
      <c r="R64" s="2701"/>
    </row>
    <row r="65" spans="2:18" s="904" customFormat="1">
      <c r="B65" s="2699"/>
      <c r="C65" s="2699"/>
      <c r="D65" s="2699"/>
      <c r="E65" s="2699"/>
      <c r="F65" s="2699"/>
      <c r="G65" s="2700"/>
      <c r="H65" s="2699"/>
      <c r="I65" s="2700"/>
      <c r="J65" s="2699"/>
      <c r="K65" s="2699"/>
      <c r="L65" s="2700"/>
      <c r="M65" s="2699"/>
      <c r="N65" s="2699"/>
      <c r="O65" s="2700"/>
      <c r="P65" s="2699"/>
      <c r="Q65" s="2699"/>
      <c r="R65" s="2701"/>
    </row>
    <row r="66" spans="2:18" s="904" customFormat="1">
      <c r="B66" s="2699"/>
      <c r="C66" s="2699"/>
      <c r="D66" s="2699"/>
      <c r="E66" s="2699"/>
      <c r="F66" s="2699"/>
      <c r="G66" s="2700"/>
      <c r="H66" s="2699"/>
      <c r="I66" s="2700"/>
      <c r="J66" s="2699"/>
      <c r="K66" s="2699"/>
      <c r="L66" s="2700"/>
      <c r="M66" s="2699"/>
      <c r="N66" s="2699"/>
      <c r="O66" s="2700"/>
      <c r="P66" s="2699"/>
      <c r="Q66" s="2699"/>
      <c r="R66" s="2701"/>
    </row>
    <row r="67" spans="2:18" s="904" customFormat="1">
      <c r="B67" s="2699"/>
      <c r="C67" s="2699"/>
      <c r="D67" s="2699"/>
      <c r="E67" s="2699"/>
      <c r="F67" s="2699"/>
      <c r="G67" s="2700"/>
      <c r="H67" s="2699"/>
      <c r="I67" s="2700"/>
      <c r="J67" s="2699"/>
      <c r="K67" s="2699"/>
      <c r="L67" s="2700"/>
      <c r="M67" s="2699"/>
      <c r="N67" s="2699"/>
      <c r="O67" s="2700"/>
      <c r="P67" s="2699"/>
      <c r="Q67" s="2699"/>
      <c r="R67" s="2701"/>
    </row>
    <row r="68" spans="2:18" s="904" customFormat="1">
      <c r="B68" s="2699"/>
      <c r="C68" s="2699"/>
      <c r="D68" s="2699"/>
      <c r="E68" s="2699"/>
      <c r="F68" s="2699"/>
      <c r="G68" s="2700"/>
      <c r="H68" s="2699"/>
      <c r="I68" s="2700"/>
      <c r="J68" s="2699"/>
      <c r="K68" s="2699"/>
      <c r="L68" s="2700"/>
      <c r="M68" s="2699"/>
      <c r="N68" s="2699"/>
      <c r="O68" s="2700"/>
      <c r="P68" s="2699"/>
      <c r="Q68" s="2699"/>
      <c r="R68" s="2701"/>
    </row>
    <row r="69" spans="2:18" s="904" customFormat="1">
      <c r="B69" s="2699"/>
      <c r="C69" s="2699"/>
      <c r="D69" s="2699"/>
      <c r="E69" s="2699"/>
      <c r="F69" s="2699"/>
      <c r="G69" s="2700"/>
      <c r="H69" s="2699"/>
      <c r="I69" s="2700"/>
      <c r="J69" s="2699"/>
      <c r="K69" s="2699"/>
      <c r="L69" s="2700"/>
      <c r="M69" s="2699"/>
      <c r="N69" s="2699"/>
      <c r="O69" s="2700"/>
      <c r="P69" s="2699"/>
      <c r="Q69" s="2699"/>
      <c r="R69" s="2701"/>
    </row>
    <row r="70" spans="2:18" s="904" customFormat="1">
      <c r="B70" s="2699"/>
      <c r="C70" s="2699"/>
      <c r="D70" s="2699"/>
      <c r="E70" s="2699"/>
      <c r="F70" s="2699"/>
      <c r="G70" s="2700"/>
      <c r="H70" s="2699"/>
      <c r="I70" s="2700"/>
      <c r="J70" s="2699"/>
      <c r="K70" s="2699"/>
      <c r="L70" s="2700"/>
      <c r="M70" s="2699"/>
      <c r="N70" s="2699"/>
      <c r="O70" s="2700"/>
      <c r="P70" s="2699"/>
      <c r="Q70" s="2699"/>
      <c r="R70" s="2701"/>
    </row>
    <row r="71" spans="2:18" s="904" customFormat="1">
      <c r="B71" s="2699"/>
      <c r="C71" s="2699"/>
      <c r="D71" s="2699"/>
      <c r="E71" s="2699"/>
      <c r="F71" s="2699"/>
      <c r="G71" s="2700"/>
      <c r="H71" s="2699"/>
      <c r="I71" s="2700"/>
      <c r="J71" s="2699"/>
      <c r="K71" s="2699"/>
      <c r="L71" s="2700"/>
      <c r="M71" s="2699"/>
      <c r="N71" s="2699"/>
      <c r="O71" s="2700"/>
      <c r="P71" s="2699"/>
      <c r="Q71" s="2699"/>
      <c r="R71" s="2701"/>
    </row>
    <row r="72" spans="2:18" s="904" customFormat="1">
      <c r="B72" s="2699"/>
      <c r="C72" s="2699"/>
      <c r="D72" s="2699"/>
      <c r="E72" s="2699"/>
      <c r="F72" s="2699"/>
      <c r="G72" s="2700"/>
      <c r="H72" s="2699"/>
      <c r="I72" s="2700"/>
      <c r="J72" s="2699"/>
      <c r="K72" s="2699"/>
      <c r="L72" s="2700"/>
      <c r="M72" s="2699"/>
      <c r="N72" s="2699"/>
      <c r="O72" s="2700"/>
      <c r="P72" s="2699"/>
      <c r="Q72" s="2699"/>
      <c r="R72" s="2701"/>
    </row>
    <row r="73" spans="2:18" s="904" customFormat="1">
      <c r="B73" s="2699"/>
      <c r="C73" s="2699"/>
      <c r="D73" s="2699"/>
      <c r="E73" s="2699"/>
      <c r="F73" s="2699"/>
      <c r="G73" s="2700"/>
      <c r="H73" s="2699"/>
      <c r="I73" s="2700"/>
      <c r="J73" s="2699"/>
      <c r="K73" s="2699"/>
      <c r="L73" s="2700"/>
      <c r="M73" s="2699"/>
      <c r="N73" s="2699"/>
      <c r="O73" s="2700"/>
      <c r="P73" s="2699"/>
      <c r="Q73" s="2699"/>
      <c r="R73" s="2701"/>
    </row>
    <row r="74" spans="2:18" s="904" customFormat="1">
      <c r="B74" s="2699"/>
      <c r="C74" s="2699"/>
      <c r="D74" s="2699"/>
      <c r="E74" s="2699"/>
      <c r="F74" s="2699"/>
      <c r="G74" s="2700"/>
      <c r="H74" s="2699"/>
      <c r="I74" s="2700"/>
      <c r="J74" s="2699"/>
      <c r="K74" s="2699"/>
      <c r="L74" s="2700"/>
      <c r="M74" s="2699"/>
      <c r="N74" s="2699"/>
      <c r="O74" s="2700"/>
      <c r="P74" s="2699"/>
      <c r="Q74" s="2699"/>
      <c r="R74" s="2701"/>
    </row>
    <row r="75" spans="2:18" s="904" customFormat="1">
      <c r="B75" s="2699"/>
      <c r="C75" s="2699"/>
      <c r="D75" s="2699"/>
      <c r="E75" s="2699"/>
      <c r="F75" s="2699"/>
      <c r="G75" s="2700"/>
      <c r="H75" s="2699"/>
      <c r="I75" s="2700"/>
      <c r="J75" s="2699"/>
      <c r="K75" s="2699"/>
      <c r="L75" s="2700"/>
      <c r="M75" s="2699"/>
      <c r="N75" s="2699"/>
      <c r="O75" s="2700"/>
      <c r="P75" s="2699"/>
      <c r="Q75" s="2699"/>
      <c r="R75" s="2701"/>
    </row>
    <row r="76" spans="2:18" s="904" customFormat="1">
      <c r="B76" s="2699"/>
      <c r="C76" s="2699"/>
      <c r="D76" s="2699"/>
      <c r="E76" s="2699"/>
      <c r="F76" s="2699"/>
      <c r="G76" s="2700"/>
      <c r="H76" s="2699"/>
      <c r="I76" s="2700"/>
      <c r="J76" s="2699"/>
      <c r="K76" s="2699"/>
      <c r="L76" s="2700"/>
      <c r="M76" s="2699"/>
      <c r="N76" s="2699"/>
      <c r="O76" s="2700"/>
      <c r="P76" s="2699"/>
      <c r="Q76" s="2699"/>
      <c r="R76" s="2701"/>
    </row>
    <row r="77" spans="2:18" s="904" customFormat="1">
      <c r="B77" s="2699"/>
      <c r="C77" s="2699"/>
      <c r="D77" s="2699"/>
      <c r="E77" s="2699"/>
      <c r="F77" s="2699"/>
      <c r="G77" s="2700"/>
      <c r="H77" s="2699"/>
      <c r="I77" s="2700"/>
      <c r="J77" s="2699"/>
      <c r="K77" s="2699"/>
      <c r="L77" s="2700"/>
      <c r="M77" s="2699"/>
      <c r="N77" s="2699"/>
      <c r="O77" s="2700"/>
      <c r="P77" s="2699"/>
      <c r="Q77" s="2699"/>
      <c r="R77" s="2701"/>
    </row>
    <row r="78" spans="2:18" s="904" customFormat="1">
      <c r="B78" s="2699"/>
      <c r="C78" s="2699"/>
      <c r="D78" s="2699"/>
      <c r="E78" s="2699"/>
      <c r="F78" s="2699"/>
      <c r="G78" s="2700"/>
      <c r="H78" s="2699"/>
      <c r="I78" s="2700"/>
      <c r="J78" s="2699"/>
      <c r="K78" s="2699"/>
      <c r="L78" s="2700"/>
      <c r="M78" s="2699"/>
      <c r="N78" s="2699"/>
      <c r="O78" s="2700"/>
      <c r="P78" s="2699"/>
      <c r="Q78" s="2699"/>
      <c r="R78" s="2701"/>
    </row>
    <row r="79" spans="2:18" s="904" customFormat="1">
      <c r="B79" s="2699"/>
      <c r="C79" s="2699"/>
      <c r="D79" s="2699"/>
      <c r="E79" s="2699"/>
      <c r="F79" s="2699"/>
      <c r="G79" s="2700"/>
      <c r="H79" s="2699"/>
      <c r="I79" s="2700"/>
      <c r="J79" s="2699"/>
      <c r="K79" s="2699"/>
      <c r="L79" s="2700"/>
      <c r="M79" s="2699"/>
      <c r="N79" s="2699"/>
      <c r="O79" s="2700"/>
      <c r="P79" s="2699"/>
      <c r="Q79" s="2699"/>
      <c r="R79" s="2701"/>
    </row>
    <row r="80" spans="2:18" s="904" customFormat="1">
      <c r="B80" s="2699"/>
      <c r="C80" s="2699"/>
      <c r="D80" s="2699"/>
      <c r="E80" s="2699"/>
      <c r="F80" s="2699"/>
      <c r="G80" s="2700"/>
      <c r="H80" s="2699"/>
      <c r="I80" s="2700"/>
      <c r="J80" s="2699"/>
      <c r="K80" s="2699"/>
      <c r="L80" s="2700"/>
      <c r="M80" s="2699"/>
      <c r="N80" s="2699"/>
      <c r="O80" s="2700"/>
      <c r="P80" s="2699"/>
      <c r="Q80" s="2699"/>
      <c r="R80" s="2701"/>
    </row>
    <row r="81" spans="2:18" s="904" customFormat="1">
      <c r="B81" s="2699"/>
      <c r="C81" s="2699"/>
      <c r="D81" s="2699"/>
      <c r="E81" s="2699"/>
      <c r="F81" s="2699"/>
      <c r="G81" s="2700"/>
      <c r="H81" s="2699"/>
      <c r="I81" s="2700"/>
      <c r="J81" s="2699"/>
      <c r="K81" s="2699"/>
      <c r="L81" s="2700"/>
      <c r="M81" s="2699"/>
      <c r="N81" s="2699"/>
      <c r="O81" s="2700"/>
      <c r="P81" s="2699"/>
      <c r="Q81" s="2699"/>
      <c r="R81" s="2701"/>
    </row>
    <row r="82" spans="2:18" s="904" customFormat="1">
      <c r="B82" s="2699"/>
      <c r="C82" s="2699"/>
      <c r="D82" s="2699"/>
      <c r="E82" s="2699"/>
      <c r="F82" s="2699"/>
      <c r="G82" s="2700"/>
      <c r="H82" s="2699"/>
      <c r="I82" s="2700"/>
      <c r="J82" s="2699"/>
      <c r="K82" s="2699"/>
      <c r="L82" s="2700"/>
      <c r="M82" s="2699"/>
      <c r="N82" s="2699"/>
      <c r="O82" s="2700"/>
      <c r="P82" s="2699"/>
      <c r="Q82" s="2699"/>
      <c r="R82" s="2701"/>
    </row>
    <row r="83" spans="2:18" s="904" customFormat="1">
      <c r="B83" s="2699"/>
      <c r="C83" s="2699"/>
      <c r="D83" s="2699"/>
      <c r="E83" s="2699"/>
      <c r="F83" s="2699"/>
      <c r="G83" s="2700"/>
      <c r="H83" s="2699"/>
      <c r="I83" s="2700"/>
      <c r="J83" s="2699"/>
      <c r="K83" s="2699"/>
      <c r="L83" s="2700"/>
      <c r="M83" s="2699"/>
      <c r="N83" s="2699"/>
      <c r="O83" s="2700"/>
      <c r="P83" s="2699"/>
      <c r="Q83" s="2699"/>
      <c r="R83" s="2701"/>
    </row>
    <row r="84" spans="2:18" s="904" customFormat="1">
      <c r="B84" s="2699"/>
      <c r="C84" s="2699"/>
      <c r="D84" s="2699"/>
      <c r="E84" s="2699"/>
      <c r="F84" s="2699"/>
      <c r="G84" s="2700"/>
      <c r="H84" s="2699"/>
      <c r="I84" s="2700"/>
      <c r="J84" s="2699"/>
      <c r="K84" s="2699"/>
      <c r="L84" s="2700"/>
      <c r="M84" s="2699"/>
      <c r="N84" s="2699"/>
      <c r="O84" s="2700"/>
      <c r="P84" s="2699"/>
      <c r="Q84" s="2699"/>
      <c r="R84" s="2701"/>
    </row>
    <row r="85" spans="2:18" s="904" customFormat="1">
      <c r="B85" s="2699"/>
      <c r="C85" s="2699"/>
      <c r="D85" s="2699"/>
      <c r="E85" s="2699"/>
      <c r="F85" s="2699"/>
      <c r="G85" s="2700"/>
      <c r="H85" s="2699"/>
      <c r="I85" s="2700"/>
      <c r="J85" s="2699"/>
      <c r="K85" s="2699"/>
      <c r="L85" s="2700"/>
      <c r="M85" s="2699"/>
      <c r="N85" s="2699"/>
      <c r="O85" s="2700"/>
      <c r="P85" s="2699"/>
      <c r="Q85" s="2699"/>
      <c r="R85" s="2701"/>
    </row>
    <row r="86" spans="2:18" s="904" customFormat="1">
      <c r="B86" s="2699"/>
      <c r="C86" s="2699"/>
      <c r="D86" s="2699"/>
      <c r="E86" s="2699"/>
      <c r="F86" s="2699"/>
      <c r="G86" s="2700"/>
      <c r="H86" s="2699"/>
      <c r="I86" s="2700"/>
      <c r="J86" s="2699"/>
      <c r="K86" s="2699"/>
      <c r="L86" s="2700"/>
      <c r="M86" s="2699"/>
      <c r="N86" s="2699"/>
      <c r="O86" s="2700"/>
      <c r="P86" s="2699"/>
      <c r="Q86" s="2699"/>
      <c r="R86" s="2701"/>
    </row>
    <row r="87" spans="2:18" s="904" customFormat="1">
      <c r="B87" s="2699"/>
      <c r="C87" s="2699"/>
      <c r="D87" s="2699"/>
      <c r="E87" s="2699"/>
      <c r="F87" s="2699"/>
      <c r="G87" s="2700"/>
      <c r="H87" s="2699"/>
      <c r="I87" s="2700"/>
      <c r="J87" s="2699"/>
      <c r="K87" s="2699"/>
      <c r="L87" s="2700"/>
      <c r="M87" s="2699"/>
      <c r="N87" s="2699"/>
      <c r="O87" s="2700"/>
      <c r="P87" s="2699"/>
      <c r="Q87" s="2699"/>
      <c r="R87" s="2701"/>
    </row>
    <row r="88" spans="2:18" s="904" customFormat="1">
      <c r="B88" s="2699"/>
      <c r="C88" s="2699"/>
      <c r="D88" s="2699"/>
      <c r="E88" s="2699"/>
      <c r="F88" s="2699"/>
      <c r="G88" s="2700"/>
      <c r="H88" s="2699"/>
      <c r="I88" s="2700"/>
      <c r="J88" s="2699"/>
      <c r="K88" s="2699"/>
      <c r="L88" s="2700"/>
      <c r="M88" s="2699"/>
      <c r="N88" s="2699"/>
      <c r="O88" s="2700"/>
      <c r="P88" s="2699"/>
      <c r="Q88" s="2699"/>
      <c r="R88" s="2701"/>
    </row>
    <row r="89" spans="2:18" s="904" customFormat="1">
      <c r="B89" s="2699"/>
      <c r="C89" s="2699"/>
      <c r="D89" s="2699"/>
      <c r="E89" s="2699"/>
      <c r="F89" s="2699"/>
      <c r="G89" s="2700"/>
      <c r="H89" s="2699"/>
      <c r="I89" s="2700"/>
      <c r="J89" s="2699"/>
      <c r="K89" s="2699"/>
      <c r="L89" s="2700"/>
      <c r="M89" s="2699"/>
      <c r="N89" s="2699"/>
      <c r="O89" s="2700"/>
      <c r="P89" s="2699"/>
      <c r="Q89" s="2699"/>
      <c r="R89" s="2701"/>
    </row>
    <row r="90" spans="2:18" s="904" customFormat="1">
      <c r="B90" s="2699"/>
      <c r="C90" s="2699"/>
      <c r="D90" s="2699"/>
      <c r="E90" s="2699"/>
      <c r="F90" s="2699"/>
      <c r="G90" s="2700"/>
      <c r="H90" s="2699"/>
      <c r="I90" s="2700"/>
      <c r="J90" s="2699"/>
      <c r="K90" s="2699"/>
      <c r="L90" s="2700"/>
      <c r="M90" s="2699"/>
      <c r="N90" s="2699"/>
      <c r="O90" s="2700"/>
      <c r="P90" s="2699"/>
      <c r="Q90" s="2699"/>
      <c r="R90" s="2701"/>
    </row>
    <row r="91" spans="2:18" s="904" customFormat="1">
      <c r="B91" s="2699"/>
      <c r="C91" s="2699"/>
      <c r="D91" s="2699"/>
      <c r="E91" s="2699"/>
      <c r="F91" s="2699"/>
      <c r="G91" s="2700"/>
      <c r="H91" s="2699"/>
      <c r="I91" s="2700"/>
      <c r="J91" s="2699"/>
      <c r="K91" s="2699"/>
      <c r="L91" s="2700"/>
      <c r="M91" s="2699"/>
      <c r="N91" s="2699"/>
      <c r="O91" s="2700"/>
      <c r="P91" s="2699"/>
      <c r="Q91" s="2699"/>
      <c r="R91" s="2701"/>
    </row>
    <row r="92" spans="2:18" s="904" customFormat="1">
      <c r="B92" s="2699"/>
      <c r="C92" s="2699"/>
      <c r="D92" s="2699"/>
      <c r="E92" s="2699"/>
      <c r="F92" s="2699"/>
      <c r="G92" s="2700"/>
      <c r="H92" s="2699"/>
      <c r="I92" s="2700"/>
      <c r="J92" s="2699"/>
      <c r="K92" s="2699"/>
      <c r="L92" s="2700"/>
      <c r="M92" s="2699"/>
      <c r="N92" s="2699"/>
      <c r="O92" s="2700"/>
      <c r="P92" s="2699"/>
      <c r="Q92" s="2699"/>
      <c r="R92" s="2701"/>
    </row>
    <row r="93" spans="2:18" s="904" customFormat="1">
      <c r="B93" s="2699"/>
      <c r="C93" s="2699"/>
      <c r="D93" s="2699"/>
      <c r="E93" s="2699"/>
      <c r="F93" s="2699"/>
      <c r="G93" s="2700"/>
      <c r="H93" s="2699"/>
      <c r="I93" s="2700"/>
      <c r="J93" s="2699"/>
      <c r="K93" s="2699"/>
      <c r="L93" s="2700"/>
      <c r="M93" s="2699"/>
      <c r="N93" s="2699"/>
      <c r="O93" s="2700"/>
      <c r="P93" s="2699"/>
      <c r="Q93" s="2699"/>
      <c r="R93" s="2701"/>
    </row>
    <row r="94" spans="2:18" s="904" customFormat="1">
      <c r="B94" s="2699"/>
      <c r="C94" s="2699"/>
      <c r="D94" s="2699"/>
      <c r="E94" s="2699"/>
      <c r="F94" s="2699"/>
      <c r="G94" s="2700"/>
      <c r="H94" s="2699"/>
      <c r="I94" s="2700"/>
      <c r="J94" s="2699"/>
      <c r="K94" s="2699"/>
      <c r="L94" s="2700"/>
      <c r="M94" s="2699"/>
      <c r="N94" s="2699"/>
      <c r="O94" s="2700"/>
      <c r="P94" s="2699"/>
      <c r="Q94" s="2699"/>
      <c r="R94" s="2701"/>
    </row>
    <row r="95" spans="2:18" s="904" customFormat="1">
      <c r="B95" s="2699"/>
      <c r="C95" s="2699"/>
      <c r="D95" s="2699"/>
      <c r="E95" s="2699"/>
      <c r="F95" s="2699"/>
      <c r="G95" s="2700"/>
      <c r="H95" s="2699"/>
      <c r="I95" s="2700"/>
      <c r="J95" s="2699"/>
      <c r="K95" s="2699"/>
      <c r="L95" s="2700"/>
      <c r="M95" s="2699"/>
      <c r="N95" s="2699"/>
      <c r="O95" s="2700"/>
      <c r="P95" s="2699"/>
      <c r="Q95" s="2699"/>
      <c r="R95" s="2701"/>
    </row>
    <row r="96" spans="2:18" s="904" customFormat="1">
      <c r="B96" s="2699"/>
      <c r="C96" s="2699"/>
      <c r="D96" s="2699"/>
      <c r="E96" s="2699"/>
      <c r="F96" s="2699"/>
      <c r="G96" s="2700"/>
      <c r="H96" s="2699"/>
      <c r="I96" s="2700"/>
      <c r="J96" s="2699"/>
      <c r="K96" s="2699"/>
      <c r="L96" s="2700"/>
      <c r="M96" s="2699"/>
      <c r="N96" s="2699"/>
      <c r="O96" s="2700"/>
      <c r="P96" s="2699"/>
      <c r="Q96" s="2699"/>
      <c r="R96" s="2701"/>
    </row>
    <row r="97" spans="2:18" s="904" customFormat="1">
      <c r="B97" s="2699"/>
      <c r="C97" s="2699"/>
      <c r="D97" s="2699"/>
      <c r="E97" s="2699"/>
      <c r="F97" s="2699"/>
      <c r="G97" s="2700"/>
      <c r="H97" s="2699"/>
      <c r="I97" s="2700"/>
      <c r="J97" s="2699"/>
      <c r="K97" s="2699"/>
      <c r="L97" s="2700"/>
      <c r="M97" s="2699"/>
      <c r="N97" s="2699"/>
      <c r="O97" s="2700"/>
      <c r="P97" s="2699"/>
      <c r="Q97" s="2699"/>
      <c r="R97" s="2701"/>
    </row>
    <row r="98" spans="2:18" s="904" customFormat="1">
      <c r="B98" s="2699"/>
      <c r="C98" s="2699"/>
      <c r="D98" s="2699"/>
      <c r="E98" s="2699"/>
      <c r="F98" s="2699"/>
      <c r="G98" s="2700"/>
      <c r="H98" s="2699"/>
      <c r="I98" s="2700"/>
      <c r="J98" s="2699"/>
      <c r="K98" s="2699"/>
      <c r="L98" s="2700"/>
      <c r="M98" s="2699"/>
      <c r="N98" s="2699"/>
      <c r="O98" s="2700"/>
      <c r="P98" s="2699"/>
      <c r="Q98" s="2699"/>
      <c r="R98" s="2701"/>
    </row>
    <row r="99" spans="2:18" s="904" customFormat="1">
      <c r="B99" s="2699"/>
      <c r="C99" s="2699"/>
      <c r="D99" s="2699"/>
      <c r="E99" s="2699"/>
      <c r="F99" s="2699"/>
      <c r="G99" s="2700"/>
      <c r="H99" s="2699"/>
      <c r="I99" s="2700"/>
      <c r="J99" s="2699"/>
      <c r="K99" s="2699"/>
      <c r="L99" s="2700"/>
      <c r="M99" s="2699"/>
      <c r="N99" s="2699"/>
      <c r="O99" s="2700"/>
      <c r="P99" s="2699"/>
      <c r="Q99" s="2699"/>
      <c r="R99" s="2701"/>
    </row>
    <row r="100" spans="2:18" s="904" customFormat="1">
      <c r="B100" s="2699"/>
      <c r="C100" s="2699"/>
      <c r="D100" s="2699"/>
      <c r="E100" s="2699"/>
      <c r="F100" s="2699"/>
      <c r="G100" s="2700"/>
      <c r="H100" s="2699"/>
      <c r="I100" s="2700"/>
      <c r="J100" s="2699"/>
      <c r="K100" s="2699"/>
      <c r="L100" s="2700"/>
      <c r="M100" s="2699"/>
      <c r="N100" s="2699"/>
      <c r="O100" s="2700"/>
      <c r="P100" s="2699"/>
      <c r="Q100" s="2699"/>
      <c r="R100" s="2701"/>
    </row>
    <row r="101" spans="2:18" s="904" customFormat="1">
      <c r="B101" s="2699"/>
      <c r="C101" s="2699"/>
      <c r="D101" s="2699"/>
      <c r="E101" s="2699"/>
      <c r="F101" s="2699"/>
      <c r="G101" s="2700"/>
      <c r="H101" s="2699"/>
      <c r="I101" s="2700"/>
      <c r="J101" s="2699"/>
      <c r="K101" s="2699"/>
      <c r="L101" s="2700"/>
      <c r="M101" s="2699"/>
      <c r="N101" s="2699"/>
      <c r="O101" s="2700"/>
      <c r="P101" s="2699"/>
      <c r="Q101" s="2699"/>
      <c r="R101" s="2701"/>
    </row>
    <row r="102" spans="2:18" s="904" customFormat="1">
      <c r="B102" s="2699"/>
      <c r="C102" s="2699"/>
      <c r="D102" s="2699"/>
      <c r="E102" s="2699"/>
      <c r="F102" s="2699"/>
      <c r="G102" s="2700"/>
      <c r="H102" s="2699"/>
      <c r="I102" s="2700"/>
      <c r="J102" s="2699"/>
      <c r="K102" s="2699"/>
      <c r="L102" s="2700"/>
      <c r="M102" s="2699"/>
      <c r="N102" s="2699"/>
      <c r="O102" s="2700"/>
      <c r="P102" s="2699"/>
      <c r="Q102" s="2699"/>
      <c r="R102" s="2701"/>
    </row>
    <row r="103" spans="2:18" s="904" customFormat="1">
      <c r="B103" s="2699"/>
      <c r="C103" s="2699"/>
      <c r="D103" s="2699"/>
      <c r="E103" s="2699"/>
      <c r="F103" s="2699"/>
      <c r="G103" s="2700"/>
      <c r="H103" s="2699"/>
      <c r="I103" s="2700"/>
      <c r="J103" s="2699"/>
      <c r="K103" s="2699"/>
      <c r="L103" s="2700"/>
      <c r="M103" s="2699"/>
      <c r="N103" s="2699"/>
      <c r="O103" s="2700"/>
      <c r="P103" s="2699"/>
      <c r="Q103" s="2699"/>
      <c r="R103" s="2701"/>
    </row>
    <row r="104" spans="2:18" s="904" customFormat="1">
      <c r="B104" s="2699"/>
      <c r="C104" s="2699"/>
      <c r="D104" s="2699"/>
      <c r="E104" s="2699"/>
      <c r="F104" s="2699"/>
      <c r="G104" s="2700"/>
      <c r="H104" s="2699"/>
      <c r="I104" s="2700"/>
      <c r="J104" s="2699"/>
      <c r="K104" s="2699"/>
      <c r="L104" s="2700"/>
      <c r="M104" s="2699"/>
      <c r="N104" s="2699"/>
      <c r="O104" s="2700"/>
      <c r="P104" s="2699"/>
      <c r="Q104" s="2699"/>
      <c r="R104" s="2701"/>
    </row>
    <row r="105" spans="2:18" s="904" customFormat="1">
      <c r="B105" s="2699"/>
      <c r="C105" s="2699"/>
      <c r="D105" s="2699"/>
      <c r="E105" s="2699"/>
      <c r="F105" s="2699"/>
      <c r="G105" s="2700"/>
      <c r="H105" s="2699"/>
      <c r="I105" s="2700"/>
      <c r="J105" s="2699"/>
      <c r="K105" s="2699"/>
      <c r="L105" s="2700"/>
      <c r="M105" s="2699"/>
      <c r="N105" s="2699"/>
      <c r="O105" s="2700"/>
      <c r="P105" s="2699"/>
      <c r="Q105" s="2699"/>
      <c r="R105" s="2701"/>
    </row>
    <row r="106" spans="2:18" s="904" customFormat="1">
      <c r="B106" s="2699"/>
      <c r="C106" s="2699"/>
      <c r="D106" s="2699"/>
      <c r="E106" s="2699"/>
      <c r="F106" s="2699"/>
      <c r="G106" s="2700"/>
      <c r="H106" s="2699"/>
      <c r="I106" s="2700"/>
      <c r="J106" s="2699"/>
      <c r="K106" s="2699"/>
      <c r="L106" s="2700"/>
      <c r="M106" s="2699"/>
      <c r="N106" s="2699"/>
      <c r="O106" s="2700"/>
      <c r="P106" s="2699"/>
      <c r="Q106" s="2699"/>
      <c r="R106" s="2701"/>
    </row>
    <row r="107" spans="2:18" s="904" customFormat="1">
      <c r="B107" s="2699"/>
      <c r="C107" s="2699"/>
      <c r="D107" s="2699"/>
      <c r="E107" s="2699"/>
      <c r="F107" s="2699"/>
      <c r="G107" s="2700"/>
      <c r="H107" s="2699"/>
      <c r="I107" s="2700"/>
      <c r="J107" s="2699"/>
      <c r="K107" s="2699"/>
      <c r="L107" s="2700"/>
      <c r="M107" s="2699"/>
      <c r="N107" s="2699"/>
      <c r="O107" s="2700"/>
      <c r="P107" s="2699"/>
      <c r="Q107" s="2699"/>
      <c r="R107" s="2701"/>
    </row>
    <row r="108" spans="2:18" s="904" customFormat="1">
      <c r="B108" s="2699"/>
      <c r="C108" s="2699"/>
      <c r="D108" s="2699"/>
      <c r="E108" s="2699"/>
      <c r="F108" s="2699"/>
      <c r="G108" s="2700"/>
      <c r="H108" s="2699"/>
      <c r="I108" s="2700"/>
      <c r="J108" s="2699"/>
      <c r="K108" s="2699"/>
      <c r="L108" s="2700"/>
      <c r="M108" s="2699"/>
      <c r="N108" s="2699"/>
      <c r="O108" s="2700"/>
      <c r="P108" s="2699"/>
      <c r="Q108" s="2699"/>
      <c r="R108" s="2701"/>
    </row>
    <row r="109" spans="2:18" s="904" customFormat="1">
      <c r="B109" s="2699"/>
      <c r="C109" s="2699"/>
      <c r="D109" s="2699"/>
      <c r="E109" s="2699"/>
      <c r="F109" s="2699"/>
      <c r="G109" s="2700"/>
      <c r="H109" s="2699"/>
      <c r="I109" s="2700"/>
      <c r="J109" s="2699"/>
      <c r="K109" s="2699"/>
      <c r="L109" s="2700"/>
      <c r="M109" s="2699"/>
      <c r="N109" s="2699"/>
      <c r="O109" s="2700"/>
      <c r="P109" s="2699"/>
      <c r="Q109" s="2699"/>
      <c r="R109" s="2701"/>
    </row>
    <row r="110" spans="2:18" s="904" customFormat="1">
      <c r="B110" s="2699"/>
      <c r="C110" s="2699"/>
      <c r="D110" s="2699"/>
      <c r="E110" s="2699"/>
      <c r="F110" s="2699"/>
      <c r="G110" s="2700"/>
      <c r="H110" s="2699"/>
      <c r="I110" s="2700"/>
      <c r="J110" s="2699"/>
      <c r="K110" s="2699"/>
      <c r="L110" s="2700"/>
      <c r="M110" s="2699"/>
      <c r="N110" s="2699"/>
      <c r="O110" s="2700"/>
      <c r="P110" s="2699"/>
      <c r="Q110" s="2699"/>
      <c r="R110" s="2701"/>
    </row>
    <row r="111" spans="2:18" s="904" customFormat="1">
      <c r="B111" s="2699"/>
      <c r="C111" s="2699"/>
      <c r="D111" s="2699"/>
      <c r="E111" s="2699"/>
      <c r="F111" s="2699"/>
      <c r="G111" s="2700"/>
      <c r="H111" s="2699"/>
      <c r="I111" s="2700"/>
      <c r="J111" s="2699"/>
      <c r="K111" s="2699"/>
      <c r="L111" s="2700"/>
      <c r="M111" s="2699"/>
      <c r="N111" s="2699"/>
      <c r="O111" s="2700"/>
      <c r="P111" s="2699"/>
      <c r="Q111" s="2699"/>
      <c r="R111" s="2701"/>
    </row>
    <row r="112" spans="2:18" s="904" customFormat="1">
      <c r="B112" s="2699"/>
      <c r="C112" s="2699"/>
      <c r="D112" s="2699"/>
      <c r="E112" s="2699"/>
      <c r="F112" s="2699"/>
      <c r="G112" s="2700"/>
      <c r="H112" s="2699"/>
      <c r="I112" s="2700"/>
      <c r="J112" s="2699"/>
      <c r="K112" s="2699"/>
      <c r="L112" s="2700"/>
      <c r="M112" s="2699"/>
      <c r="N112" s="2699"/>
      <c r="O112" s="2700"/>
      <c r="P112" s="2699"/>
      <c r="Q112" s="2699"/>
      <c r="R112" s="2701"/>
    </row>
    <row r="113" spans="2:18" s="904" customFormat="1">
      <c r="B113" s="2699"/>
      <c r="C113" s="2699"/>
      <c r="D113" s="2699"/>
      <c r="E113" s="2699"/>
      <c r="F113" s="2699"/>
      <c r="G113" s="2700"/>
      <c r="H113" s="2699"/>
      <c r="I113" s="2700"/>
      <c r="J113" s="2699"/>
      <c r="K113" s="2699"/>
      <c r="L113" s="2700"/>
      <c r="M113" s="2699"/>
      <c r="N113" s="2699"/>
      <c r="O113" s="2700"/>
      <c r="P113" s="2699"/>
      <c r="Q113" s="2699"/>
      <c r="R113" s="2701"/>
    </row>
    <row r="114" spans="2:18" s="904" customFormat="1">
      <c r="B114" s="2699"/>
      <c r="C114" s="2699"/>
      <c r="D114" s="2699"/>
      <c r="E114" s="2699"/>
      <c r="F114" s="2699"/>
      <c r="G114" s="2700"/>
      <c r="H114" s="2699"/>
      <c r="I114" s="2700"/>
      <c r="J114" s="2699"/>
      <c r="K114" s="2699"/>
      <c r="L114" s="2700"/>
      <c r="M114" s="2699"/>
      <c r="N114" s="2699"/>
      <c r="O114" s="2700"/>
      <c r="P114" s="2699"/>
      <c r="Q114" s="2699"/>
      <c r="R114" s="2701"/>
    </row>
    <row r="115" spans="2:18" s="904" customFormat="1">
      <c r="B115" s="2699"/>
      <c r="C115" s="2699"/>
      <c r="D115" s="2699"/>
      <c r="E115" s="2699"/>
      <c r="F115" s="2699"/>
      <c r="G115" s="2700"/>
      <c r="H115" s="2699"/>
      <c r="I115" s="2700"/>
      <c r="J115" s="2699"/>
      <c r="K115" s="2699"/>
      <c r="L115" s="2700"/>
      <c r="M115" s="2699"/>
      <c r="N115" s="2699"/>
      <c r="O115" s="2700"/>
      <c r="P115" s="2699"/>
      <c r="Q115" s="2699"/>
      <c r="R115" s="2701"/>
    </row>
    <row r="116" spans="2:18" s="904" customFormat="1">
      <c r="B116" s="2699"/>
      <c r="C116" s="2699"/>
      <c r="D116" s="2699"/>
      <c r="E116" s="2699"/>
      <c r="F116" s="2699"/>
      <c r="G116" s="2700"/>
      <c r="H116" s="2699"/>
      <c r="I116" s="2700"/>
      <c r="J116" s="2699"/>
      <c r="K116" s="2699"/>
      <c r="L116" s="2700"/>
      <c r="M116" s="2699"/>
      <c r="N116" s="2699"/>
      <c r="O116" s="2700"/>
      <c r="P116" s="2699"/>
      <c r="Q116" s="2699"/>
      <c r="R116" s="2701"/>
    </row>
    <row r="117" spans="2:18" s="904" customFormat="1">
      <c r="B117" s="2699"/>
      <c r="C117" s="2699"/>
      <c r="D117" s="2699"/>
      <c r="E117" s="2699"/>
      <c r="F117" s="2699"/>
      <c r="G117" s="2700"/>
      <c r="H117" s="2699"/>
      <c r="I117" s="2700"/>
      <c r="J117" s="2699"/>
      <c r="K117" s="2699"/>
      <c r="L117" s="2700"/>
      <c r="M117" s="2699"/>
      <c r="N117" s="2699"/>
      <c r="O117" s="2700"/>
      <c r="P117" s="2699"/>
      <c r="Q117" s="2699"/>
      <c r="R117" s="2701"/>
    </row>
    <row r="118" spans="2:18" s="904" customFormat="1">
      <c r="B118" s="2699"/>
      <c r="C118" s="2699"/>
      <c r="D118" s="2699"/>
      <c r="E118" s="2699"/>
      <c r="F118" s="2699"/>
      <c r="G118" s="2700"/>
      <c r="H118" s="2699"/>
      <c r="I118" s="2700"/>
      <c r="J118" s="2699"/>
      <c r="K118" s="2699"/>
      <c r="L118" s="2700"/>
      <c r="M118" s="2699"/>
      <c r="N118" s="2699"/>
      <c r="O118" s="2700"/>
      <c r="P118" s="2699"/>
      <c r="Q118" s="2699"/>
      <c r="R118" s="2701"/>
    </row>
    <row r="119" spans="2:18" s="904" customFormat="1">
      <c r="B119" s="2699"/>
      <c r="C119" s="2699"/>
      <c r="D119" s="2699"/>
      <c r="E119" s="2699"/>
      <c r="F119" s="2699"/>
      <c r="G119" s="2700"/>
      <c r="H119" s="2699"/>
      <c r="I119" s="2700"/>
      <c r="J119" s="2699"/>
      <c r="K119" s="2699"/>
      <c r="L119" s="2700"/>
      <c r="M119" s="2699"/>
      <c r="N119" s="2699"/>
      <c r="O119" s="2700"/>
      <c r="P119" s="2699"/>
      <c r="Q119" s="2699"/>
      <c r="R119" s="2701"/>
    </row>
    <row r="120" spans="2:18" s="904" customFormat="1">
      <c r="B120" s="2699"/>
      <c r="C120" s="2699"/>
      <c r="D120" s="2699"/>
      <c r="E120" s="2699"/>
      <c r="F120" s="2699"/>
      <c r="G120" s="2700"/>
      <c r="H120" s="2699"/>
      <c r="I120" s="2700"/>
      <c r="J120" s="2699"/>
      <c r="K120" s="2699"/>
      <c r="L120" s="2700"/>
      <c r="M120" s="2699"/>
      <c r="N120" s="2699"/>
      <c r="O120" s="2700"/>
      <c r="P120" s="2699"/>
      <c r="Q120" s="2699"/>
      <c r="R120" s="2701"/>
    </row>
    <row r="121" spans="2:18" s="904" customFormat="1">
      <c r="B121" s="2699"/>
      <c r="C121" s="2699"/>
      <c r="D121" s="2699"/>
      <c r="E121" s="2699"/>
      <c r="F121" s="2699"/>
      <c r="G121" s="2700"/>
      <c r="H121" s="2699"/>
      <c r="I121" s="2700"/>
      <c r="J121" s="2699"/>
      <c r="K121" s="2699"/>
      <c r="L121" s="2700"/>
      <c r="M121" s="2699"/>
      <c r="N121" s="2699"/>
      <c r="O121" s="2700"/>
      <c r="P121" s="2699"/>
      <c r="Q121" s="2699"/>
      <c r="R121" s="2701"/>
    </row>
    <row r="122" spans="2:18" s="904" customFormat="1">
      <c r="B122" s="2699"/>
      <c r="C122" s="2699"/>
      <c r="D122" s="2699"/>
      <c r="E122" s="2699"/>
      <c r="F122" s="2699"/>
      <c r="G122" s="2700"/>
      <c r="H122" s="2699"/>
      <c r="I122" s="2700"/>
      <c r="J122" s="2699"/>
      <c r="K122" s="2699"/>
      <c r="L122" s="2700"/>
      <c r="M122" s="2699"/>
      <c r="N122" s="2699"/>
      <c r="O122" s="2700"/>
      <c r="P122" s="2699"/>
      <c r="Q122" s="2699"/>
      <c r="R122" s="2701"/>
    </row>
    <row r="123" spans="2:18" s="904" customFormat="1">
      <c r="B123" s="2699"/>
      <c r="C123" s="2699"/>
      <c r="D123" s="2699"/>
      <c r="E123" s="2699"/>
      <c r="F123" s="2699"/>
      <c r="G123" s="2700"/>
      <c r="H123" s="2699"/>
      <c r="I123" s="2700"/>
      <c r="J123" s="2699"/>
      <c r="K123" s="2699"/>
      <c r="L123" s="2700"/>
      <c r="M123" s="2699"/>
      <c r="N123" s="2699"/>
      <c r="O123" s="2700"/>
      <c r="P123" s="2699"/>
      <c r="Q123" s="2699"/>
      <c r="R123" s="2701"/>
    </row>
    <row r="124" spans="2:18" s="904" customFormat="1">
      <c r="B124" s="2699"/>
      <c r="C124" s="2699"/>
      <c r="D124" s="2699"/>
      <c r="E124" s="2699"/>
      <c r="F124" s="2699"/>
      <c r="G124" s="2700"/>
      <c r="H124" s="2699"/>
      <c r="I124" s="2700"/>
      <c r="J124" s="2699"/>
      <c r="K124" s="2699"/>
      <c r="L124" s="2700"/>
      <c r="M124" s="2699"/>
      <c r="N124" s="2699"/>
      <c r="O124" s="2700"/>
      <c r="P124" s="2699"/>
      <c r="Q124" s="2699"/>
      <c r="R124" s="2701"/>
    </row>
    <row r="125" spans="2:18" s="904" customFormat="1">
      <c r="B125" s="2699"/>
      <c r="C125" s="2699"/>
      <c r="D125" s="2699"/>
      <c r="E125" s="2699"/>
      <c r="F125" s="2699"/>
      <c r="G125" s="2700"/>
      <c r="H125" s="2699"/>
      <c r="I125" s="2700"/>
      <c r="J125" s="2699"/>
      <c r="K125" s="2699"/>
      <c r="L125" s="2700"/>
      <c r="M125" s="2699"/>
      <c r="N125" s="2699"/>
      <c r="O125" s="2700"/>
      <c r="P125" s="2699"/>
      <c r="Q125" s="2699"/>
      <c r="R125" s="2701"/>
    </row>
    <row r="126" spans="2:18" s="904" customFormat="1">
      <c r="B126" s="2699"/>
      <c r="C126" s="2699"/>
      <c r="D126" s="2699"/>
      <c r="E126" s="2699"/>
      <c r="F126" s="2699"/>
      <c r="G126" s="2700"/>
      <c r="H126" s="2699"/>
      <c r="I126" s="2700"/>
      <c r="J126" s="2699"/>
      <c r="K126" s="2699"/>
      <c r="L126" s="2700"/>
      <c r="M126" s="2699"/>
      <c r="N126" s="2699"/>
      <c r="O126" s="2700"/>
      <c r="P126" s="2699"/>
      <c r="Q126" s="2699"/>
      <c r="R126" s="2701"/>
    </row>
    <row r="127" spans="2:18" s="904" customFormat="1">
      <c r="B127" s="2699"/>
      <c r="C127" s="2699"/>
      <c r="D127" s="2699"/>
      <c r="E127" s="2699"/>
      <c r="F127" s="2699"/>
      <c r="G127" s="2700"/>
      <c r="H127" s="2699"/>
      <c r="I127" s="2700"/>
      <c r="J127" s="2699"/>
      <c r="K127" s="2699"/>
      <c r="L127" s="2700"/>
      <c r="M127" s="2699"/>
      <c r="N127" s="2699"/>
      <c r="O127" s="2700"/>
      <c r="P127" s="2699"/>
      <c r="Q127" s="2699"/>
      <c r="R127" s="2701"/>
    </row>
    <row r="128" spans="2:18" s="904" customFormat="1">
      <c r="B128" s="2699"/>
      <c r="C128" s="2699"/>
      <c r="D128" s="2699"/>
      <c r="E128" s="2699"/>
      <c r="F128" s="2699"/>
      <c r="G128" s="2700"/>
      <c r="H128" s="2699"/>
      <c r="I128" s="2700"/>
      <c r="J128" s="2699"/>
      <c r="K128" s="2699"/>
      <c r="L128" s="2700"/>
      <c r="M128" s="2699"/>
      <c r="N128" s="2699"/>
      <c r="O128" s="2700"/>
      <c r="P128" s="2699"/>
      <c r="Q128" s="2699"/>
      <c r="R128" s="2701"/>
    </row>
    <row r="129" spans="2:18" s="904" customFormat="1">
      <c r="B129" s="2699"/>
      <c r="C129" s="2699"/>
      <c r="D129" s="2699"/>
      <c r="E129" s="2699"/>
      <c r="F129" s="2699"/>
      <c r="G129" s="2700"/>
      <c r="H129" s="2699"/>
      <c r="I129" s="2700"/>
      <c r="J129" s="2699"/>
      <c r="K129" s="2699"/>
      <c r="L129" s="2700"/>
      <c r="M129" s="2699"/>
      <c r="N129" s="2699"/>
      <c r="O129" s="2700"/>
      <c r="P129" s="2699"/>
      <c r="Q129" s="2699"/>
      <c r="R129" s="2701"/>
    </row>
    <row r="130" spans="2:18" s="904" customFormat="1">
      <c r="B130" s="2699"/>
      <c r="C130" s="2699"/>
      <c r="D130" s="2699"/>
      <c r="E130" s="2699"/>
      <c r="F130" s="2699"/>
      <c r="G130" s="2700"/>
      <c r="H130" s="2699"/>
      <c r="I130" s="2700"/>
      <c r="J130" s="2699"/>
      <c r="K130" s="2699"/>
      <c r="L130" s="2700"/>
      <c r="M130" s="2699"/>
      <c r="N130" s="2699"/>
      <c r="O130" s="2700"/>
      <c r="P130" s="2699"/>
      <c r="Q130" s="2699"/>
      <c r="R130" s="2701"/>
    </row>
    <row r="131" spans="2:18" s="904" customFormat="1">
      <c r="B131" s="2699"/>
      <c r="C131" s="2699"/>
      <c r="D131" s="2699"/>
      <c r="E131" s="2699"/>
      <c r="F131" s="2699"/>
      <c r="G131" s="2700"/>
      <c r="H131" s="2699"/>
      <c r="I131" s="2700"/>
      <c r="J131" s="2699"/>
      <c r="K131" s="2699"/>
      <c r="L131" s="2700"/>
      <c r="M131" s="2699"/>
      <c r="N131" s="2699"/>
      <c r="O131" s="2700"/>
      <c r="P131" s="2699"/>
      <c r="Q131" s="2699"/>
      <c r="R131" s="2701"/>
    </row>
    <row r="132" spans="2:18" s="904" customFormat="1">
      <c r="B132" s="2699"/>
      <c r="C132" s="2699"/>
      <c r="D132" s="2699"/>
      <c r="E132" s="2699"/>
      <c r="F132" s="2699"/>
      <c r="G132" s="2700"/>
      <c r="H132" s="2699"/>
      <c r="I132" s="2700"/>
      <c r="J132" s="2699"/>
      <c r="K132" s="2699"/>
      <c r="L132" s="2700"/>
      <c r="M132" s="2699"/>
      <c r="N132" s="2699"/>
      <c r="O132" s="2700"/>
      <c r="P132" s="2699"/>
      <c r="Q132" s="2699"/>
      <c r="R132" s="2701"/>
    </row>
    <row r="133" spans="2:18" s="904" customFormat="1">
      <c r="B133" s="2699"/>
      <c r="C133" s="2699"/>
      <c r="D133" s="2699"/>
      <c r="E133" s="2699"/>
      <c r="F133" s="2699"/>
      <c r="G133" s="2700"/>
      <c r="H133" s="2699"/>
      <c r="I133" s="2700"/>
      <c r="J133" s="2699"/>
      <c r="K133" s="2699"/>
      <c r="L133" s="2700"/>
      <c r="M133" s="2699"/>
      <c r="N133" s="2699"/>
      <c r="O133" s="2700"/>
      <c r="P133" s="2699"/>
      <c r="Q133" s="2699"/>
      <c r="R133" s="2701"/>
    </row>
    <row r="134" spans="2:18" s="904" customFormat="1">
      <c r="B134" s="2699"/>
      <c r="C134" s="2699"/>
      <c r="D134" s="2699"/>
      <c r="E134" s="2699"/>
      <c r="F134" s="2699"/>
      <c r="G134" s="2700"/>
      <c r="H134" s="2699"/>
      <c r="I134" s="2700"/>
      <c r="J134" s="2699"/>
      <c r="K134" s="2699"/>
      <c r="L134" s="2700"/>
      <c r="M134" s="2699"/>
      <c r="N134" s="2699"/>
      <c r="O134" s="2700"/>
      <c r="P134" s="2699"/>
      <c r="Q134" s="2699"/>
      <c r="R134" s="2701"/>
    </row>
    <row r="135" spans="2:18" s="904" customFormat="1">
      <c r="B135" s="2699"/>
      <c r="C135" s="2699"/>
      <c r="D135" s="2699"/>
      <c r="E135" s="2699"/>
      <c r="F135" s="2699"/>
      <c r="G135" s="2700"/>
      <c r="H135" s="2699"/>
      <c r="I135" s="2700"/>
      <c r="J135" s="2699"/>
      <c r="K135" s="2699"/>
      <c r="L135" s="2700"/>
      <c r="M135" s="2699"/>
      <c r="N135" s="2699"/>
      <c r="O135" s="2700"/>
      <c r="P135" s="2699"/>
      <c r="Q135" s="2699"/>
      <c r="R135" s="2701"/>
    </row>
    <row r="136" spans="2:18" s="904" customFormat="1">
      <c r="B136" s="2699"/>
      <c r="C136" s="2699"/>
      <c r="D136" s="2699"/>
      <c r="E136" s="2699"/>
      <c r="F136" s="2699"/>
      <c r="G136" s="2700"/>
      <c r="H136" s="2699"/>
      <c r="I136" s="2700"/>
      <c r="J136" s="2699"/>
      <c r="K136" s="2699"/>
      <c r="L136" s="2700"/>
      <c r="M136" s="2699"/>
      <c r="N136" s="2699"/>
      <c r="O136" s="2700"/>
      <c r="P136" s="2699"/>
      <c r="Q136" s="2699"/>
      <c r="R136" s="2701"/>
    </row>
    <row r="137" spans="2:18" s="904" customFormat="1">
      <c r="B137" s="2699"/>
      <c r="C137" s="2699"/>
      <c r="D137" s="2699"/>
      <c r="E137" s="2699"/>
      <c r="F137" s="2699"/>
      <c r="G137" s="2700"/>
      <c r="H137" s="2699"/>
      <c r="I137" s="2700"/>
      <c r="J137" s="2699"/>
      <c r="K137" s="2699"/>
      <c r="L137" s="2700"/>
      <c r="M137" s="2699"/>
      <c r="N137" s="2699"/>
      <c r="O137" s="2700"/>
      <c r="P137" s="2699"/>
      <c r="Q137" s="2699"/>
      <c r="R137" s="2701"/>
    </row>
    <row r="138" spans="2:18" s="904" customFormat="1">
      <c r="B138" s="2699"/>
      <c r="C138" s="2699"/>
      <c r="D138" s="2699"/>
      <c r="E138" s="2699"/>
      <c r="F138" s="2699"/>
      <c r="G138" s="2700"/>
      <c r="H138" s="2699"/>
      <c r="I138" s="2700"/>
      <c r="J138" s="2699"/>
      <c r="K138" s="2699"/>
      <c r="L138" s="2700"/>
      <c r="M138" s="2699"/>
      <c r="N138" s="2699"/>
      <c r="O138" s="2700"/>
      <c r="P138" s="2699"/>
      <c r="Q138" s="2699"/>
      <c r="R138" s="2701"/>
    </row>
    <row r="139" spans="2:18" s="904" customFormat="1">
      <c r="B139" s="2699"/>
      <c r="C139" s="2699"/>
      <c r="D139" s="2699"/>
      <c r="E139" s="2699"/>
      <c r="F139" s="2699"/>
      <c r="G139" s="2700"/>
      <c r="H139" s="2699"/>
      <c r="I139" s="2700"/>
      <c r="J139" s="2699"/>
      <c r="K139" s="2699"/>
      <c r="L139" s="2700"/>
      <c r="M139" s="2699"/>
      <c r="N139" s="2699"/>
      <c r="O139" s="2700"/>
      <c r="P139" s="2699"/>
      <c r="Q139" s="2699"/>
      <c r="R139" s="2701"/>
    </row>
    <row r="140" spans="2:18" s="904" customFormat="1">
      <c r="B140" s="2699"/>
      <c r="C140" s="2699"/>
      <c r="D140" s="2699"/>
      <c r="E140" s="2699"/>
      <c r="F140" s="2699"/>
      <c r="G140" s="2700"/>
      <c r="H140" s="2699"/>
      <c r="I140" s="2700"/>
      <c r="J140" s="2699"/>
      <c r="K140" s="2699"/>
      <c r="L140" s="2700"/>
      <c r="M140" s="2699"/>
      <c r="N140" s="2699"/>
      <c r="O140" s="2700"/>
      <c r="P140" s="2699"/>
      <c r="Q140" s="2699"/>
      <c r="R140" s="2701"/>
    </row>
    <row r="141" spans="2:18" s="904" customFormat="1">
      <c r="B141" s="2699"/>
      <c r="C141" s="2699"/>
      <c r="D141" s="2699"/>
      <c r="E141" s="2699"/>
      <c r="F141" s="2699"/>
      <c r="G141" s="2700"/>
      <c r="H141" s="2699"/>
      <c r="I141" s="2700"/>
      <c r="J141" s="2699"/>
      <c r="K141" s="2699"/>
      <c r="L141" s="2700"/>
      <c r="M141" s="2699"/>
      <c r="N141" s="2699"/>
      <c r="O141" s="2700"/>
      <c r="P141" s="2699"/>
      <c r="Q141" s="2699"/>
      <c r="R141" s="2701"/>
    </row>
    <row r="142" spans="2:18" s="904" customFormat="1">
      <c r="B142" s="2699"/>
      <c r="C142" s="2699"/>
      <c r="D142" s="2699"/>
      <c r="E142" s="2699"/>
      <c r="F142" s="2699"/>
      <c r="G142" s="2700"/>
      <c r="H142" s="2699"/>
      <c r="I142" s="2700"/>
      <c r="J142" s="2699"/>
      <c r="K142" s="2699"/>
      <c r="L142" s="2700"/>
      <c r="M142" s="2699"/>
      <c r="N142" s="2699"/>
      <c r="O142" s="2700"/>
      <c r="P142" s="2699"/>
      <c r="Q142" s="2699"/>
      <c r="R142" s="2701"/>
    </row>
    <row r="143" spans="2:18" s="904" customFormat="1">
      <c r="B143" s="2699"/>
      <c r="C143" s="2699"/>
      <c r="D143" s="2699"/>
      <c r="E143" s="2699"/>
      <c r="F143" s="2699"/>
      <c r="G143" s="2700"/>
      <c r="H143" s="2699"/>
      <c r="I143" s="2700"/>
      <c r="J143" s="2699"/>
      <c r="K143" s="2699"/>
      <c r="L143" s="2700"/>
      <c r="M143" s="2699"/>
      <c r="N143" s="2699"/>
      <c r="O143" s="2700"/>
      <c r="P143" s="2699"/>
      <c r="Q143" s="2699"/>
      <c r="R143" s="2701"/>
    </row>
    <row r="144" spans="2:18" s="904" customFormat="1">
      <c r="B144" s="2699"/>
      <c r="C144" s="2699"/>
      <c r="D144" s="2699"/>
      <c r="E144" s="2699"/>
      <c r="F144" s="2699"/>
      <c r="G144" s="2700"/>
      <c r="H144" s="2699"/>
      <c r="I144" s="2700"/>
      <c r="J144" s="2699"/>
      <c r="K144" s="2699"/>
      <c r="L144" s="2700"/>
      <c r="M144" s="2699"/>
      <c r="N144" s="2699"/>
      <c r="O144" s="2700"/>
      <c r="P144" s="2699"/>
      <c r="Q144" s="2699"/>
      <c r="R144" s="2701"/>
    </row>
    <row r="145" spans="2:18" s="904" customFormat="1">
      <c r="B145" s="2699"/>
      <c r="C145" s="2699"/>
      <c r="D145" s="2699"/>
      <c r="E145" s="2699"/>
      <c r="F145" s="2699"/>
      <c r="G145" s="2700"/>
      <c r="H145" s="2699"/>
      <c r="I145" s="2700"/>
      <c r="J145" s="2699"/>
      <c r="K145" s="2699"/>
      <c r="L145" s="2700"/>
      <c r="M145" s="2699"/>
      <c r="N145" s="2699"/>
      <c r="O145" s="2700"/>
      <c r="P145" s="2699"/>
      <c r="Q145" s="2699"/>
      <c r="R145" s="2701"/>
    </row>
    <row r="146" spans="2:18" s="904" customFormat="1">
      <c r="B146" s="2699"/>
      <c r="C146" s="2699"/>
      <c r="D146" s="2699"/>
      <c r="E146" s="2699"/>
      <c r="F146" s="2699"/>
      <c r="G146" s="2700"/>
      <c r="H146" s="2699"/>
      <c r="I146" s="2700"/>
      <c r="J146" s="2699"/>
      <c r="K146" s="2699"/>
      <c r="L146" s="2700"/>
      <c r="M146" s="2699"/>
      <c r="N146" s="2699"/>
      <c r="O146" s="2700"/>
      <c r="P146" s="2699"/>
      <c r="Q146" s="2699"/>
      <c r="R146" s="2701"/>
    </row>
    <row r="147" spans="2:18" s="904" customFormat="1">
      <c r="B147" s="2699"/>
      <c r="C147" s="2699"/>
      <c r="D147" s="2699"/>
      <c r="E147" s="2699"/>
      <c r="F147" s="2699"/>
      <c r="G147" s="2700"/>
      <c r="H147" s="2699"/>
      <c r="I147" s="2700"/>
      <c r="J147" s="2699"/>
      <c r="K147" s="2699"/>
      <c r="L147" s="2700"/>
      <c r="M147" s="2699"/>
      <c r="N147" s="2699"/>
      <c r="O147" s="2700"/>
      <c r="P147" s="2699"/>
      <c r="Q147" s="2699"/>
      <c r="R147" s="2701"/>
    </row>
    <row r="148" spans="2:18" s="904" customFormat="1">
      <c r="B148" s="2699"/>
      <c r="C148" s="2699"/>
      <c r="D148" s="2699"/>
      <c r="E148" s="2699"/>
      <c r="F148" s="2699"/>
      <c r="G148" s="2700"/>
      <c r="H148" s="2699"/>
      <c r="I148" s="2700"/>
      <c r="J148" s="2699"/>
      <c r="K148" s="2699"/>
      <c r="L148" s="2700"/>
      <c r="M148" s="2699"/>
      <c r="N148" s="2699"/>
      <c r="O148" s="2700"/>
      <c r="P148" s="2699"/>
      <c r="Q148" s="2699"/>
      <c r="R148" s="2701"/>
    </row>
    <row r="149" spans="2:18" s="904" customFormat="1">
      <c r="B149" s="2699"/>
      <c r="C149" s="2699"/>
      <c r="D149" s="2699"/>
      <c r="E149" s="2699"/>
      <c r="F149" s="2699"/>
      <c r="G149" s="2700"/>
      <c r="H149" s="2699"/>
      <c r="I149" s="2700"/>
      <c r="J149" s="2699"/>
      <c r="K149" s="2699"/>
      <c r="L149" s="2700"/>
      <c r="M149" s="2699"/>
      <c r="N149" s="2699"/>
      <c r="O149" s="2700"/>
      <c r="P149" s="2699"/>
      <c r="Q149" s="2699"/>
      <c r="R149" s="2701"/>
    </row>
    <row r="150" spans="2:18" s="904" customFormat="1">
      <c r="B150" s="2699"/>
      <c r="C150" s="2699"/>
      <c r="D150" s="2699"/>
      <c r="E150" s="2699"/>
      <c r="F150" s="2699"/>
      <c r="G150" s="2700"/>
      <c r="H150" s="2699"/>
      <c r="I150" s="2700"/>
      <c r="J150" s="2699"/>
      <c r="K150" s="2699"/>
      <c r="L150" s="2700"/>
      <c r="M150" s="2699"/>
      <c r="N150" s="2699"/>
      <c r="O150" s="2700"/>
      <c r="P150" s="2699"/>
      <c r="Q150" s="2699"/>
      <c r="R150" s="2701"/>
    </row>
    <row r="151" spans="2:18" s="904" customFormat="1">
      <c r="B151" s="2699"/>
      <c r="C151" s="2699"/>
      <c r="D151" s="2699"/>
      <c r="E151" s="2699"/>
      <c r="F151" s="2699"/>
      <c r="G151" s="2700"/>
      <c r="H151" s="2699"/>
      <c r="I151" s="2700"/>
      <c r="J151" s="2699"/>
      <c r="K151" s="2699"/>
      <c r="L151" s="2700"/>
      <c r="M151" s="2699"/>
      <c r="N151" s="2699"/>
      <c r="O151" s="2700"/>
      <c r="P151" s="2699"/>
      <c r="Q151" s="2699"/>
      <c r="R151" s="2701"/>
    </row>
    <row r="152" spans="2:18" s="904" customFormat="1">
      <c r="B152" s="2699"/>
      <c r="C152" s="2699"/>
      <c r="D152" s="2699"/>
      <c r="E152" s="2699"/>
      <c r="F152" s="2699"/>
      <c r="G152" s="2700"/>
      <c r="H152" s="2699"/>
      <c r="I152" s="2700"/>
      <c r="J152" s="2699"/>
      <c r="K152" s="2699"/>
      <c r="L152" s="2700"/>
      <c r="M152" s="2699"/>
      <c r="N152" s="2699"/>
      <c r="O152" s="2700"/>
      <c r="P152" s="2699"/>
      <c r="Q152" s="2699"/>
      <c r="R152" s="2701"/>
    </row>
    <row r="153" spans="2:18" s="904" customFormat="1">
      <c r="B153" s="2699"/>
      <c r="C153" s="2699"/>
      <c r="D153" s="2699"/>
      <c r="E153" s="2699"/>
      <c r="F153" s="2699"/>
      <c r="G153" s="2700"/>
      <c r="H153" s="2699"/>
      <c r="I153" s="2700"/>
      <c r="J153" s="2699"/>
      <c r="K153" s="2699"/>
      <c r="L153" s="2700"/>
      <c r="M153" s="2699"/>
      <c r="N153" s="2699"/>
      <c r="O153" s="2700"/>
      <c r="P153" s="2699"/>
      <c r="Q153" s="2699"/>
      <c r="R153" s="2701"/>
    </row>
    <row r="154" spans="2:18" s="904" customFormat="1">
      <c r="B154" s="2699"/>
      <c r="C154" s="2699"/>
      <c r="D154" s="2699"/>
      <c r="E154" s="2699"/>
      <c r="F154" s="2699"/>
      <c r="G154" s="2700"/>
      <c r="H154" s="2699"/>
      <c r="I154" s="2700"/>
      <c r="J154" s="2699"/>
      <c r="K154" s="2699"/>
      <c r="L154" s="2700"/>
      <c r="M154" s="2699"/>
      <c r="N154" s="2699"/>
      <c r="O154" s="2700"/>
      <c r="P154" s="2699"/>
      <c r="Q154" s="2699"/>
      <c r="R154" s="2701"/>
    </row>
    <row r="155" spans="2:18" s="904" customFormat="1">
      <c r="B155" s="2699"/>
      <c r="C155" s="2699"/>
      <c r="D155" s="2699"/>
      <c r="E155" s="2699"/>
      <c r="F155" s="2699"/>
      <c r="G155" s="2700"/>
      <c r="H155" s="2699"/>
      <c r="I155" s="2700"/>
      <c r="J155" s="2699"/>
      <c r="K155" s="2699"/>
      <c r="L155" s="2700"/>
      <c r="M155" s="2699"/>
      <c r="N155" s="2699"/>
      <c r="O155" s="2700"/>
      <c r="P155" s="2699"/>
      <c r="Q155" s="2699"/>
      <c r="R155" s="2701"/>
    </row>
    <row r="156" spans="2:18" s="904" customFormat="1">
      <c r="B156" s="2699"/>
      <c r="C156" s="2699"/>
      <c r="D156" s="2699"/>
      <c r="E156" s="2699"/>
      <c r="F156" s="2699"/>
      <c r="G156" s="2700"/>
      <c r="H156" s="2699"/>
      <c r="I156" s="2700"/>
      <c r="J156" s="2699"/>
      <c r="K156" s="2699"/>
      <c r="L156" s="2700"/>
      <c r="M156" s="2699"/>
      <c r="N156" s="2699"/>
      <c r="O156" s="2700"/>
      <c r="P156" s="2699"/>
      <c r="Q156" s="2699"/>
      <c r="R156" s="2701"/>
    </row>
    <row r="157" spans="2:18" s="904" customFormat="1">
      <c r="B157" s="2699"/>
      <c r="C157" s="2699"/>
      <c r="D157" s="2699"/>
      <c r="E157" s="2699"/>
      <c r="F157" s="2699"/>
      <c r="G157" s="2700"/>
      <c r="H157" s="2699"/>
      <c r="I157" s="2700"/>
      <c r="J157" s="2699"/>
      <c r="K157" s="2699"/>
      <c r="L157" s="2700"/>
      <c r="M157" s="2699"/>
      <c r="N157" s="2699"/>
      <c r="O157" s="2700"/>
      <c r="P157" s="2699"/>
      <c r="Q157" s="2699"/>
      <c r="R157" s="2701"/>
    </row>
    <row r="158" spans="2:18" s="904" customFormat="1">
      <c r="B158" s="2699"/>
      <c r="C158" s="2699"/>
      <c r="D158" s="2699"/>
      <c r="E158" s="2699"/>
      <c r="F158" s="2699"/>
      <c r="G158" s="2700"/>
      <c r="H158" s="2699"/>
      <c r="I158" s="2700"/>
      <c r="J158" s="2699"/>
      <c r="K158" s="2699"/>
      <c r="L158" s="2700"/>
      <c r="M158" s="2699"/>
      <c r="N158" s="2699"/>
      <c r="O158" s="2700"/>
      <c r="P158" s="2699"/>
      <c r="Q158" s="2699"/>
      <c r="R158" s="2701"/>
    </row>
    <row r="159" spans="2:18" s="904" customFormat="1">
      <c r="B159" s="2699"/>
      <c r="C159" s="2699"/>
      <c r="D159" s="2699"/>
      <c r="E159" s="2699"/>
      <c r="F159" s="2699"/>
      <c r="G159" s="2700"/>
      <c r="H159" s="2699"/>
      <c r="I159" s="2700"/>
      <c r="J159" s="2699"/>
      <c r="K159" s="2699"/>
      <c r="L159" s="2700"/>
      <c r="M159" s="2699"/>
      <c r="N159" s="2699"/>
      <c r="O159" s="2700"/>
      <c r="P159" s="2699"/>
      <c r="Q159" s="2699"/>
      <c r="R159" s="2701"/>
    </row>
    <row r="160" spans="2:18" s="904" customFormat="1">
      <c r="B160" s="2699"/>
      <c r="C160" s="2699"/>
      <c r="D160" s="2699"/>
      <c r="E160" s="2699"/>
      <c r="F160" s="2699"/>
      <c r="G160" s="2700"/>
      <c r="H160" s="2699"/>
      <c r="I160" s="2700"/>
      <c r="J160" s="2699"/>
      <c r="K160" s="2699"/>
      <c r="L160" s="2700"/>
      <c r="M160" s="2699"/>
      <c r="N160" s="2699"/>
      <c r="O160" s="2700"/>
      <c r="P160" s="2699"/>
      <c r="Q160" s="2699"/>
      <c r="R160" s="2701"/>
    </row>
    <row r="161" spans="2:18" s="904" customFormat="1">
      <c r="B161" s="2699"/>
      <c r="C161" s="2699"/>
      <c r="D161" s="2699"/>
      <c r="E161" s="2699"/>
      <c r="F161" s="2699"/>
      <c r="G161" s="2700"/>
      <c r="H161" s="2699"/>
      <c r="I161" s="2700"/>
      <c r="J161" s="2699"/>
      <c r="K161" s="2699"/>
      <c r="L161" s="2700"/>
      <c r="M161" s="2699"/>
      <c r="N161" s="2699"/>
      <c r="O161" s="2700"/>
      <c r="P161" s="2699"/>
      <c r="Q161" s="2699"/>
      <c r="R161" s="2701"/>
    </row>
    <row r="162" spans="2:18" s="904" customFormat="1">
      <c r="B162" s="2699"/>
      <c r="C162" s="2699"/>
      <c r="D162" s="2699"/>
      <c r="E162" s="2699"/>
      <c r="F162" s="2699"/>
      <c r="G162" s="2700"/>
      <c r="H162" s="2699"/>
      <c r="I162" s="2700"/>
      <c r="J162" s="2699"/>
      <c r="K162" s="2699"/>
      <c r="L162" s="2700"/>
      <c r="M162" s="2699"/>
      <c r="N162" s="2699"/>
      <c r="O162" s="2700"/>
      <c r="P162" s="2699"/>
      <c r="Q162" s="2699"/>
      <c r="R162" s="2701"/>
    </row>
    <row r="163" spans="2:18" s="904" customFormat="1">
      <c r="B163" s="2699"/>
      <c r="C163" s="2699"/>
      <c r="D163" s="2699"/>
      <c r="E163" s="2699"/>
      <c r="F163" s="2699"/>
      <c r="G163" s="2700"/>
      <c r="H163" s="2699"/>
      <c r="I163" s="2700"/>
      <c r="J163" s="2699"/>
      <c r="K163" s="2699"/>
      <c r="L163" s="2700"/>
      <c r="M163" s="2699"/>
      <c r="N163" s="2699"/>
      <c r="O163" s="2700"/>
      <c r="P163" s="2699"/>
      <c r="Q163" s="2699"/>
      <c r="R163" s="2701"/>
    </row>
    <row r="164" spans="2:18" s="904" customFormat="1">
      <c r="B164" s="2699"/>
      <c r="C164" s="2699"/>
      <c r="D164" s="2699"/>
      <c r="E164" s="2699"/>
      <c r="F164" s="2699"/>
      <c r="G164" s="2700"/>
      <c r="H164" s="2699"/>
      <c r="I164" s="2700"/>
      <c r="J164" s="2699"/>
      <c r="K164" s="2699"/>
      <c r="L164" s="2700"/>
      <c r="M164" s="2699"/>
      <c r="N164" s="2699"/>
      <c r="O164" s="2700"/>
      <c r="P164" s="2699"/>
      <c r="Q164" s="2699"/>
      <c r="R164" s="2701"/>
    </row>
    <row r="165" spans="2:18" s="904" customFormat="1">
      <c r="B165" s="2699"/>
      <c r="C165" s="2699"/>
      <c r="D165" s="2699"/>
      <c r="E165" s="2699"/>
      <c r="F165" s="2699"/>
      <c r="G165" s="2700"/>
      <c r="H165" s="2699"/>
      <c r="I165" s="2700"/>
      <c r="J165" s="2699"/>
      <c r="K165" s="2699"/>
      <c r="L165" s="2700"/>
      <c r="M165" s="2699"/>
      <c r="N165" s="2699"/>
      <c r="O165" s="2700"/>
      <c r="P165" s="2699"/>
      <c r="Q165" s="2699"/>
      <c r="R165" s="2701"/>
    </row>
    <row r="166" spans="2:18" s="904" customFormat="1">
      <c r="B166" s="2699"/>
      <c r="C166" s="2699"/>
      <c r="D166" s="2699"/>
      <c r="E166" s="2699"/>
      <c r="F166" s="2699"/>
      <c r="G166" s="2700"/>
      <c r="H166" s="2699"/>
      <c r="I166" s="2700"/>
      <c r="J166" s="2699"/>
      <c r="K166" s="2699"/>
      <c r="L166" s="2700"/>
      <c r="M166" s="2699"/>
      <c r="N166" s="2699"/>
      <c r="O166" s="2700"/>
      <c r="P166" s="2699"/>
      <c r="Q166" s="2699"/>
      <c r="R166" s="2701"/>
    </row>
    <row r="167" spans="2:18" s="904" customFormat="1">
      <c r="B167" s="2699"/>
      <c r="C167" s="2699"/>
      <c r="D167" s="2699"/>
      <c r="E167" s="2699"/>
      <c r="F167" s="2699"/>
      <c r="G167" s="2700"/>
      <c r="H167" s="2699"/>
      <c r="I167" s="2700"/>
      <c r="J167" s="2699"/>
      <c r="K167" s="2699"/>
      <c r="L167" s="2700"/>
      <c r="M167" s="2699"/>
      <c r="N167" s="2699"/>
      <c r="O167" s="2700"/>
      <c r="P167" s="2699"/>
      <c r="Q167" s="2699"/>
      <c r="R167" s="2701"/>
    </row>
    <row r="168" spans="2:18" s="904" customFormat="1">
      <c r="B168" s="2699"/>
      <c r="C168" s="2699"/>
      <c r="D168" s="2699"/>
      <c r="E168" s="2699"/>
      <c r="F168" s="2699"/>
      <c r="G168" s="2700"/>
      <c r="H168" s="2699"/>
      <c r="I168" s="2700"/>
      <c r="J168" s="2699"/>
      <c r="K168" s="2699"/>
      <c r="L168" s="2700"/>
      <c r="M168" s="2699"/>
      <c r="N168" s="2699"/>
      <c r="O168" s="2700"/>
      <c r="P168" s="2699"/>
      <c r="Q168" s="2699"/>
      <c r="R168" s="2701"/>
    </row>
    <row r="169" spans="2:18" s="904" customFormat="1">
      <c r="B169" s="2699"/>
      <c r="C169" s="2699"/>
      <c r="D169" s="2699"/>
      <c r="E169" s="2699"/>
      <c r="F169" s="2699"/>
      <c r="G169" s="2700"/>
      <c r="H169" s="2699"/>
      <c r="I169" s="2700"/>
      <c r="J169" s="2699"/>
      <c r="K169" s="2699"/>
      <c r="L169" s="2700"/>
      <c r="M169" s="2699"/>
      <c r="N169" s="2699"/>
      <c r="O169" s="2700"/>
      <c r="P169" s="2699"/>
      <c r="Q169" s="2699"/>
      <c r="R169" s="2701"/>
    </row>
    <row r="170" spans="2:18" s="904" customFormat="1">
      <c r="B170" s="2699"/>
      <c r="C170" s="2699"/>
      <c r="D170" s="2699"/>
      <c r="E170" s="2699"/>
      <c r="F170" s="2699"/>
      <c r="G170" s="2700"/>
      <c r="H170" s="2699"/>
      <c r="I170" s="2700"/>
      <c r="J170" s="2699"/>
      <c r="K170" s="2699"/>
      <c r="L170" s="2700"/>
      <c r="M170" s="2699"/>
      <c r="N170" s="2699"/>
      <c r="O170" s="2700"/>
      <c r="P170" s="2699"/>
      <c r="Q170" s="2699"/>
      <c r="R170" s="2701"/>
    </row>
    <row r="171" spans="2:18" s="904" customFormat="1">
      <c r="B171" s="2699"/>
      <c r="C171" s="2699"/>
      <c r="D171" s="2699"/>
      <c r="E171" s="2699"/>
      <c r="F171" s="2699"/>
      <c r="G171" s="2700"/>
      <c r="H171" s="2699"/>
      <c r="I171" s="2700"/>
      <c r="J171" s="2699"/>
      <c r="K171" s="2699"/>
      <c r="L171" s="2700"/>
      <c r="M171" s="2699"/>
      <c r="N171" s="2699"/>
      <c r="O171" s="2700"/>
      <c r="P171" s="2699"/>
      <c r="Q171" s="2699"/>
      <c r="R171" s="2701"/>
    </row>
    <row r="172" spans="2:18" s="904" customFormat="1">
      <c r="B172" s="2699"/>
      <c r="C172" s="2699"/>
      <c r="D172" s="2699"/>
      <c r="E172" s="2699"/>
      <c r="F172" s="2699"/>
      <c r="G172" s="2700"/>
      <c r="H172" s="2699"/>
      <c r="I172" s="2700"/>
      <c r="J172" s="2699"/>
      <c r="K172" s="2699"/>
      <c r="L172" s="2700"/>
      <c r="M172" s="2699"/>
      <c r="N172" s="2699"/>
      <c r="O172" s="2700"/>
      <c r="P172" s="2699"/>
      <c r="Q172" s="2699"/>
      <c r="R172" s="2701"/>
    </row>
    <row r="173" spans="2:18" s="904" customFormat="1">
      <c r="B173" s="2699"/>
      <c r="C173" s="2699"/>
      <c r="D173" s="2699"/>
      <c r="E173" s="2699"/>
      <c r="F173" s="2699"/>
      <c r="G173" s="2700"/>
      <c r="H173" s="2699"/>
      <c r="I173" s="2700"/>
      <c r="J173" s="2699"/>
      <c r="K173" s="2699"/>
      <c r="L173" s="2700"/>
      <c r="M173" s="2699"/>
      <c r="N173" s="2699"/>
      <c r="O173" s="2700"/>
      <c r="P173" s="2699"/>
      <c r="Q173" s="2699"/>
      <c r="R173" s="2701"/>
    </row>
    <row r="174" spans="2:18" s="904" customFormat="1">
      <c r="B174" s="2699"/>
      <c r="C174" s="2699"/>
      <c r="D174" s="2699"/>
      <c r="E174" s="2699"/>
      <c r="F174" s="2699"/>
      <c r="G174" s="2700"/>
      <c r="H174" s="2699"/>
      <c r="I174" s="2700"/>
      <c r="J174" s="2699"/>
      <c r="K174" s="2699"/>
      <c r="L174" s="2700"/>
      <c r="M174" s="2699"/>
      <c r="N174" s="2699"/>
      <c r="O174" s="2700"/>
      <c r="P174" s="2699"/>
      <c r="Q174" s="2699"/>
      <c r="R174" s="2701"/>
    </row>
    <row r="175" spans="2:18" s="904" customFormat="1">
      <c r="B175" s="2699"/>
      <c r="C175" s="2699"/>
      <c r="D175" s="2699"/>
      <c r="E175" s="2699"/>
      <c r="F175" s="2699"/>
      <c r="G175" s="2700"/>
      <c r="H175" s="2699"/>
      <c r="I175" s="2700"/>
      <c r="J175" s="2699"/>
      <c r="K175" s="2699"/>
      <c r="L175" s="2700"/>
      <c r="M175" s="2699"/>
      <c r="N175" s="2699"/>
      <c r="O175" s="2700"/>
      <c r="P175" s="2699"/>
      <c r="Q175" s="2699"/>
      <c r="R175" s="2701"/>
    </row>
    <row r="176" spans="2:18" s="904" customFormat="1">
      <c r="B176" s="2699"/>
      <c r="C176" s="2699"/>
      <c r="D176" s="2699"/>
      <c r="E176" s="2699"/>
      <c r="F176" s="2699"/>
      <c r="G176" s="2700"/>
      <c r="H176" s="2699"/>
      <c r="I176" s="2700"/>
      <c r="J176" s="2699"/>
      <c r="K176" s="2699"/>
      <c r="L176" s="2700"/>
      <c r="M176" s="2699"/>
      <c r="N176" s="2699"/>
      <c r="O176" s="2700"/>
      <c r="P176" s="2699"/>
      <c r="Q176" s="2699"/>
      <c r="R176" s="2701"/>
    </row>
    <row r="177" spans="1:18" s="904" customFormat="1">
      <c r="B177" s="2699"/>
      <c r="C177" s="2699"/>
      <c r="D177" s="2699"/>
      <c r="E177" s="2699"/>
      <c r="F177" s="2699"/>
      <c r="G177" s="2700"/>
      <c r="H177" s="2699"/>
      <c r="I177" s="2700"/>
      <c r="J177" s="2699"/>
      <c r="K177" s="2699"/>
      <c r="L177" s="2700"/>
      <c r="M177" s="2699"/>
      <c r="N177" s="2699"/>
      <c r="O177" s="2700"/>
      <c r="P177" s="2699"/>
      <c r="Q177" s="2699"/>
      <c r="R177" s="2701"/>
    </row>
    <row r="178" spans="1:18" s="904" customFormat="1">
      <c r="B178" s="2699"/>
      <c r="C178" s="2699"/>
      <c r="D178" s="2699"/>
      <c r="E178" s="2699"/>
      <c r="F178" s="2699"/>
      <c r="G178" s="2700"/>
      <c r="H178" s="2699"/>
      <c r="I178" s="2700"/>
      <c r="J178" s="2699"/>
      <c r="K178" s="2699"/>
      <c r="L178" s="2700"/>
      <c r="M178" s="2699"/>
      <c r="N178" s="2699"/>
      <c r="O178" s="2700"/>
      <c r="P178" s="2699"/>
      <c r="Q178" s="2699"/>
      <c r="R178" s="2701"/>
    </row>
    <row r="179" spans="1:18" s="904" customFormat="1">
      <c r="B179" s="2699"/>
      <c r="C179" s="2699"/>
      <c r="D179" s="2699"/>
      <c r="E179" s="2699"/>
      <c r="F179" s="2699"/>
      <c r="G179" s="2700"/>
      <c r="H179" s="2699"/>
      <c r="I179" s="2700"/>
      <c r="J179" s="2699"/>
      <c r="K179" s="2699"/>
      <c r="L179" s="2700"/>
      <c r="M179" s="2699"/>
      <c r="N179" s="2699"/>
      <c r="O179" s="2700"/>
      <c r="P179" s="2699"/>
      <c r="Q179" s="2699"/>
      <c r="R179" s="2701"/>
    </row>
    <row r="180" spans="1:18" s="904" customFormat="1">
      <c r="B180" s="2699"/>
      <c r="C180" s="2699"/>
      <c r="D180" s="2699"/>
      <c r="E180" s="2699"/>
      <c r="F180" s="2699"/>
      <c r="G180" s="2700"/>
      <c r="H180" s="2699"/>
      <c r="I180" s="2700"/>
      <c r="J180" s="2699"/>
      <c r="K180" s="2699"/>
      <c r="L180" s="2700"/>
      <c r="M180" s="2699"/>
      <c r="N180" s="2699"/>
      <c r="O180" s="2700"/>
      <c r="P180" s="2699"/>
      <c r="Q180" s="2699"/>
      <c r="R180" s="2701"/>
    </row>
    <row r="181" spans="1:18" s="904" customFormat="1">
      <c r="B181" s="2699"/>
      <c r="C181" s="2699"/>
      <c r="D181" s="2699"/>
      <c r="E181" s="2699"/>
      <c r="F181" s="2699"/>
      <c r="G181" s="2700"/>
      <c r="H181" s="2699"/>
      <c r="I181" s="2700"/>
      <c r="J181" s="2699"/>
      <c r="K181" s="2699"/>
      <c r="L181" s="2700"/>
      <c r="M181" s="2699"/>
      <c r="N181" s="2699"/>
      <c r="O181" s="2700"/>
      <c r="P181" s="2699"/>
      <c r="Q181" s="2699"/>
      <c r="R181" s="2701"/>
    </row>
    <row r="182" spans="1:18" s="904" customFormat="1">
      <c r="B182" s="2699"/>
      <c r="C182" s="2699"/>
      <c r="D182" s="2699"/>
      <c r="E182" s="2699"/>
      <c r="F182" s="2699"/>
      <c r="G182" s="2700"/>
      <c r="H182" s="2699"/>
      <c r="I182" s="2700"/>
      <c r="J182" s="2699"/>
      <c r="K182" s="2699"/>
      <c r="L182" s="2700"/>
      <c r="M182" s="2699"/>
      <c r="N182" s="2699"/>
      <c r="O182" s="2700"/>
      <c r="P182" s="2699"/>
      <c r="Q182" s="2699"/>
      <c r="R182" s="2701"/>
    </row>
    <row r="183" spans="1:18" s="904" customFormat="1">
      <c r="B183" s="2699"/>
      <c r="C183" s="2699"/>
      <c r="D183" s="2699"/>
      <c r="E183" s="2699"/>
      <c r="F183" s="2699"/>
      <c r="G183" s="2700"/>
      <c r="H183" s="2699"/>
      <c r="I183" s="2700"/>
      <c r="J183" s="2699"/>
      <c r="K183" s="2699"/>
      <c r="L183" s="2700"/>
      <c r="M183" s="2699"/>
      <c r="N183" s="2699"/>
      <c r="O183" s="2700"/>
      <c r="P183" s="2699"/>
      <c r="Q183" s="2699"/>
      <c r="R183" s="2701"/>
    </row>
    <row r="184" spans="1:18" s="904" customFormat="1">
      <c r="B184" s="2699"/>
      <c r="C184" s="2699"/>
      <c r="D184" s="2699"/>
      <c r="E184" s="2699"/>
      <c r="F184" s="2699"/>
      <c r="G184" s="2700"/>
      <c r="H184" s="2699"/>
      <c r="I184" s="2700"/>
      <c r="J184" s="2699"/>
      <c r="K184" s="2699"/>
      <c r="L184" s="2700"/>
      <c r="M184" s="2699"/>
      <c r="N184" s="2699"/>
      <c r="O184" s="2700"/>
      <c r="P184" s="2699"/>
      <c r="Q184" s="2699"/>
      <c r="R184" s="2701"/>
    </row>
    <row r="185" spans="1:18" s="904" customFormat="1">
      <c r="B185" s="2699"/>
      <c r="C185" s="2699"/>
      <c r="D185" s="2699"/>
      <c r="E185" s="2699"/>
      <c r="F185" s="2699"/>
      <c r="G185" s="2700"/>
      <c r="H185" s="2699"/>
      <c r="I185" s="2700"/>
      <c r="J185" s="2699"/>
      <c r="K185" s="2699"/>
      <c r="L185" s="2700"/>
      <c r="M185" s="2699"/>
      <c r="N185" s="2699"/>
      <c r="O185" s="2700"/>
      <c r="P185" s="2699"/>
      <c r="Q185" s="2699"/>
      <c r="R185" s="2701"/>
    </row>
    <row r="186" spans="1:18">
      <c r="A186" s="904"/>
      <c r="B186" s="2699"/>
      <c r="C186" s="2699"/>
      <c r="E186" s="2699"/>
      <c r="F186" s="2699"/>
      <c r="G186" s="2700"/>
    </row>
    <row r="187" spans="1:18">
      <c r="A187" s="904"/>
      <c r="B187" s="2699"/>
      <c r="C187" s="2699"/>
      <c r="E187" s="2699"/>
      <c r="F187" s="2699"/>
      <c r="G187" s="2700"/>
    </row>
  </sheetData>
  <sheetProtection password="CEE9" sheet="1" objects="1" scenarios="1" formatCells="0" formatColumns="0" formatRows="0"/>
  <mergeCells count="1">
    <mergeCell ref="A1:G1"/>
  </mergeCells>
  <phoneticPr fontId="25" type="noConversion"/>
  <dataValidations count="1">
    <dataValidation type="list" allowBlank="1" showInputMessage="1" showErrorMessage="1" sqref="C23 G21">
      <formula1>临街状况</formula1>
    </dataValidation>
  </dataValidations>
  <pageMargins left="0.7" right="0.7" top="0.75" bottom="0.75" header="0.3" footer="0.3"/>
  <pageSetup paperSize="9" scale="73" fitToHeight="0" orientation="portrait" r:id="rId1"/>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K26"/>
  <sheetViews>
    <sheetView tabSelected="1" view="pageBreakPreview" zoomScale="80" zoomScaleNormal="80" zoomScaleSheetLayoutView="80" workbookViewId="0">
      <selection activeCell="N16" sqref="N16"/>
    </sheetView>
  </sheetViews>
  <sheetFormatPr defaultColWidth="9" defaultRowHeight="13.5"/>
  <cols>
    <col min="1" max="1" width="25" style="2721" customWidth="1"/>
    <col min="2" max="9" width="15.75" style="2721" customWidth="1"/>
    <col min="10" max="16384" width="9" style="2721"/>
  </cols>
  <sheetData>
    <row r="1" spans="1:11" ht="16.5">
      <c r="A1" s="2720" t="s">
        <v>1331</v>
      </c>
      <c r="B1" s="2720">
        <f>SUM(B14:B23)</f>
        <v>29932.760000000009</v>
      </c>
      <c r="C1" s="2896"/>
      <c r="D1" s="2896"/>
      <c r="E1" s="2896"/>
      <c r="F1" s="2896"/>
      <c r="G1" s="2897"/>
      <c r="H1" s="2898"/>
      <c r="I1" s="2898"/>
      <c r="J1" s="2898"/>
      <c r="K1" s="2898"/>
    </row>
    <row r="2" spans="1:11" ht="16.5">
      <c r="A2" s="2720" t="s">
        <v>1319</v>
      </c>
      <c r="B2" s="2720">
        <f>SUM(C14:C23)</f>
        <v>0</v>
      </c>
      <c r="C2" s="2896"/>
      <c r="D2" s="2896"/>
      <c r="E2" s="2896"/>
      <c r="F2" s="2896"/>
      <c r="G2" s="2897"/>
      <c r="H2" s="2898"/>
      <c r="I2" s="2898"/>
      <c r="J2" s="2898"/>
      <c r="K2" s="2898"/>
    </row>
    <row r="3" spans="1:11" ht="16.5">
      <c r="A3" s="2720" t="s">
        <v>1328</v>
      </c>
      <c r="B3" s="2722">
        <f>项目基本情况!D3</f>
        <v>44280</v>
      </c>
      <c r="C3" s="2896"/>
      <c r="D3" s="2896"/>
      <c r="E3" s="2896"/>
      <c r="F3" s="2896"/>
      <c r="G3" s="2897"/>
      <c r="H3" s="2898"/>
      <c r="I3" s="2898"/>
      <c r="J3" s="2898"/>
      <c r="K3" s="2898"/>
    </row>
    <row r="4" spans="1:11" ht="33">
      <c r="A4" s="2720" t="s">
        <v>1327</v>
      </c>
      <c r="B4" s="2720" t="s">
        <v>1326</v>
      </c>
      <c r="C4" s="2720" t="s">
        <v>1325</v>
      </c>
      <c r="D4" s="2720" t="s">
        <v>1324</v>
      </c>
      <c r="E4" s="2896"/>
      <c r="F4" s="2897"/>
      <c r="G4" s="2897"/>
      <c r="H4" s="2898"/>
      <c r="I4" s="2898"/>
      <c r="J4" s="2898"/>
      <c r="K4" s="2898"/>
    </row>
    <row r="5" spans="1:11" ht="16.5">
      <c r="A5" s="2720" t="s">
        <v>1323</v>
      </c>
      <c r="B5" s="2720">
        <f ca="1">SUM(D14:D23)</f>
        <v>28655</v>
      </c>
      <c r="C5" s="2720">
        <f ca="1">ROUND(B5*10000/$B$1,0)</f>
        <v>9573</v>
      </c>
      <c r="D5" s="2720" t="e">
        <f ca="1">ROUND(B5*10000/$B$2,0)</f>
        <v>#DIV/0!</v>
      </c>
      <c r="E5" s="2896"/>
      <c r="F5" s="2897"/>
      <c r="G5" s="2897"/>
      <c r="H5" s="2898"/>
      <c r="I5" s="2898"/>
      <c r="J5" s="2898"/>
      <c r="K5" s="2898"/>
    </row>
    <row r="6" spans="1:11" ht="16.5">
      <c r="A6" s="2720" t="s">
        <v>1322</v>
      </c>
      <c r="B6" s="2720">
        <f>SUM(G14:G23)</f>
        <v>0</v>
      </c>
      <c r="C6" s="2720">
        <f>ROUND(B6*10000/$B$1,0)</f>
        <v>0</v>
      </c>
      <c r="D6" s="2720" t="e">
        <f>ROUND(B6*10000/$B$2,0)</f>
        <v>#DIV/0!</v>
      </c>
      <c r="E6" s="2896"/>
      <c r="F6" s="2897"/>
      <c r="G6" s="2897"/>
      <c r="H6" s="2898"/>
      <c r="I6" s="2898"/>
      <c r="J6" s="2898"/>
      <c r="K6" s="2898"/>
    </row>
    <row r="7" spans="1:11" ht="16.5">
      <c r="A7" s="2720" t="s">
        <v>1330</v>
      </c>
      <c r="B7" s="2720">
        <f>SUM(H14:H23)</f>
        <v>0</v>
      </c>
      <c r="C7" s="2720">
        <f>ROUND(B7*10000/$B$1,0)</f>
        <v>0</v>
      </c>
      <c r="D7" s="2720" t="e">
        <f>ROUND(B7*10000/$B$2,0)</f>
        <v>#DIV/0!</v>
      </c>
      <c r="E7" s="2896"/>
      <c r="F7" s="2897"/>
      <c r="G7" s="2897"/>
      <c r="H7" s="2898"/>
      <c r="I7" s="2898"/>
      <c r="J7" s="2898"/>
      <c r="K7" s="2898"/>
    </row>
    <row r="8" spans="1:11" ht="16.5">
      <c r="A8" s="2720" t="s">
        <v>1252</v>
      </c>
      <c r="B8" s="2720">
        <f>SUM(I14:I23)</f>
        <v>0</v>
      </c>
      <c r="C8" s="2720">
        <f>ROUND(B8*10000/$B$1,0)</f>
        <v>0</v>
      </c>
      <c r="D8" s="2720" t="e">
        <f>ROUND(B8*10000/$B$2,0)</f>
        <v>#DIV/0!</v>
      </c>
      <c r="E8" s="2896"/>
      <c r="F8" s="2897"/>
      <c r="G8" s="2897"/>
      <c r="H8" s="2898"/>
      <c r="I8" s="2898"/>
      <c r="J8" s="2898"/>
      <c r="K8" s="2898"/>
    </row>
    <row r="9" spans="1:11" ht="16.5">
      <c r="A9" s="2720" t="s">
        <v>1321</v>
      </c>
      <c r="B9" s="2728"/>
      <c r="C9" s="2896"/>
      <c r="D9" s="2896"/>
      <c r="E9" s="2896"/>
      <c r="F9" s="2897"/>
      <c r="G9" s="2897"/>
      <c r="H9" s="2898"/>
      <c r="I9" s="2898"/>
      <c r="J9" s="2898"/>
      <c r="K9" s="2898"/>
    </row>
    <row r="10" spans="1:11" ht="16.5">
      <c r="A10" s="2720" t="s">
        <v>1320</v>
      </c>
      <c r="B10" s="2728"/>
      <c r="C10" s="2896"/>
      <c r="D10" s="2896"/>
      <c r="E10" s="2896"/>
      <c r="F10" s="2897"/>
      <c r="G10" s="2897"/>
      <c r="H10" s="2898"/>
      <c r="I10" s="2898"/>
      <c r="J10" s="2898"/>
      <c r="K10" s="2898"/>
    </row>
    <row r="11" spans="1:11" ht="16.5">
      <c r="A11" s="2720" t="s">
        <v>1336</v>
      </c>
      <c r="B11" s="2728"/>
      <c r="C11" s="2896"/>
      <c r="D11" s="2896"/>
      <c r="E11" s="2896"/>
      <c r="F11" s="2897"/>
      <c r="G11" s="2897"/>
      <c r="H11" s="2898"/>
      <c r="I11" s="2898"/>
      <c r="J11" s="2898"/>
      <c r="K11" s="2898"/>
    </row>
    <row r="12" spans="1:11" ht="16.5">
      <c r="A12" s="2896"/>
      <c r="B12" s="2896"/>
      <c r="C12" s="2896"/>
      <c r="D12" s="2896"/>
      <c r="E12" s="2896"/>
      <c r="F12" s="2897"/>
      <c r="G12" s="2897"/>
      <c r="H12" s="2898"/>
      <c r="I12" s="2898"/>
      <c r="J12" s="2898"/>
      <c r="K12" s="2898"/>
    </row>
    <row r="13" spans="1:11" ht="33">
      <c r="A13" s="2723" t="s">
        <v>1335</v>
      </c>
      <c r="B13" s="2724" t="s">
        <v>1332</v>
      </c>
      <c r="C13" s="2724" t="s">
        <v>1334</v>
      </c>
      <c r="D13" s="2724" t="s">
        <v>1333</v>
      </c>
      <c r="E13" s="2720" t="s">
        <v>1325</v>
      </c>
      <c r="F13" s="2720" t="s">
        <v>1324</v>
      </c>
      <c r="G13" s="2724" t="s">
        <v>1318</v>
      </c>
      <c r="H13" s="2724" t="s">
        <v>1329</v>
      </c>
      <c r="I13" s="2724" t="s">
        <v>1317</v>
      </c>
      <c r="J13" s="2897"/>
      <c r="K13" s="2898"/>
    </row>
    <row r="14" spans="1:11" ht="16.5">
      <c r="A14" s="2725" t="s">
        <v>1316</v>
      </c>
      <c r="B14" s="2726">
        <f>结果表!B118</f>
        <v>29932.760000000009</v>
      </c>
      <c r="C14" s="2726">
        <f>结果表!C118</f>
        <v>0</v>
      </c>
      <c r="D14" s="2726">
        <f ca="1">结果表!G19</f>
        <v>28655</v>
      </c>
      <c r="E14" s="2726">
        <f ca="1">ROUND(D14*10000/B14,0)</f>
        <v>9573</v>
      </c>
      <c r="F14" s="2726">
        <v>0</v>
      </c>
      <c r="G14" s="2726" t="s">
        <v>3577</v>
      </c>
      <c r="H14" s="2726" t="str">
        <f>结果表!D124</f>
        <v>——</v>
      </c>
      <c r="I14" s="2726" t="str">
        <f>结果表!D126</f>
        <v>——</v>
      </c>
      <c r="J14" s="2897"/>
      <c r="K14" s="2898"/>
    </row>
    <row r="15" spans="1:11" ht="16.5">
      <c r="A15" s="2725" t="s">
        <v>1315</v>
      </c>
      <c r="B15" s="2727"/>
      <c r="C15" s="2727"/>
      <c r="D15" s="2727"/>
      <c r="E15" s="2726" t="e">
        <f t="shared" ref="E15:E23" si="0">ROUND(D15*10000/B15,0)</f>
        <v>#DIV/0!</v>
      </c>
      <c r="F15" s="2726" t="e">
        <f t="shared" ref="F15:F23" si="1">ROUND(D15*10000/C15,0)</f>
        <v>#DIV/0!</v>
      </c>
      <c r="G15" s="1490"/>
      <c r="H15" s="1490"/>
      <c r="I15" s="2727"/>
      <c r="J15" s="2897"/>
      <c r="K15" s="2898"/>
    </row>
    <row r="16" spans="1:11" ht="16.5">
      <c r="A16" s="2725" t="s">
        <v>1314</v>
      </c>
      <c r="B16" s="2727"/>
      <c r="C16" s="2727"/>
      <c r="D16" s="2727"/>
      <c r="E16" s="2726" t="e">
        <f t="shared" si="0"/>
        <v>#DIV/0!</v>
      </c>
      <c r="F16" s="2726" t="e">
        <f t="shared" si="1"/>
        <v>#DIV/0!</v>
      </c>
      <c r="G16" s="1490"/>
      <c r="H16" s="1490"/>
      <c r="I16" s="2727"/>
      <c r="J16" s="2898"/>
      <c r="K16" s="2898"/>
    </row>
    <row r="17" spans="1:11" ht="16.5">
      <c r="A17" s="2725" t="s">
        <v>1313</v>
      </c>
      <c r="B17" s="2727"/>
      <c r="C17" s="2727"/>
      <c r="D17" s="2727"/>
      <c r="E17" s="2726" t="e">
        <f t="shared" si="0"/>
        <v>#DIV/0!</v>
      </c>
      <c r="F17" s="2726" t="e">
        <f t="shared" si="1"/>
        <v>#DIV/0!</v>
      </c>
      <c r="G17" s="1490"/>
      <c r="H17" s="1490"/>
      <c r="I17" s="2727"/>
      <c r="J17" s="2898"/>
      <c r="K17" s="2898"/>
    </row>
    <row r="18" spans="1:11" ht="16.5">
      <c r="A18" s="2725" t="s">
        <v>1312</v>
      </c>
      <c r="B18" s="2727"/>
      <c r="C18" s="2727"/>
      <c r="D18" s="2727"/>
      <c r="E18" s="2726" t="e">
        <f t="shared" si="0"/>
        <v>#DIV/0!</v>
      </c>
      <c r="F18" s="2726" t="e">
        <f t="shared" si="1"/>
        <v>#DIV/0!</v>
      </c>
      <c r="G18" s="2727"/>
      <c r="H18" s="2727"/>
      <c r="I18" s="2727"/>
      <c r="J18" s="2898"/>
      <c r="K18" s="2898"/>
    </row>
    <row r="19" spans="1:11" ht="16.5">
      <c r="A19" s="2725" t="s">
        <v>1311</v>
      </c>
      <c r="B19" s="2727"/>
      <c r="C19" s="2727"/>
      <c r="D19" s="2727"/>
      <c r="E19" s="2726" t="e">
        <f t="shared" si="0"/>
        <v>#DIV/0!</v>
      </c>
      <c r="F19" s="2726" t="e">
        <f t="shared" si="1"/>
        <v>#DIV/0!</v>
      </c>
      <c r="G19" s="2727"/>
      <c r="H19" s="2727"/>
      <c r="I19" s="2727"/>
      <c r="J19" s="2898"/>
      <c r="K19" s="2898"/>
    </row>
    <row r="20" spans="1:11" ht="16.5">
      <c r="A20" s="2725" t="s">
        <v>1310</v>
      </c>
      <c r="B20" s="2727"/>
      <c r="C20" s="2727"/>
      <c r="D20" s="2727"/>
      <c r="E20" s="2726" t="e">
        <f t="shared" si="0"/>
        <v>#DIV/0!</v>
      </c>
      <c r="F20" s="2726" t="e">
        <f t="shared" si="1"/>
        <v>#DIV/0!</v>
      </c>
      <c r="G20" s="2727"/>
      <c r="H20" s="2727"/>
      <c r="I20" s="2727"/>
      <c r="J20" s="2898"/>
      <c r="K20" s="2898"/>
    </row>
    <row r="21" spans="1:11" ht="16.5">
      <c r="A21" s="2725" t="s">
        <v>1309</v>
      </c>
      <c r="B21" s="2727"/>
      <c r="C21" s="2727"/>
      <c r="D21" s="2727"/>
      <c r="E21" s="2726" t="e">
        <f t="shared" si="0"/>
        <v>#DIV/0!</v>
      </c>
      <c r="F21" s="2726" t="e">
        <f t="shared" si="1"/>
        <v>#DIV/0!</v>
      </c>
      <c r="G21" s="2727"/>
      <c r="H21" s="2727"/>
      <c r="I21" s="2727"/>
      <c r="J21" s="2898"/>
      <c r="K21" s="2898"/>
    </row>
    <row r="22" spans="1:11" ht="16.5">
      <c r="A22" s="2725" t="s">
        <v>1308</v>
      </c>
      <c r="B22" s="2727"/>
      <c r="C22" s="2727"/>
      <c r="D22" s="2727"/>
      <c r="E22" s="2726" t="e">
        <f t="shared" si="0"/>
        <v>#DIV/0!</v>
      </c>
      <c r="F22" s="2726" t="e">
        <f t="shared" si="1"/>
        <v>#DIV/0!</v>
      </c>
      <c r="G22" s="2727"/>
      <c r="H22" s="2727"/>
      <c r="I22" s="2727"/>
      <c r="J22" s="2898"/>
      <c r="K22" s="2898"/>
    </row>
    <row r="23" spans="1:11" ht="16.5">
      <c r="A23" s="2725" t="s">
        <v>1307</v>
      </c>
      <c r="B23" s="2727"/>
      <c r="C23" s="2727"/>
      <c r="D23" s="2727"/>
      <c r="E23" s="2728" t="e">
        <f t="shared" si="0"/>
        <v>#DIV/0!</v>
      </c>
      <c r="F23" s="2728" t="e">
        <f t="shared" si="1"/>
        <v>#DIV/0!</v>
      </c>
      <c r="G23" s="2727"/>
      <c r="H23" s="2727"/>
      <c r="I23" s="2727"/>
      <c r="J23" s="2898"/>
      <c r="K23" s="2898"/>
    </row>
    <row r="24" spans="1:11">
      <c r="A24" s="2898"/>
      <c r="B24" s="2898"/>
      <c r="C24" s="2898"/>
      <c r="D24" s="2898"/>
      <c r="E24" s="2898"/>
      <c r="F24" s="2898"/>
      <c r="G24" s="2898"/>
      <c r="H24" s="2898"/>
      <c r="I24" s="2898"/>
      <c r="J24" s="2898"/>
      <c r="K24" s="2898"/>
    </row>
    <row r="25" spans="1:11">
      <c r="A25" s="2898"/>
      <c r="B25" s="2898"/>
      <c r="C25" s="2898"/>
      <c r="D25" s="2898"/>
      <c r="E25" s="2898"/>
      <c r="F25" s="2898"/>
      <c r="G25" s="2898"/>
      <c r="H25" s="2898"/>
      <c r="I25" s="2898"/>
      <c r="J25" s="2898"/>
      <c r="K25" s="2898"/>
    </row>
    <row r="26" spans="1:11">
      <c r="A26" s="2898"/>
      <c r="B26" s="2898"/>
      <c r="C26" s="2898"/>
      <c r="D26" s="2898"/>
      <c r="E26" s="2898"/>
      <c r="F26" s="2898"/>
      <c r="G26" s="2898"/>
      <c r="H26" s="2898"/>
      <c r="I26" s="2898"/>
      <c r="J26" s="2898"/>
      <c r="K26" s="2898"/>
    </row>
  </sheetData>
  <sheetProtection password="CEE9" sheet="1" objects="1" scenarios="1" formatCells="0" formatColumns="0" formatRows="0"/>
  <phoneticPr fontId="140" type="noConversion"/>
  <pageMargins left="0.7" right="0.7" top="0.75" bottom="0.75" header="0.3" footer="0.3"/>
  <pageSetup paperSize="9" scale="83" orientation="landscape"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2"/>
  <sheetViews>
    <sheetView view="pageBreakPreview" zoomScale="85" zoomScaleNormal="100" zoomScaleSheetLayoutView="85" zoomScalePageLayoutView="80" workbookViewId="0">
      <selection activeCell="A2" sqref="A2:I2"/>
    </sheetView>
  </sheetViews>
  <sheetFormatPr defaultColWidth="12.625" defaultRowHeight="21.75" customHeight="1"/>
  <cols>
    <col min="1" max="2" width="12.625" style="1928"/>
    <col min="3" max="4" width="12.625" style="1928" customWidth="1"/>
    <col min="5" max="9" width="12.625" style="1928"/>
    <col min="10" max="11" width="12.625" style="731" customWidth="1"/>
    <col min="12" max="12" width="12.625" style="731"/>
    <col min="13" max="13" width="14.125" style="731" bestFit="1" customWidth="1"/>
    <col min="14" max="26" width="12.625" style="731"/>
    <col min="27" max="35" width="12.625" style="1927"/>
    <col min="36" max="16384" width="12.625" style="1928"/>
  </cols>
  <sheetData>
    <row r="1" spans="1:12" ht="21.75" customHeight="1" thickBot="1">
      <c r="A1" s="1812" t="s">
        <v>1947</v>
      </c>
      <c r="B1" s="1922"/>
      <c r="C1" s="1923"/>
      <c r="D1" s="1922"/>
      <c r="E1" s="1922"/>
      <c r="F1" s="1924" t="s">
        <v>1948</v>
      </c>
      <c r="G1" s="1736" t="s">
        <v>3899</v>
      </c>
      <c r="H1" s="1925" t="str">
        <f>IF(G1="现房","——","估价对象范围")</f>
        <v>估价对象范围</v>
      </c>
      <c r="I1" s="1926"/>
    </row>
    <row r="2" spans="1:12" ht="21.75" customHeight="1" thickBot="1">
      <c r="A2" s="3290" t="str">
        <f>项目基本情况!S2</f>
        <v>湖南省湘潭市岳塘区芙蓉路以南、晓塘路以北万达酒店出让国有建设用地使用权及在建建筑物房地产</v>
      </c>
      <c r="B2" s="3291"/>
      <c r="C2" s="3291"/>
      <c r="D2" s="3291"/>
      <c r="E2" s="3291"/>
      <c r="F2" s="3291"/>
      <c r="G2" s="3291"/>
      <c r="H2" s="3291"/>
      <c r="I2" s="3292"/>
    </row>
    <row r="3" spans="1:12" ht="12.75">
      <c r="A3" s="3294" t="s">
        <v>1949</v>
      </c>
      <c r="B3" s="3295"/>
      <c r="C3" s="3295"/>
      <c r="D3" s="3295"/>
      <c r="E3" s="3295"/>
      <c r="F3" s="3295"/>
      <c r="G3" s="3295"/>
      <c r="H3" s="3295"/>
      <c r="I3" s="3295"/>
    </row>
    <row r="4" spans="1:12" ht="14.25">
      <c r="A4" s="1929" t="s">
        <v>1950</v>
      </c>
      <c r="B4" s="1930" t="s">
        <v>1951</v>
      </c>
      <c r="C4" s="1931" t="s">
        <v>3533</v>
      </c>
      <c r="D4" s="1931" t="s">
        <v>3535</v>
      </c>
      <c r="E4" s="3296" t="s">
        <v>1952</v>
      </c>
      <c r="F4" s="3297"/>
      <c r="G4" s="3297"/>
      <c r="H4" s="3297"/>
      <c r="I4" s="3298"/>
      <c r="K4" s="151" t="str">
        <f>IF(ISNUMBER(FIND("比较法",结果表!C4)),"比较法",IF(ISNUMBER(FIND("成本法",结果表!C4)),"成本法",IF(ISNUMBER(FIND("假设开发法",结果表!C4)),"假设开发法",IF(ISNUMBER(FIND("收益法",结果表!C4)),"收益法","基准地价系数修正法"))))</f>
        <v>成本法</v>
      </c>
      <c r="L4" s="151" t="str">
        <f>IF(ISNUMBER(FIND("比较法",结果表!D4)),"比较法",IF(ISNUMBER(FIND("成本法",结果表!D4)),"成本法",IF(ISNUMBER(FIND("假设开发法",结果表!D4)),"假设开发法",IF(ISNUMBER(FIND("收益法",结果表!D4)),"收益法","基准地价系数修正法"))))</f>
        <v>收益法</v>
      </c>
    </row>
    <row r="5" spans="1:12" ht="12.75">
      <c r="A5" s="3270" t="s">
        <v>1953</v>
      </c>
      <c r="B5" s="3257">
        <v>25</v>
      </c>
      <c r="C5" s="3273"/>
      <c r="D5" s="3293"/>
      <c r="E5" s="136" t="s">
        <v>1954</v>
      </c>
      <c r="F5" s="1932"/>
      <c r="G5" s="1932"/>
      <c r="H5" s="1932"/>
      <c r="I5" s="1547"/>
    </row>
    <row r="6" spans="1:12" ht="12.75">
      <c r="A6" s="3270"/>
      <c r="B6" s="3257"/>
      <c r="C6" s="3274"/>
      <c r="D6" s="3293"/>
      <c r="E6" s="136" t="s">
        <v>1955</v>
      </c>
      <c r="F6" s="1932"/>
      <c r="G6" s="1932"/>
      <c r="H6" s="1932"/>
      <c r="I6" s="1547"/>
    </row>
    <row r="7" spans="1:12" ht="12.75">
      <c r="A7" s="3270"/>
      <c r="B7" s="3257"/>
      <c r="C7" s="3275"/>
      <c r="D7" s="3293"/>
      <c r="E7" s="136" t="s">
        <v>1956</v>
      </c>
      <c r="F7" s="1932"/>
      <c r="G7" s="1932"/>
      <c r="H7" s="1932"/>
      <c r="I7" s="1547"/>
    </row>
    <row r="8" spans="1:12" ht="12.75">
      <c r="A8" s="3270" t="s">
        <v>1957</v>
      </c>
      <c r="B8" s="3257">
        <v>15</v>
      </c>
      <c r="C8" s="3273"/>
      <c r="D8" s="3293"/>
      <c r="E8" s="136" t="s">
        <v>1958</v>
      </c>
      <c r="F8" s="1932"/>
      <c r="G8" s="1932"/>
      <c r="H8" s="1932"/>
      <c r="I8" s="1547"/>
    </row>
    <row r="9" spans="1:12" ht="12.75">
      <c r="A9" s="3270"/>
      <c r="B9" s="3257"/>
      <c r="C9" s="3275"/>
      <c r="D9" s="3293"/>
      <c r="E9" s="136" t="s">
        <v>1959</v>
      </c>
      <c r="F9" s="1932"/>
      <c r="G9" s="1932"/>
      <c r="H9" s="1932"/>
      <c r="I9" s="1547"/>
    </row>
    <row r="10" spans="1:12" ht="12.75">
      <c r="A10" s="3270" t="s">
        <v>1960</v>
      </c>
      <c r="B10" s="3257">
        <v>15</v>
      </c>
      <c r="C10" s="3273"/>
      <c r="D10" s="3293"/>
      <c r="E10" s="136" t="s">
        <v>1961</v>
      </c>
      <c r="F10" s="1932"/>
      <c r="G10" s="1932"/>
      <c r="H10" s="1932"/>
      <c r="I10" s="1547"/>
    </row>
    <row r="11" spans="1:12" ht="12.75">
      <c r="A11" s="3270"/>
      <c r="B11" s="3257"/>
      <c r="C11" s="3275"/>
      <c r="D11" s="3293"/>
      <c r="E11" s="136" t="s">
        <v>1962</v>
      </c>
      <c r="F11" s="1932"/>
      <c r="G11" s="1932"/>
      <c r="H11" s="1932"/>
      <c r="I11" s="1547"/>
    </row>
    <row r="12" spans="1:12" ht="12.75">
      <c r="A12" s="3270" t="s">
        <v>1963</v>
      </c>
      <c r="B12" s="3257">
        <v>15</v>
      </c>
      <c r="C12" s="3273"/>
      <c r="D12" s="3293"/>
      <c r="E12" s="136" t="s">
        <v>1964</v>
      </c>
      <c r="F12" s="1932"/>
      <c r="G12" s="1932"/>
      <c r="H12" s="1932"/>
      <c r="I12" s="1547"/>
    </row>
    <row r="13" spans="1:12" ht="12.75">
      <c r="A13" s="3270"/>
      <c r="B13" s="3257"/>
      <c r="C13" s="3275"/>
      <c r="D13" s="3293"/>
      <c r="E13" s="136" t="s">
        <v>1965</v>
      </c>
      <c r="F13" s="1932"/>
      <c r="G13" s="1932"/>
      <c r="H13" s="1932"/>
      <c r="I13" s="1547"/>
    </row>
    <row r="14" spans="1:12" ht="12.75">
      <c r="A14" s="3270" t="s">
        <v>1966</v>
      </c>
      <c r="B14" s="3257">
        <v>30</v>
      </c>
      <c r="C14" s="3273">
        <v>5</v>
      </c>
      <c r="D14" s="3293">
        <v>5</v>
      </c>
      <c r="E14" s="136" t="s">
        <v>1967</v>
      </c>
      <c r="F14" s="1932"/>
      <c r="G14" s="1932"/>
      <c r="H14" s="1932"/>
      <c r="I14" s="1547"/>
    </row>
    <row r="15" spans="1:12" ht="12.75">
      <c r="A15" s="3270"/>
      <c r="B15" s="3257"/>
      <c r="C15" s="3274"/>
      <c r="D15" s="3293"/>
      <c r="E15" s="136" t="s">
        <v>1968</v>
      </c>
      <c r="F15" s="1932"/>
      <c r="G15" s="1932"/>
      <c r="H15" s="1932"/>
      <c r="I15" s="1547"/>
    </row>
    <row r="16" spans="1:12" ht="12.75">
      <c r="A16" s="3270"/>
      <c r="B16" s="3257"/>
      <c r="C16" s="3275"/>
      <c r="D16" s="3293"/>
      <c r="E16" s="136" t="s">
        <v>1969</v>
      </c>
      <c r="F16" s="1932"/>
      <c r="G16" s="1932"/>
      <c r="H16" s="1932"/>
      <c r="I16" s="1547"/>
    </row>
    <row r="17" spans="1:36" ht="15">
      <c r="A17" s="1933" t="s">
        <v>1970</v>
      </c>
      <c r="B17" s="60"/>
      <c r="C17" s="137">
        <f>SUM(C5:C16)</f>
        <v>5</v>
      </c>
      <c r="D17" s="137">
        <f>SUM(D5:D16)</f>
        <v>5</v>
      </c>
      <c r="E17" s="134"/>
      <c r="F17" s="134"/>
      <c r="G17" s="134"/>
      <c r="H17" s="134"/>
      <c r="I17" s="134"/>
      <c r="K17" s="308"/>
      <c r="L17" s="308" t="s">
        <v>1971</v>
      </c>
      <c r="M17" s="308" t="s">
        <v>1972</v>
      </c>
    </row>
    <row r="18" spans="1:36" ht="31.9" customHeight="1" thickBot="1">
      <c r="A18" s="1934" t="s">
        <v>1973</v>
      </c>
      <c r="B18" s="1935"/>
      <c r="C18" s="138">
        <f>ROUND(C17/SUM(C17:D17),2)</f>
        <v>0.5</v>
      </c>
      <c r="D18" s="138">
        <f>1-C18</f>
        <v>0.5</v>
      </c>
      <c r="E18" s="3280" t="s">
        <v>2857</v>
      </c>
      <c r="F18" s="3281"/>
      <c r="G18" s="3281"/>
      <c r="H18" s="3281"/>
      <c r="I18" s="3281"/>
      <c r="K18" s="308" t="s">
        <v>1974</v>
      </c>
      <c r="L18" s="308">
        <f>IF(C1="",'数据-汇总表'!E3,SUMIF(项目类型,C1,'数据-汇总表'!E17:E26)+SUMIF(项目类型,C1,'数据-汇总表'!I17:I26))</f>
        <v>29932.760000000009</v>
      </c>
      <c r="M18" s="308">
        <f>IF(C1="",'数据-汇总表'!E3,SUMIF(项目类型,C1,'数据-汇总表'!E17:E26))</f>
        <v>29932.760000000009</v>
      </c>
    </row>
    <row r="19" spans="1:36" ht="15">
      <c r="A19" s="1936" t="s">
        <v>1975</v>
      </c>
      <c r="B19" s="1937" t="s">
        <v>1976</v>
      </c>
      <c r="C19" s="139">
        <f ca="1">SUMIF(INDIRECT("'"&amp;C4&amp;"'"&amp;"!A:A"),结果表!B19,INDIRECT("'"&amp;C4&amp;"'"&amp;"!B:B"))</f>
        <v>33048</v>
      </c>
      <c r="D19" s="140">
        <f ca="1">SUMIF(INDIRECT("'"&amp;D4&amp;"'"&amp;"!A:A"),结果表!B19,INDIRECT("'"&amp;D4&amp;"'"&amp;"!B:B"))</f>
        <v>24262</v>
      </c>
      <c r="E19" s="1936" t="s">
        <v>1977</v>
      </c>
      <c r="F19" s="1937" t="s">
        <v>1976</v>
      </c>
      <c r="G19" s="141">
        <f ca="1">ROUND(C19*$C$18+D19*$D$18,0)</f>
        <v>28655</v>
      </c>
      <c r="H19" s="1938" t="s">
        <v>1978</v>
      </c>
      <c r="I19" s="134"/>
      <c r="K19" s="308" t="s">
        <v>1979</v>
      </c>
      <c r="L19" s="308">
        <f>IF(C1="",'数据-汇总表'!D3,SUMIF(项目类型,C1,'数据-汇总表'!D17:D26)+SUMIF(项目类型,C1,'数据-汇总表'!H17:H27))</f>
        <v>0</v>
      </c>
      <c r="M19" s="308">
        <f>IF(C1="",'数据-汇总表'!D3,SUMIF(项目类型,C1,'数据-汇总表'!D17:D26))</f>
        <v>0</v>
      </c>
    </row>
    <row r="20" spans="1:36" ht="15">
      <c r="A20" s="1939"/>
      <c r="B20" s="1148" t="s">
        <v>1980</v>
      </c>
      <c r="C20" s="142">
        <f ca="1">SUMIF(INDIRECT("'"&amp;C4&amp;"'"&amp;"!A:A"),结果表!B20,INDIRECT("'"&amp;C4&amp;"'"&amp;"!B:B"))</f>
        <v>11161</v>
      </c>
      <c r="D20" s="143">
        <f ca="1">SUMIF(INDIRECT("'"&amp;D4&amp;"'"&amp;"!A:A"),结果表!B20,INDIRECT("'"&amp;D4&amp;"'"&amp;"!B:B"))</f>
        <v>8194</v>
      </c>
      <c r="E20" s="1939"/>
      <c r="F20" s="1148" t="s">
        <v>1980</v>
      </c>
      <c r="G20" s="144">
        <f ca="1">ROUND(C20*$C$18+D20*$D$18,0)</f>
        <v>9678</v>
      </c>
      <c r="H20" s="914" t="s">
        <v>1981</v>
      </c>
      <c r="I20" s="134"/>
    </row>
    <row r="21" spans="1:36" ht="15" customHeight="1" thickBot="1">
      <c r="A21" s="934"/>
      <c r="B21" s="1940" t="s">
        <v>1982</v>
      </c>
      <c r="C21" s="725" t="e">
        <f ca="1">ROUND(C19*10000/L19,0)</f>
        <v>#DIV/0!</v>
      </c>
      <c r="D21" s="726" t="e">
        <f ca="1">ROUND(D19*10000/L19,0)</f>
        <v>#DIV/0!</v>
      </c>
      <c r="E21" s="934"/>
      <c r="F21" s="1940" t="s">
        <v>1982</v>
      </c>
      <c r="G21" s="145" t="e">
        <f ca="1">ROUND(G19*10000/L19,0)</f>
        <v>#DIV/0!</v>
      </c>
      <c r="H21" s="1941" t="s">
        <v>1981</v>
      </c>
      <c r="I21" s="134"/>
    </row>
    <row r="22" spans="1:36" ht="15" thickBot="1">
      <c r="A22" s="1863" t="s">
        <v>1983</v>
      </c>
      <c r="B22" s="1942"/>
      <c r="C22" s="1943"/>
      <c r="D22" s="727">
        <f ca="1">IF(C19&lt;D19,D19/C19-1,C19/D19-1)</f>
        <v>0.36213007996043189</v>
      </c>
      <c r="E22" s="134"/>
      <c r="F22" s="134"/>
      <c r="G22" s="134"/>
      <c r="H22" s="134"/>
      <c r="I22" s="134"/>
    </row>
    <row r="23" spans="1:36" ht="13.5" thickBot="1">
      <c r="A23" s="1922"/>
      <c r="B23" s="1922"/>
      <c r="C23" s="1922"/>
      <c r="D23" s="1922"/>
      <c r="E23" s="134"/>
      <c r="F23" s="134"/>
      <c r="G23" s="134"/>
      <c r="H23" s="134"/>
      <c r="I23" s="134"/>
    </row>
    <row r="24" spans="1:36" ht="14.25">
      <c r="A24" s="3264" t="s">
        <v>1984</v>
      </c>
      <c r="B24" s="1937" t="s">
        <v>1976</v>
      </c>
      <c r="C24" s="141">
        <f>IF(B30=0,0,D30)</f>
        <v>0</v>
      </c>
      <c r="D24" s="1944"/>
      <c r="E24" s="134"/>
      <c r="F24" s="134"/>
      <c r="G24" s="134"/>
      <c r="H24" s="134"/>
      <c r="I24" s="134"/>
    </row>
    <row r="25" spans="1:36" ht="14.25">
      <c r="A25" s="3265"/>
      <c r="B25" s="1148" t="s">
        <v>1980</v>
      </c>
      <c r="C25" s="146">
        <f>IF(B30=0,0,C30)</f>
        <v>0</v>
      </c>
      <c r="D25" s="1945"/>
      <c r="E25" s="134"/>
      <c r="F25" s="134"/>
      <c r="G25" s="134"/>
      <c r="H25" s="134"/>
      <c r="I25" s="134"/>
    </row>
    <row r="26" spans="1:36" ht="13.5" customHeight="1">
      <c r="A26" s="1946" t="s">
        <v>1985</v>
      </c>
      <c r="B26" s="147" t="s">
        <v>1986</v>
      </c>
      <c r="C26" s="147" t="s">
        <v>1987</v>
      </c>
      <c r="D26" s="148" t="s">
        <v>1988</v>
      </c>
      <c r="E26" s="134"/>
      <c r="F26" s="134"/>
      <c r="G26" s="134"/>
      <c r="H26" s="134"/>
      <c r="I26" s="134"/>
    </row>
    <row r="27" spans="1:36" ht="14.25">
      <c r="A27" s="1946"/>
      <c r="B27" s="147">
        <v>0</v>
      </c>
      <c r="C27" s="147">
        <v>0</v>
      </c>
      <c r="D27" s="148">
        <f>ROUND(C27*B27/10000,0)</f>
        <v>0</v>
      </c>
      <c r="E27" s="134"/>
      <c r="F27" s="134"/>
      <c r="G27" s="134"/>
      <c r="H27" s="134"/>
      <c r="I27" s="134"/>
    </row>
    <row r="28" spans="1:36" ht="14.25">
      <c r="A28" s="1946"/>
      <c r="B28" s="147"/>
      <c r="C28" s="147"/>
      <c r="D28" s="148"/>
      <c r="E28" s="134"/>
      <c r="F28" s="134"/>
      <c r="G28" s="134"/>
      <c r="H28" s="134"/>
      <c r="I28" s="134"/>
    </row>
    <row r="29" spans="1:36" ht="14.25">
      <c r="A29" s="1946"/>
      <c r="B29" s="147"/>
      <c r="C29" s="147"/>
      <c r="D29" s="148"/>
      <c r="E29" s="134"/>
      <c r="F29" s="134"/>
      <c r="G29" s="134"/>
      <c r="H29" s="134"/>
      <c r="I29" s="134"/>
    </row>
    <row r="30" spans="1:36" ht="15" thickBot="1">
      <c r="A30" s="147" t="s">
        <v>1989</v>
      </c>
      <c r="B30" s="147"/>
      <c r="C30" s="147"/>
      <c r="D30" s="147"/>
      <c r="E30" s="2505" t="s">
        <v>2858</v>
      </c>
      <c r="F30" s="134"/>
      <c r="G30" s="134"/>
      <c r="H30" s="134"/>
      <c r="I30" s="134"/>
    </row>
    <row r="31" spans="1:36" s="2511" customFormat="1" ht="26.45" customHeight="1" thickTop="1" thickBot="1">
      <c r="A31" s="2506"/>
      <c r="B31" s="2507"/>
      <c r="C31" s="2507"/>
      <c r="D31" s="2507"/>
      <c r="E31" s="2507"/>
      <c r="F31" s="2507"/>
      <c r="G31" s="2507"/>
      <c r="H31" s="2507"/>
      <c r="I31" s="2508" t="s">
        <v>2859</v>
      </c>
      <c r="J31" s="2899"/>
      <c r="K31" s="2509"/>
      <c r="L31" s="2509"/>
      <c r="M31" s="2509"/>
      <c r="N31" s="2509"/>
      <c r="O31" s="2509"/>
      <c r="P31" s="2509"/>
      <c r="Q31" s="2509"/>
      <c r="R31" s="2509"/>
      <c r="S31" s="2509"/>
      <c r="T31" s="2509"/>
      <c r="U31" s="2509"/>
      <c r="V31" s="2509"/>
      <c r="W31" s="2509"/>
      <c r="X31" s="2509"/>
      <c r="Y31" s="2509"/>
      <c r="Z31" s="2509"/>
      <c r="AA31" s="2509"/>
      <c r="AB31" s="2510"/>
      <c r="AC31" s="2510"/>
      <c r="AD31" s="2510"/>
      <c r="AE31" s="2510"/>
      <c r="AF31" s="2510"/>
      <c r="AG31" s="2510"/>
      <c r="AH31" s="2510"/>
      <c r="AI31" s="2510"/>
      <c r="AJ31" s="2510"/>
    </row>
    <row r="32" spans="1:36" ht="16.5" thickTop="1" thickBot="1">
      <c r="A32" s="1948" t="s">
        <v>1990</v>
      </c>
      <c r="B32" s="1949"/>
      <c r="C32" s="149">
        <f ca="1">IF(D32="总价",G19-C24,G20-C25)</f>
        <v>9678</v>
      </c>
      <c r="D32" s="1950"/>
      <c r="E32" s="134"/>
      <c r="F32" s="134"/>
      <c r="G32" s="134"/>
      <c r="H32" s="134"/>
      <c r="I32" s="134"/>
    </row>
    <row r="33" spans="1:15" ht="15">
      <c r="A33" s="891" t="s">
        <v>1991</v>
      </c>
      <c r="B33" s="1951"/>
      <c r="C33" s="1952"/>
      <c r="D33" s="1953"/>
      <c r="E33" s="1954" t="s">
        <v>1992</v>
      </c>
      <c r="F33" s="1955" t="str">
        <f>IF(D32="楼面单价","取值（单价）","取值（总价）")</f>
        <v>取值（总价）</v>
      </c>
      <c r="G33" s="134"/>
      <c r="H33" s="134"/>
      <c r="I33" s="134"/>
    </row>
    <row r="34" spans="1:15" ht="15">
      <c r="A34" s="1956"/>
      <c r="B34" s="1957" t="s">
        <v>1993</v>
      </c>
      <c r="C34" s="153" t="e">
        <f ca="1">IF(C33="自定义",F34,C32-C35)</f>
        <v>#REF!</v>
      </c>
      <c r="D34" s="967" t="e">
        <f ca="1">IF(C33="自定义",ROUND(C34/C32,3),IF(C33="收益比率",SUMIF(INDIRECT("'"&amp;D33&amp;"'"&amp;"!b:b"),"土地收益比率",INDIRECT("'"&amp;D33&amp;"'"&amp;"!c:c")),SUMIF(INDIRECT("'"&amp;D33&amp;"'"&amp;"!b:b"),"土地成本比率",INDIRECT("'"&amp;D33&amp;"'"&amp;"!c:c"))))</f>
        <v>#REF!</v>
      </c>
      <c r="E34" s="1958" t="s">
        <v>1994</v>
      </c>
      <c r="F34" s="1488"/>
      <c r="G34" s="134"/>
      <c r="H34" s="134"/>
      <c r="I34" s="134"/>
    </row>
    <row r="35" spans="1:15" ht="15.75" thickBot="1">
      <c r="A35" s="1959"/>
      <c r="B35" s="1960" t="s">
        <v>1995</v>
      </c>
      <c r="C35" s="1321" t="e">
        <f ca="1">IF(C33="自定义",F35,ROUND(C32*D35,0))</f>
        <v>#REF!</v>
      </c>
      <c r="D35" s="1322" t="e">
        <f ca="1">IF(C33="自定义",ROUND(C35/C32,3),IF(C33="收益比率",SUMIF(INDIRECT("'"&amp;D33&amp;"'"&amp;"!b:b"),"建筑物收益比率",INDIRECT("'"&amp;D33&amp;"'"&amp;"!c:c")),SUMIF(INDIRECT("'"&amp;D33&amp;"'"&amp;"!b:b"),"建筑物成本比率",INDIRECT("'"&amp;D33&amp;"'"&amp;"!c:c"))))</f>
        <v>#REF!</v>
      </c>
      <c r="E35" s="1961" t="s">
        <v>1996</v>
      </c>
      <c r="F35" s="159"/>
      <c r="G35" s="134"/>
      <c r="H35" s="134"/>
      <c r="I35" s="134"/>
    </row>
    <row r="36" spans="1:15" ht="15.75" thickBot="1">
      <c r="A36" s="3284" t="s">
        <v>1997</v>
      </c>
      <c r="B36" s="1962" t="s">
        <v>1998</v>
      </c>
      <c r="C36" s="150"/>
      <c r="D36" s="1963"/>
      <c r="E36" s="1964"/>
      <c r="F36" s="1965"/>
      <c r="G36" s="134"/>
      <c r="H36" s="134"/>
      <c r="I36" s="134"/>
    </row>
    <row r="37" spans="1:15" ht="15.75" thickBot="1">
      <c r="A37" s="3285"/>
      <c r="B37" s="1849" t="s">
        <v>1999</v>
      </c>
      <c r="C37" s="152"/>
      <c r="D37" s="1290"/>
      <c r="E37" s="1290"/>
      <c r="F37" s="1965"/>
      <c r="G37" s="134"/>
      <c r="H37" s="134"/>
      <c r="I37" s="134"/>
    </row>
    <row r="38" spans="1:15" ht="15.75" thickBot="1">
      <c r="A38" s="3286"/>
      <c r="B38" s="1966" t="s">
        <v>2000</v>
      </c>
      <c r="C38" s="681"/>
      <c r="D38" s="1967" t="s">
        <v>2001</v>
      </c>
      <c r="E38" s="1290"/>
      <c r="F38" s="1965"/>
      <c r="G38" s="134"/>
      <c r="H38" s="134"/>
      <c r="I38" s="134"/>
    </row>
    <row r="39" spans="1:15" ht="15">
      <c r="A39" s="1939" t="s">
        <v>2002</v>
      </c>
      <c r="B39" s="1968" t="s">
        <v>2003</v>
      </c>
      <c r="C39" s="1969" t="s">
        <v>2004</v>
      </c>
      <c r="D39" s="1969" t="s">
        <v>2005</v>
      </c>
      <c r="E39" s="1970" t="s">
        <v>2006</v>
      </c>
      <c r="F39" s="1965"/>
      <c r="G39" s="134"/>
      <c r="H39" s="134"/>
      <c r="I39" s="134"/>
    </row>
    <row r="40" spans="1:15" ht="14.25">
      <c r="A40" s="1971" t="s">
        <v>2007</v>
      </c>
      <c r="B40" s="154"/>
      <c r="C40" s="155"/>
      <c r="D40" s="155"/>
      <c r="E40" s="156"/>
      <c r="F40" s="1965"/>
      <c r="G40" s="134"/>
      <c r="H40" s="134"/>
      <c r="I40" s="134"/>
    </row>
    <row r="41" spans="1:15" ht="14.25">
      <c r="A41" s="1971" t="s">
        <v>2008</v>
      </c>
      <c r="B41" s="154"/>
      <c r="C41" s="155"/>
      <c r="D41" s="155"/>
      <c r="E41" s="156"/>
      <c r="F41" s="1965"/>
      <c r="G41" s="134"/>
      <c r="H41" s="134"/>
      <c r="I41" s="134"/>
    </row>
    <row r="42" spans="1:15" ht="15" thickBot="1">
      <c r="A42" s="1972"/>
      <c r="B42" s="157"/>
      <c r="C42" s="158"/>
      <c r="D42" s="158"/>
      <c r="E42" s="159"/>
      <c r="F42" s="1965"/>
      <c r="G42" s="134"/>
      <c r="H42" s="134"/>
      <c r="I42" s="134"/>
    </row>
    <row r="43" spans="1:15" ht="12.75">
      <c r="A43" s="1752"/>
      <c r="B43" s="1752"/>
      <c r="C43" s="1752"/>
      <c r="D43" s="1752"/>
      <c r="E43" s="1752"/>
      <c r="F43" s="1973"/>
      <c r="G43" s="1973"/>
      <c r="H43" s="1973"/>
      <c r="I43" s="1974"/>
    </row>
    <row r="44" spans="1:15" ht="18.75">
      <c r="A44" s="1975" t="s">
        <v>2009</v>
      </c>
      <c r="B44" s="1976"/>
      <c r="C44" s="1976"/>
      <c r="D44" s="1977"/>
      <c r="E44" s="1977"/>
      <c r="F44" s="1978"/>
      <c r="G44" s="1978"/>
      <c r="H44" s="1978"/>
      <c r="I44" s="1978"/>
      <c r="J44" s="1979" t="s">
        <v>2010</v>
      </c>
      <c r="K44" s="1980"/>
      <c r="L44" s="1980"/>
      <c r="M44" s="1980"/>
      <c r="N44" s="1980"/>
      <c r="O44" s="1980"/>
    </row>
    <row r="45" spans="1:15" ht="14.25" customHeight="1" thickBot="1">
      <c r="A45" s="3261" t="s">
        <v>2011</v>
      </c>
      <c r="B45" s="3262"/>
      <c r="C45" s="3263"/>
      <c r="D45" s="160" t="e">
        <f ca="1">ROUND(H101*F45,0)</f>
        <v>#REF!</v>
      </c>
      <c r="E45" s="161" t="s">
        <v>2012</v>
      </c>
      <c r="F45" s="162">
        <v>1</v>
      </c>
      <c r="G45" s="163" t="s">
        <v>2013</v>
      </c>
      <c r="H45" s="134"/>
      <c r="I45" s="134"/>
      <c r="J45" s="3342" t="s">
        <v>2014</v>
      </c>
      <c r="K45" s="3342"/>
      <c r="L45" s="3342"/>
      <c r="M45" s="3342"/>
      <c r="N45" s="3342"/>
      <c r="O45" s="3342"/>
    </row>
    <row r="46" spans="1:15" ht="14.25" customHeight="1">
      <c r="A46" s="3258" t="s">
        <v>2015</v>
      </c>
      <c r="B46" s="3259"/>
      <c r="C46" s="3259"/>
      <c r="D46" s="3259"/>
      <c r="E46" s="3259"/>
      <c r="F46" s="3259"/>
      <c r="G46" s="3260"/>
      <c r="H46" s="1981"/>
      <c r="I46" s="164"/>
      <c r="J46" s="2731">
        <v>1</v>
      </c>
      <c r="K46" s="3323" t="s">
        <v>2016</v>
      </c>
      <c r="L46" s="3323"/>
      <c r="M46" s="3343"/>
      <c r="N46" s="3343"/>
      <c r="O46" s="3343"/>
    </row>
    <row r="47" spans="1:15" ht="12" customHeight="1">
      <c r="A47" s="165" t="s">
        <v>2017</v>
      </c>
      <c r="B47" s="166"/>
      <c r="C47" s="167"/>
      <c r="D47" s="1238" t="s">
        <v>2018</v>
      </c>
      <c r="E47" s="308" t="s">
        <v>2019</v>
      </c>
      <c r="F47" s="168" t="s">
        <v>2020</v>
      </c>
      <c r="G47" s="2754" t="s">
        <v>2021</v>
      </c>
      <c r="H47" s="2755"/>
      <c r="I47" s="164"/>
      <c r="J47" s="2731">
        <v>2</v>
      </c>
      <c r="K47" s="3323" t="s">
        <v>2022</v>
      </c>
      <c r="L47" s="3323"/>
      <c r="M47" s="3344">
        <f>'数据-取费表'!B2</f>
        <v>44280</v>
      </c>
      <c r="N47" s="3344"/>
      <c r="O47" s="3344"/>
    </row>
    <row r="48" spans="1:15" ht="25.5">
      <c r="A48" s="3289" t="s">
        <v>2023</v>
      </c>
      <c r="B48" s="3272"/>
      <c r="C48" s="3272"/>
      <c r="D48" s="2531" t="b">
        <f>IF(H48="情况1",0,IF(H48="情况2",D52,IF(H48="情况3",D53,IF(H48="情况4",D54))))</f>
        <v>0</v>
      </c>
      <c r="E48" s="2541" t="str">
        <f>IF(H48="情况4","(销售额-原购置价)×税（费）率","销售额×税（费）率")</f>
        <v>销售额×税（费）率</v>
      </c>
      <c r="F48" s="2756">
        <f>IF(H48="情况1","免征",'数据-取费表'!B41)</f>
        <v>5.6000000000000001E-2</v>
      </c>
      <c r="G48" s="2757" t="s">
        <v>2024</v>
      </c>
      <c r="H48" s="2758"/>
      <c r="I48" s="1981"/>
      <c r="J48" s="2731">
        <v>3</v>
      </c>
      <c r="K48" s="3323" t="s">
        <v>2025</v>
      </c>
      <c r="L48" s="3323"/>
      <c r="M48" s="3345" t="e">
        <f ca="1">H101</f>
        <v>#REF!</v>
      </c>
      <c r="N48" s="3345"/>
      <c r="O48" s="3345"/>
    </row>
    <row r="49" spans="1:35" ht="25.5" customHeight="1">
      <c r="A49" s="2540" t="s">
        <v>2026</v>
      </c>
      <c r="B49" s="3256" t="s">
        <v>2027</v>
      </c>
      <c r="C49" s="3256"/>
      <c r="D49" s="1765">
        <v>0</v>
      </c>
      <c r="E49" s="330" t="s">
        <v>2028</v>
      </c>
      <c r="F49" s="2633" t="s">
        <v>34</v>
      </c>
      <c r="G49" s="3329"/>
      <c r="H49" s="2512" t="s">
        <v>2860</v>
      </c>
      <c r="I49" s="2513"/>
      <c r="J49" s="2731">
        <v>4</v>
      </c>
      <c r="K49" s="3323" t="str">
        <f>IF(项目基本情况!E8="房地产抵押价值","房地产抵押价值","抵押担保权已注销时的房地产抵押价值")</f>
        <v>房地产抵押价值</v>
      </c>
      <c r="L49" s="3323"/>
      <c r="M49" s="3345" t="str">
        <f ca="1">IF(项目基本情况!E8="房地产抵押价值",H107,H109)</f>
        <v>——</v>
      </c>
      <c r="N49" s="3345"/>
      <c r="O49" s="3345"/>
    </row>
    <row r="50" spans="1:35" ht="25.5" customHeight="1">
      <c r="A50" s="2759"/>
      <c r="B50" s="3256" t="s">
        <v>2029</v>
      </c>
      <c r="C50" s="3256"/>
      <c r="D50" s="2760"/>
      <c r="E50" s="338"/>
      <c r="F50" s="2633"/>
      <c r="G50" s="3330"/>
      <c r="H50" s="2514" t="s">
        <v>2861</v>
      </c>
      <c r="I50" s="2513"/>
      <c r="J50" s="3342" t="s">
        <v>2030</v>
      </c>
      <c r="K50" s="3342"/>
      <c r="L50" s="3342"/>
      <c r="M50" s="3342"/>
      <c r="N50" s="3342"/>
      <c r="O50" s="3342"/>
    </row>
    <row r="51" spans="1:35" ht="20.45" customHeight="1">
      <c r="A51" s="2761"/>
      <c r="B51" s="3256" t="s">
        <v>2031</v>
      </c>
      <c r="C51" s="3256"/>
      <c r="D51" s="1238"/>
      <c r="E51" s="333"/>
      <c r="F51" s="2633"/>
      <c r="G51" s="3331"/>
      <c r="H51" s="2514" t="s">
        <v>2862</v>
      </c>
      <c r="I51" s="2513"/>
      <c r="J51" s="2732" t="s">
        <v>2032</v>
      </c>
      <c r="K51" s="3323" t="s">
        <v>2033</v>
      </c>
      <c r="L51" s="3323"/>
      <c r="M51" s="2732" t="s">
        <v>2034</v>
      </c>
      <c r="N51" s="2732" t="s">
        <v>2035</v>
      </c>
      <c r="O51" s="2732" t="s">
        <v>2036</v>
      </c>
    </row>
    <row r="52" spans="1:35" ht="24" customHeight="1">
      <c r="A52" s="2542" t="s">
        <v>2037</v>
      </c>
      <c r="B52" s="3256" t="s">
        <v>2038</v>
      </c>
      <c r="C52" s="3256"/>
      <c r="D52" s="1238" t="e">
        <f ca="1">ROUND(D45*'数据-取费表'!B41/(1+'数据-取费表'!C42),0)</f>
        <v>#REF!</v>
      </c>
      <c r="E52" s="2541" t="s">
        <v>2039</v>
      </c>
      <c r="F52" s="2762">
        <f>'数据-取费表'!B41</f>
        <v>5.6000000000000001E-2</v>
      </c>
      <c r="G52" s="2763"/>
      <c r="H52" s="2752"/>
      <c r="I52" s="1982"/>
      <c r="J52" s="2731">
        <v>1</v>
      </c>
      <c r="K52" s="3324" t="s">
        <v>2040</v>
      </c>
      <c r="L52" s="3324"/>
      <c r="M52" s="2733" t="b">
        <f>D48</f>
        <v>0</v>
      </c>
      <c r="N52" s="2731" t="str">
        <f>E48</f>
        <v>销售额×税（费）率</v>
      </c>
      <c r="O52" s="2734">
        <f>F48</f>
        <v>5.6000000000000001E-2</v>
      </c>
    </row>
    <row r="53" spans="1:35" ht="12" customHeight="1">
      <c r="A53" s="2542" t="s">
        <v>2041</v>
      </c>
      <c r="B53" s="3282" t="s">
        <v>3017</v>
      </c>
      <c r="C53" s="3283"/>
      <c r="D53" s="1238" t="e">
        <f ca="1">ROUND(D45*'数据-取费表'!B41/(1+'数据-取费表'!C42),0)</f>
        <v>#REF!</v>
      </c>
      <c r="E53" s="2541" t="s">
        <v>2039</v>
      </c>
      <c r="F53" s="2762">
        <f>'数据-取费表'!B41</f>
        <v>5.6000000000000001E-2</v>
      </c>
      <c r="G53" s="2763"/>
      <c r="H53" s="2752"/>
      <c r="I53" s="1982"/>
      <c r="J53" s="2731">
        <v>2</v>
      </c>
      <c r="K53" s="3324" t="s">
        <v>2042</v>
      </c>
      <c r="L53" s="3324"/>
      <c r="M53" s="2733" t="e">
        <f t="shared" ref="M53:O54" ca="1" si="0">D55</f>
        <v>#REF!</v>
      </c>
      <c r="N53" s="2731" t="str">
        <f t="shared" si="0"/>
        <v>销售额×税（费）率</v>
      </c>
      <c r="O53" s="2734" t="str">
        <f t="shared" si="0"/>
        <v>免征</v>
      </c>
    </row>
    <row r="54" spans="1:35" ht="12" customHeight="1">
      <c r="A54" s="2542" t="s">
        <v>2043</v>
      </c>
      <c r="B54" s="3282" t="s">
        <v>3018</v>
      </c>
      <c r="C54" s="3283"/>
      <c r="D54" s="1238" t="e">
        <f ca="1">C68</f>
        <v>#REF!</v>
      </c>
      <c r="E54" s="333" t="s">
        <v>2044</v>
      </c>
      <c r="F54" s="2762">
        <f>'数据-取费表'!B41</f>
        <v>5.6000000000000001E-2</v>
      </c>
      <c r="G54" s="2763"/>
      <c r="H54" s="2764"/>
      <c r="I54" s="1982"/>
      <c r="J54" s="2731">
        <v>3</v>
      </c>
      <c r="K54" s="3324" t="s">
        <v>2045</v>
      </c>
      <c r="L54" s="3324"/>
      <c r="M54" s="2733" t="e">
        <f t="shared" ca="1" si="0"/>
        <v>#REF!</v>
      </c>
      <c r="N54" s="2731" t="str">
        <f t="shared" si="0"/>
        <v>增值额×税（费）率</v>
      </c>
      <c r="O54" s="2735" t="str">
        <f t="shared" si="0"/>
        <v>免征</v>
      </c>
    </row>
    <row r="55" spans="1:35" ht="24" customHeight="1">
      <c r="A55" s="3271" t="s">
        <v>2046</v>
      </c>
      <c r="B55" s="3272"/>
      <c r="C55" s="3272"/>
      <c r="D55" s="2531" t="e">
        <f ca="1">IF(H55="个人住宅",0,ROUND(D45*I55,0))</f>
        <v>#REF!</v>
      </c>
      <c r="E55" s="2541" t="s">
        <v>2047</v>
      </c>
      <c r="F55" s="2762" t="str">
        <f>IF(H55="正常",I55,"免征")</f>
        <v>免征</v>
      </c>
      <c r="G55" s="2763"/>
      <c r="H55" s="2758"/>
      <c r="I55" s="170">
        <f>'数据-取费表'!B49</f>
        <v>5.0000000000000001E-4</v>
      </c>
      <c r="J55" s="2731">
        <f>IF(H59="非个人房产","",4)</f>
        <v>4</v>
      </c>
      <c r="K55" s="3324" t="str">
        <f>IF(H59="非个人房产","——","个人所得税")</f>
        <v>个人所得税</v>
      </c>
      <c r="L55" s="3324"/>
      <c r="M55" s="2736" t="e">
        <f ca="1">D59</f>
        <v>#REF!</v>
      </c>
      <c r="N55" s="2213" t="str">
        <f>E59</f>
        <v>差额计税</v>
      </c>
      <c r="O55" s="2737">
        <f>F59</f>
        <v>0.01</v>
      </c>
    </row>
    <row r="56" spans="1:35" ht="24.75">
      <c r="A56" s="3271" t="s">
        <v>2048</v>
      </c>
      <c r="B56" s="3272"/>
      <c r="C56" s="3272"/>
      <c r="D56" s="2531" t="e">
        <f ca="1">IF(H56="个人住宅",D57,D58)</f>
        <v>#REF!</v>
      </c>
      <c r="E56" s="2541" t="s">
        <v>2049</v>
      </c>
      <c r="F56" s="2762" t="str">
        <f>IF(H56="正常",F58,"免征")</f>
        <v>免征</v>
      </c>
      <c r="G56" s="2765" t="s">
        <v>2050</v>
      </c>
      <c r="H56" s="2766"/>
      <c r="I56" s="1983"/>
      <c r="J56" s="2731" t="str">
        <f>IF(项目基本情况!K6="上海银行",IF(J55="",4,J55+1),"")</f>
        <v/>
      </c>
      <c r="K56" s="3347" t="str">
        <f>IF(项目基本情况!K6="上海银行","其他处置费用","")</f>
        <v/>
      </c>
      <c r="L56" s="3348"/>
      <c r="M56" s="2733" t="str">
        <f>IF(项目基本情况!K6="上海银行",M69,"")</f>
        <v/>
      </c>
      <c r="N56" s="3347" t="str">
        <f>IF(项目基本情况!K6="上海银行","包含处置中涉及的律师、诉讼、拍卖、评估等费用","")</f>
        <v/>
      </c>
      <c r="O56" s="3350"/>
    </row>
    <row r="57" spans="1:35" ht="12.75">
      <c r="A57" s="2542" t="s">
        <v>2026</v>
      </c>
      <c r="B57" s="3282" t="s">
        <v>2051</v>
      </c>
      <c r="C57" s="3283"/>
      <c r="D57" s="1765">
        <v>0</v>
      </c>
      <c r="E57" s="330" t="s">
        <v>2028</v>
      </c>
      <c r="F57" s="308"/>
      <c r="G57" s="2763"/>
      <c r="H57" s="2767"/>
      <c r="I57" s="1983"/>
      <c r="J57" s="3324">
        <f>IF(AND(J55="",J56=""),4,IF(项目基本情况!K6="上海银行",结果表!J56+1,结果表!J55+1))</f>
        <v>5</v>
      </c>
      <c r="K57" s="3324" t="s">
        <v>2052</v>
      </c>
      <c r="L57" s="2738" t="s">
        <v>2053</v>
      </c>
      <c r="M57" s="2739"/>
      <c r="N57" s="2740">
        <f ca="1">SUMIF(M52:M56,"&lt;9e307")</f>
        <v>0</v>
      </c>
      <c r="O57" s="2741"/>
      <c r="P57" s="2900" t="e">
        <f ca="1">N57/M49</f>
        <v>#VALUE!</v>
      </c>
    </row>
    <row r="58" spans="1:35" ht="24.75">
      <c r="A58" s="2542" t="s">
        <v>2037</v>
      </c>
      <c r="B58" s="3282" t="s">
        <v>2054</v>
      </c>
      <c r="C58" s="3256"/>
      <c r="D58" s="2531" t="e">
        <f ca="1">IF(H58="转让取得",C81,C97)</f>
        <v>#REF!</v>
      </c>
      <c r="E58" s="2541" t="s">
        <v>2049</v>
      </c>
      <c r="F58" s="308" t="s">
        <v>34</v>
      </c>
      <c r="G58" s="2763"/>
      <c r="H58" s="2766"/>
      <c r="I58" s="1983"/>
      <c r="J58" s="3324"/>
      <c r="K58" s="3324"/>
      <c r="L58" s="2738" t="s">
        <v>2055</v>
      </c>
      <c r="M58" s="2742"/>
      <c r="N58" s="2743" t="str">
        <f ca="1">NUMBERSTRING(INT(N57*10000),2)&amp;"元整"</f>
        <v>零元整</v>
      </c>
      <c r="O58" s="2744"/>
    </row>
    <row r="59" spans="1:35" ht="24.75" thickBot="1">
      <c r="A59" s="3327" t="s">
        <v>2056</v>
      </c>
      <c r="B59" s="3328"/>
      <c r="C59" s="3328"/>
      <c r="D59" s="2768" t="e">
        <f ca="1">IF(H59="非个人房产","——",IF(H59="个人住宅（满五唯一有凭证）",0,IF(H59="个人其他（无凭证）",ROUND(D45*F59,0),ROUND(C67*F59,0))))</f>
        <v>#REF!</v>
      </c>
      <c r="E59" s="2769" t="str">
        <f>IF(H59="非个人房产","——",IF(H59="个人其他（无凭证）","销售额×税（费）率",IF(H59="个人住宅（满五唯一有凭证）","免征","差额计税")))</f>
        <v>差额计税</v>
      </c>
      <c r="F59" s="2770">
        <f>IF(OR(H59="非个人房产",H59="个人住宅（满五唯一有凭证）"),"——",IF(H59="个人其他（有凭证）",20%,1%))</f>
        <v>0.01</v>
      </c>
      <c r="G59" s="2771" t="s">
        <v>2050</v>
      </c>
      <c r="H59" s="2516"/>
      <c r="I59" s="2515" t="s">
        <v>2863</v>
      </c>
      <c r="J59" s="3325">
        <f>J57+1</f>
        <v>6</v>
      </c>
      <c r="K59" s="3324" t="s">
        <v>2057</v>
      </c>
      <c r="L59" s="2731" t="s">
        <v>2053</v>
      </c>
      <c r="M59" s="2745"/>
      <c r="N59" s="2746" t="e">
        <f ca="1">M49-N57</f>
        <v>#VALUE!</v>
      </c>
      <c r="O59" s="2747"/>
    </row>
    <row r="60" spans="1:35" ht="12" customHeight="1">
      <c r="A60" s="1984"/>
      <c r="B60" s="1922"/>
      <c r="C60" s="1922"/>
      <c r="D60" s="1922"/>
      <c r="E60" s="1753"/>
      <c r="F60" s="1983"/>
      <c r="G60" s="1983"/>
      <c r="H60" s="1985"/>
      <c r="I60" s="134"/>
      <c r="J60" s="3326"/>
      <c r="K60" s="3324"/>
      <c r="L60" s="2738" t="s">
        <v>2055</v>
      </c>
      <c r="M60" s="2742"/>
      <c r="N60" s="2743" t="e">
        <f ca="1">NUMBERSTRING(INT(N59*10000),2)&amp;"元整"</f>
        <v>#VALUE!</v>
      </c>
      <c r="O60" s="2744"/>
    </row>
    <row r="61" spans="1:35" ht="13.5" thickBot="1">
      <c r="A61" s="3269" t="s">
        <v>2058</v>
      </c>
      <c r="B61" s="3269"/>
      <c r="C61" s="3269"/>
      <c r="D61" s="3269"/>
      <c r="E61" s="3269"/>
      <c r="F61" s="1983"/>
      <c r="G61" s="1983"/>
      <c r="H61" s="1985"/>
      <c r="I61" s="134"/>
      <c r="J61" s="2731">
        <f>J59+1</f>
        <v>7</v>
      </c>
      <c r="K61" s="3324" t="s">
        <v>2059</v>
      </c>
      <c r="L61" s="3324"/>
      <c r="M61" s="2748"/>
      <c r="N61" s="2749" t="e">
        <f ca="1">ROUND(N59*10000/'数据-汇总表'!E3,0)</f>
        <v>#VALUE!</v>
      </c>
      <c r="O61" s="2750"/>
    </row>
    <row r="62" spans="1:35" ht="12.75">
      <c r="A62" s="3287" t="s">
        <v>2060</v>
      </c>
      <c r="B62" s="3288"/>
      <c r="C62" s="2194"/>
      <c r="D62" s="2194" t="s">
        <v>2061</v>
      </c>
      <c r="E62" s="171" t="s">
        <v>2062</v>
      </c>
      <c r="F62" s="1983"/>
      <c r="G62" s="1983"/>
      <c r="H62" s="1985"/>
      <c r="I62" s="134"/>
    </row>
    <row r="63" spans="1:35" ht="12.75">
      <c r="A63" s="178" t="s">
        <v>775</v>
      </c>
      <c r="B63" s="172" t="s">
        <v>2063</v>
      </c>
      <c r="C63" s="2772" t="e">
        <f ca="1">ROUND((C64+C65)/(1+'数据-取费表'!C42),0)</f>
        <v>#REF!</v>
      </c>
      <c r="D63" s="172"/>
      <c r="E63" s="173"/>
      <c r="F63" s="1983"/>
      <c r="G63" s="1983"/>
      <c r="H63" s="1985"/>
      <c r="I63" s="134"/>
      <c r="J63" s="3349" t="s">
        <v>2064</v>
      </c>
      <c r="K63" s="1491" t="s">
        <v>2065</v>
      </c>
      <c r="L63" s="1491" t="e">
        <f ca="1">IF(M49&gt;10000,M49*0.5%,IF(AND(M49&gt;1000,M49&lt;=10000),M49*1%,IF(AND(M49&gt;100,M49&lt;=1000),M49*3%,IF(AND(M49&gt;10,M49&lt;=100),M49*5%,M49*8%))))</f>
        <v>#VALUE!</v>
      </c>
      <c r="M63" s="308" t="e">
        <f ca="1">ROUND(L63,1)</f>
        <v>#VALUE!</v>
      </c>
      <c r="N63" s="2751"/>
      <c r="Z63" s="1927"/>
      <c r="AI63" s="1928"/>
    </row>
    <row r="64" spans="1:35" ht="14.25" customHeight="1">
      <c r="A64" s="174" t="s">
        <v>770</v>
      </c>
      <c r="B64" s="175" t="s">
        <v>2066</v>
      </c>
      <c r="C64" s="2773" t="e">
        <f ca="1">D45</f>
        <v>#REF!</v>
      </c>
      <c r="D64" s="175" t="s">
        <v>32</v>
      </c>
      <c r="E64" s="177"/>
      <c r="F64" s="1983"/>
      <c r="G64" s="1983"/>
      <c r="H64" s="1985"/>
      <c r="I64" s="134"/>
      <c r="J64" s="3349"/>
      <c r="K64" s="1491" t="s">
        <v>2067</v>
      </c>
      <c r="L64" s="1491" t="e">
        <f ca="1">IF(M49&gt;2000,M49*0.5%,IF(AND(M49&gt;1000,M49&lt;=2000),M49*0.6%,IF(AND(M49&gt;500,M49&lt;=1000),M49*0.7%,IF(AND(M49&gt;200,M49&lt;=500),M49*0.8%,IF(AND(M49&gt;100,M49&lt;=200),M49*0.9%,IF(AND(M49&gt;50,M49&lt;=100),M49*1%,IF(AND(M49&gt;20,M49&lt;=50),M49*1.5%,IF(AND(M49&gt;10,M49&lt;=20),M49*2%,IF(AND(M49&gt;1,M49&lt;=10),M49*2.5%)))))))))</f>
        <v>#VALUE!</v>
      </c>
      <c r="M64" s="308" t="e">
        <f t="shared" ref="M64:M65" ca="1" si="1">ROUND(L64,1)</f>
        <v>#VALUE!</v>
      </c>
      <c r="N64" s="2752" t="s">
        <v>2068</v>
      </c>
      <c r="Z64" s="1927"/>
      <c r="AI64" s="1928"/>
    </row>
    <row r="65" spans="1:35" ht="14.25" customHeight="1">
      <c r="A65" s="174" t="s">
        <v>771</v>
      </c>
      <c r="B65" s="175" t="s">
        <v>2069</v>
      </c>
      <c r="C65" s="2774"/>
      <c r="D65" s="175"/>
      <c r="E65" s="177"/>
      <c r="F65" s="1983"/>
      <c r="G65" s="1983"/>
      <c r="H65" s="1985"/>
      <c r="I65" s="134"/>
      <c r="J65" s="3349"/>
      <c r="K65" s="1491" t="s">
        <v>2070</v>
      </c>
      <c r="L65" s="1491" t="e">
        <f ca="1">IF(M49&gt;1000,M49*0.1%,IF(AND(M49&gt;500,M49&lt;=1000),M49*0.5%,IF(AND(M49&gt;50,M49&lt;=500),M49*1%,IF(AND(M49&gt;1,M49&lt;=50),M49*1.5%))))</f>
        <v>#VALUE!</v>
      </c>
      <c r="M65" s="308" t="e">
        <f t="shared" ca="1" si="1"/>
        <v>#VALUE!</v>
      </c>
      <c r="N65" s="2752" t="s">
        <v>2068</v>
      </c>
      <c r="Z65" s="1927"/>
      <c r="AI65" s="1928"/>
    </row>
    <row r="66" spans="1:35" ht="14.25" customHeight="1">
      <c r="A66" s="178" t="s">
        <v>772</v>
      </c>
      <c r="B66" s="179" t="s">
        <v>2071</v>
      </c>
      <c r="C66" s="2775"/>
      <c r="D66" s="179" t="s">
        <v>32</v>
      </c>
      <c r="E66" s="1499" t="s">
        <v>1337</v>
      </c>
      <c r="F66" s="1983"/>
      <c r="G66" s="1983"/>
      <c r="H66" s="1985"/>
      <c r="I66" s="134"/>
      <c r="J66" s="3349"/>
      <c r="K66" s="1491" t="s">
        <v>2072</v>
      </c>
      <c r="L66" s="1491" t="e">
        <f ca="1">M49*0.5%</f>
        <v>#VALUE!</v>
      </c>
      <c r="M66" s="308" t="e">
        <f ca="1">IF(L66&gt;0.5,0.5,ROUND(L66,0))</f>
        <v>#VALUE!</v>
      </c>
      <c r="N66" s="2752" t="s">
        <v>2073</v>
      </c>
      <c r="Z66" s="1927"/>
      <c r="AI66" s="1928"/>
    </row>
    <row r="67" spans="1:35" ht="14.25" customHeight="1">
      <c r="A67" s="178" t="s">
        <v>773</v>
      </c>
      <c r="B67" s="179" t="s">
        <v>2074</v>
      </c>
      <c r="C67" s="2776" t="e">
        <f ca="1">C63-C66</f>
        <v>#REF!</v>
      </c>
      <c r="D67" s="175" t="s">
        <v>32</v>
      </c>
      <c r="E67" s="177"/>
      <c r="F67" s="1983"/>
      <c r="G67" s="1983"/>
      <c r="H67" s="1985"/>
      <c r="I67" s="134"/>
      <c r="J67" s="3349"/>
      <c r="K67" s="1491" t="s">
        <v>2075</v>
      </c>
      <c r="L67" s="1491" t="e">
        <f ca="1">IF(M49&gt;=10000,(8.25+(M49-10000)*0.01%),IF(AND(M49&gt;=8000,M49&lt;10000),(7.85+(M49-8000)*0.02%),IF(AND(M49&gt;=5000,M49&lt;8000),(6.65+(M49-5000)*0.04%),IF(AND(M49&gt;=2000,M49&lt;5000),(4.25+(PM49-2000)*0.08%),IF(AND(M49&gt;=1000,M49&lt;2000),(2.75+(M49-1000)*0.15%),IF(AND(M49&gt;=100,M49&lt;1000),(0.5+(M49-100)*0.25%),IF(AND(M49&gt;0,M49&lt;100),M49*0.5%)))))))</f>
        <v>#VALUE!</v>
      </c>
      <c r="M67" s="308" t="e">
        <f ca="1">ROUND(L67*0.9,1)</f>
        <v>#VALUE!</v>
      </c>
      <c r="N67" s="2751"/>
      <c r="Z67" s="1927"/>
      <c r="AI67" s="1928"/>
    </row>
    <row r="68" spans="1:35" ht="14.25" customHeight="1" thickBot="1">
      <c r="A68" s="181" t="s">
        <v>774</v>
      </c>
      <c r="B68" s="182" t="s">
        <v>2076</v>
      </c>
      <c r="C68" s="2777" t="e">
        <f ca="1">IF(C67&lt;=0,0,ROUND(C67*D68,0))</f>
        <v>#REF!</v>
      </c>
      <c r="D68" s="2778">
        <f>'数据-取费表'!B41</f>
        <v>5.6000000000000001E-2</v>
      </c>
      <c r="E68" s="184"/>
      <c r="F68" s="1983"/>
      <c r="G68" s="1983"/>
      <c r="H68" s="1985"/>
      <c r="I68" s="134"/>
      <c r="J68" s="3349"/>
      <c r="K68" s="1491" t="s">
        <v>2077</v>
      </c>
      <c r="L68" s="1491" t="e">
        <f ca="1">IF(M49&gt;10000,M49*0.5%,IF(AND(M49&gt;5000,M49&lt;=10000),M49*1%,IF(AND(M49&gt;1000,M49&lt;=5000),M49*2%,IF(AND(M49&gt;200,M49&lt;=1000),M49*3%,M49*5%))))</f>
        <v>#VALUE!</v>
      </c>
      <c r="M68" s="308" t="e">
        <f ca="1">ROUND(L68,1)</f>
        <v>#VALUE!</v>
      </c>
      <c r="N68" s="2751"/>
      <c r="Z68" s="1927"/>
      <c r="AI68" s="1928"/>
    </row>
    <row r="69" spans="1:35" s="1947" customFormat="1" ht="16.5" customHeight="1">
      <c r="A69" s="1986"/>
      <c r="B69" s="1987"/>
      <c r="C69" s="1988"/>
      <c r="D69" s="1989"/>
      <c r="E69" s="1990"/>
      <c r="F69" s="1753"/>
      <c r="G69" s="1753"/>
      <c r="H69" s="1752"/>
      <c r="I69" s="1922"/>
      <c r="J69" s="3349"/>
      <c r="K69" s="1491" t="s">
        <v>2078</v>
      </c>
      <c r="L69" s="1491"/>
      <c r="M69" s="308" t="e">
        <f ca="1">ROUND(SUM(M63:M68),0)</f>
        <v>#VALUE!</v>
      </c>
      <c r="N69" s="2753" t="e">
        <f ca="1">M69/M49</f>
        <v>#VALUE!</v>
      </c>
      <c r="O69" s="731"/>
      <c r="P69" s="731"/>
      <c r="Q69" s="731"/>
      <c r="R69" s="731"/>
      <c r="S69" s="731"/>
      <c r="T69" s="731"/>
      <c r="U69" s="731"/>
      <c r="V69" s="731"/>
      <c r="W69" s="731"/>
      <c r="X69" s="731"/>
      <c r="Y69" s="731"/>
      <c r="Z69" s="1927"/>
      <c r="AA69" s="1927"/>
      <c r="AB69" s="1927"/>
      <c r="AC69" s="1927"/>
      <c r="AD69" s="1927"/>
      <c r="AE69" s="1927"/>
      <c r="AF69" s="1927"/>
      <c r="AG69" s="1927"/>
      <c r="AH69" s="1927"/>
    </row>
    <row r="70" spans="1:35" s="1992" customFormat="1" ht="15" thickBot="1">
      <c r="A70" s="3308" t="s">
        <v>2079</v>
      </c>
      <c r="B70" s="3309"/>
      <c r="C70" s="3309"/>
      <c r="D70" s="3309"/>
      <c r="E70" s="3309"/>
      <c r="F70" s="3309"/>
      <c r="G70" s="3309"/>
      <c r="H70" s="3309"/>
      <c r="I70" s="1991"/>
      <c r="J70" s="2901"/>
      <c r="K70" s="2901"/>
      <c r="L70" s="2901"/>
      <c r="M70" s="2901"/>
      <c r="N70" s="1993"/>
      <c r="O70" s="1993"/>
      <c r="P70" s="1993"/>
      <c r="Q70" s="1993"/>
      <c r="R70" s="1993"/>
      <c r="S70" s="1993"/>
      <c r="T70" s="1993"/>
      <c r="U70" s="1993"/>
      <c r="V70" s="1993"/>
      <c r="W70" s="1993"/>
      <c r="X70" s="1993"/>
      <c r="Y70" s="1993"/>
      <c r="Z70" s="1993"/>
      <c r="AA70" s="1994"/>
      <c r="AB70" s="1994"/>
      <c r="AC70" s="1994"/>
      <c r="AD70" s="1994"/>
      <c r="AE70" s="1994"/>
      <c r="AF70" s="1994"/>
      <c r="AG70" s="1994"/>
      <c r="AH70" s="1994"/>
      <c r="AI70" s="1994"/>
    </row>
    <row r="71" spans="1:35" s="1992" customFormat="1" ht="14.25">
      <c r="A71" s="3287" t="s">
        <v>2060</v>
      </c>
      <c r="B71" s="3288"/>
      <c r="C71" s="2194"/>
      <c r="D71" s="2194" t="s">
        <v>2061</v>
      </c>
      <c r="E71" s="185" t="s">
        <v>2062</v>
      </c>
      <c r="F71" s="186"/>
      <c r="G71" s="186"/>
      <c r="H71" s="187"/>
      <c r="I71" s="1995"/>
      <c r="J71" s="2901"/>
      <c r="K71" s="2901"/>
      <c r="L71" s="2901"/>
      <c r="M71" s="2901"/>
      <c r="N71" s="1993"/>
      <c r="O71" s="1993"/>
      <c r="P71" s="1993"/>
      <c r="Q71" s="1993"/>
      <c r="R71" s="1993"/>
      <c r="S71" s="1993"/>
      <c r="T71" s="1993"/>
      <c r="U71" s="1993"/>
      <c r="V71" s="1993"/>
      <c r="W71" s="1993"/>
      <c r="X71" s="1993"/>
      <c r="Y71" s="1993"/>
      <c r="Z71" s="1993"/>
      <c r="AA71" s="1994"/>
      <c r="AB71" s="1994"/>
      <c r="AC71" s="1994"/>
      <c r="AD71" s="1994"/>
      <c r="AE71" s="1994"/>
      <c r="AF71" s="1994"/>
      <c r="AG71" s="1994"/>
      <c r="AH71" s="1994"/>
      <c r="AI71" s="1994"/>
    </row>
    <row r="72" spans="1:35" s="1992" customFormat="1" ht="14.25">
      <c r="A72" s="178" t="s">
        <v>775</v>
      </c>
      <c r="B72" s="179" t="s">
        <v>2080</v>
      </c>
      <c r="C72" s="2776" t="e">
        <f ca="1">ROUND(D45/(1+'数据-取费表'!C42),0)</f>
        <v>#REF!</v>
      </c>
      <c r="D72" s="175" t="s">
        <v>32</v>
      </c>
      <c r="E72" s="2538"/>
      <c r="F72" s="2537"/>
      <c r="G72" s="2537"/>
      <c r="H72" s="188"/>
      <c r="I72" s="1995"/>
      <c r="J72" s="2901"/>
      <c r="K72" s="2901"/>
      <c r="L72" s="2901"/>
      <c r="M72" s="2901"/>
      <c r="N72" s="1993"/>
      <c r="O72" s="1993"/>
      <c r="P72" s="1993"/>
      <c r="Q72" s="1993"/>
      <c r="R72" s="1993"/>
      <c r="S72" s="1993"/>
      <c r="T72" s="1993"/>
      <c r="U72" s="1993"/>
      <c r="V72" s="1993"/>
      <c r="W72" s="1993"/>
      <c r="X72" s="1993"/>
      <c r="Y72" s="1993"/>
      <c r="Z72" s="1993"/>
      <c r="AA72" s="1994"/>
      <c r="AB72" s="1994"/>
      <c r="AC72" s="1994"/>
      <c r="AD72" s="1994"/>
      <c r="AE72" s="1994"/>
      <c r="AF72" s="1994"/>
      <c r="AG72" s="1994"/>
      <c r="AH72" s="1994"/>
      <c r="AI72" s="1994"/>
    </row>
    <row r="73" spans="1:35" s="1992" customFormat="1" ht="14.25">
      <c r="A73" s="178" t="s">
        <v>772</v>
      </c>
      <c r="B73" s="168" t="s">
        <v>2081</v>
      </c>
      <c r="C73" s="2776" t="e">
        <f ca="1">C74+C78</f>
        <v>#REF!</v>
      </c>
      <c r="D73" s="175" t="s">
        <v>32</v>
      </c>
      <c r="E73" s="2538"/>
      <c r="F73" s="2537"/>
      <c r="G73" s="2537"/>
      <c r="H73" s="188"/>
      <c r="I73" s="1995"/>
      <c r="J73" s="1993"/>
      <c r="K73" s="1993"/>
      <c r="L73" s="1993"/>
      <c r="M73" s="1993"/>
      <c r="N73" s="1993"/>
      <c r="O73" s="1993"/>
      <c r="P73" s="1993"/>
      <c r="Q73" s="1993"/>
      <c r="R73" s="1993"/>
      <c r="S73" s="1993"/>
      <c r="T73" s="1993"/>
      <c r="U73" s="1993"/>
      <c r="V73" s="1993"/>
      <c r="W73" s="1993"/>
      <c r="X73" s="1993"/>
      <c r="Y73" s="1993"/>
      <c r="Z73" s="1993"/>
      <c r="AA73" s="1994"/>
      <c r="AB73" s="1994"/>
      <c r="AC73" s="1994"/>
      <c r="AD73" s="1994"/>
      <c r="AE73" s="1994"/>
      <c r="AF73" s="1994"/>
      <c r="AG73" s="1994"/>
      <c r="AH73" s="1994"/>
      <c r="AI73" s="1994"/>
    </row>
    <row r="74" spans="1:35" s="1992" customFormat="1" ht="24">
      <c r="A74" s="174" t="s">
        <v>770</v>
      </c>
      <c r="B74" s="175" t="s">
        <v>2082</v>
      </c>
      <c r="C74" s="175">
        <f>ROUND(IF(G77="2016年5月1日后购买",C75/(1+'数据-取费表'!C42)+C76+C77,C75+C76+C77),0)</f>
        <v>0</v>
      </c>
      <c r="D74" s="175" t="s">
        <v>32</v>
      </c>
      <c r="E74" s="2538"/>
      <c r="F74" s="2537"/>
      <c r="G74" s="2537"/>
      <c r="H74" s="188"/>
      <c r="I74" s="1995"/>
      <c r="J74" s="1993"/>
      <c r="K74" s="1993"/>
      <c r="L74" s="1993"/>
      <c r="M74" s="1993"/>
      <c r="N74" s="1993"/>
      <c r="O74" s="1993"/>
      <c r="P74" s="1993"/>
      <c r="Q74" s="1993"/>
      <c r="R74" s="1993"/>
      <c r="S74" s="1993"/>
      <c r="T74" s="1993"/>
      <c r="U74" s="1993"/>
      <c r="V74" s="1993"/>
      <c r="W74" s="1993"/>
      <c r="X74" s="1993"/>
      <c r="Y74" s="1993"/>
      <c r="Z74" s="1993"/>
      <c r="AA74" s="1994"/>
      <c r="AB74" s="1994"/>
      <c r="AC74" s="1994"/>
      <c r="AD74" s="1994"/>
      <c r="AE74" s="1994"/>
      <c r="AF74" s="1994"/>
      <c r="AG74" s="1994"/>
      <c r="AH74" s="1994"/>
      <c r="AI74" s="1994"/>
    </row>
    <row r="75" spans="1:35" s="1992" customFormat="1" ht="14.25">
      <c r="A75" s="174" t="s">
        <v>776</v>
      </c>
      <c r="B75" s="175" t="s">
        <v>2083</v>
      </c>
      <c r="C75" s="2779"/>
      <c r="D75" s="175" t="s">
        <v>32</v>
      </c>
      <c r="E75" s="190" t="s">
        <v>2084</v>
      </c>
      <c r="F75" s="2780"/>
      <c r="G75" s="190" t="s">
        <v>2085</v>
      </c>
      <c r="H75" s="2781"/>
      <c r="I75" s="1996"/>
      <c r="J75" s="1993"/>
      <c r="K75" s="1993"/>
      <c r="L75" s="1993"/>
      <c r="M75" s="1993"/>
      <c r="N75" s="1993"/>
      <c r="O75" s="1993"/>
      <c r="P75" s="1993"/>
      <c r="Q75" s="1993"/>
      <c r="R75" s="1993"/>
      <c r="S75" s="1993"/>
      <c r="T75" s="1993"/>
      <c r="U75" s="1993"/>
      <c r="V75" s="1993"/>
      <c r="W75" s="1993"/>
      <c r="X75" s="1993"/>
      <c r="Y75" s="1993"/>
      <c r="Z75" s="1993"/>
      <c r="AA75" s="1994"/>
      <c r="AB75" s="1994"/>
      <c r="AC75" s="1994"/>
      <c r="AD75" s="1994"/>
      <c r="AE75" s="1994"/>
      <c r="AF75" s="1994"/>
      <c r="AG75" s="1994"/>
      <c r="AH75" s="1994"/>
      <c r="AI75" s="1994"/>
    </row>
    <row r="76" spans="1:35" s="1992" customFormat="1" ht="24.75" customHeight="1">
      <c r="A76" s="174" t="s">
        <v>777</v>
      </c>
      <c r="B76" s="191" t="s">
        <v>2086</v>
      </c>
      <c r="C76" s="175">
        <f>IF(F75="购房发票",ROUND(C75*H75*D76,0),0)</f>
        <v>0</v>
      </c>
      <c r="D76" s="2782">
        <v>0.05</v>
      </c>
      <c r="E76" s="3282" t="s">
        <v>2087</v>
      </c>
      <c r="F76" s="3256"/>
      <c r="G76" s="3256"/>
      <c r="H76" s="3307"/>
      <c r="I76" s="1995"/>
      <c r="J76" s="1993"/>
      <c r="K76" s="1993"/>
      <c r="L76" s="1993"/>
      <c r="M76" s="1993"/>
      <c r="N76" s="1993"/>
      <c r="O76" s="1993"/>
      <c r="P76" s="1993"/>
      <c r="Q76" s="1993"/>
      <c r="R76" s="1993"/>
      <c r="S76" s="1993"/>
      <c r="T76" s="1993"/>
      <c r="U76" s="1993"/>
      <c r="V76" s="1993"/>
      <c r="W76" s="1993"/>
      <c r="X76" s="1993"/>
      <c r="Y76" s="1993"/>
      <c r="Z76" s="1993"/>
      <c r="AA76" s="1994"/>
      <c r="AB76" s="1994"/>
      <c r="AC76" s="1994"/>
      <c r="AD76" s="1994"/>
      <c r="AE76" s="1994"/>
      <c r="AF76" s="1994"/>
      <c r="AG76" s="1994"/>
      <c r="AH76" s="1994"/>
      <c r="AI76" s="1994"/>
    </row>
    <row r="77" spans="1:35" s="1992" customFormat="1" ht="24.75" customHeight="1">
      <c r="A77" s="174" t="s">
        <v>778</v>
      </c>
      <c r="B77" s="175" t="s">
        <v>2088</v>
      </c>
      <c r="C77" s="175">
        <f>ROUND(IF(G77="个人住宅",0,IF(G77="2016年5月1日前购买",C75*D77,C75*D77/(1+'数据-取费表'!C42))),0)</f>
        <v>0</v>
      </c>
      <c r="D77" s="2783">
        <f>'数据-取费表'!B48+'数据-取费表'!B49</f>
        <v>3.0499999999999999E-2</v>
      </c>
      <c r="E77" s="2531" t="s">
        <v>2089</v>
      </c>
      <c r="F77" s="192"/>
      <c r="G77" s="1997"/>
      <c r="H77" s="2539" t="str">
        <f>IF(G77="个人买卖住房","免征印花税"," ")</f>
        <v xml:space="preserve"> </v>
      </c>
      <c r="I77" s="1995"/>
      <c r="J77" s="1993"/>
      <c r="K77" s="1993"/>
      <c r="L77" s="1993"/>
      <c r="M77" s="1993"/>
      <c r="N77" s="1993"/>
      <c r="O77" s="1993"/>
      <c r="P77" s="1993"/>
      <c r="Q77" s="1993"/>
      <c r="R77" s="1993"/>
      <c r="S77" s="1993"/>
      <c r="T77" s="1993"/>
      <c r="U77" s="1993"/>
      <c r="V77" s="1993"/>
      <c r="W77" s="1993"/>
      <c r="X77" s="1993"/>
      <c r="Y77" s="1993"/>
      <c r="Z77" s="1993"/>
      <c r="AA77" s="1994"/>
      <c r="AB77" s="1994"/>
      <c r="AC77" s="1994"/>
      <c r="AD77" s="1994"/>
      <c r="AE77" s="1994"/>
      <c r="AF77" s="1994"/>
      <c r="AG77" s="1994"/>
      <c r="AH77" s="1994"/>
      <c r="AI77" s="1994"/>
    </row>
    <row r="78" spans="1:35" s="1992" customFormat="1" ht="24.75" customHeight="1">
      <c r="A78" s="174" t="s">
        <v>771</v>
      </c>
      <c r="B78" s="175" t="s">
        <v>2090</v>
      </c>
      <c r="C78" s="2784" t="e">
        <f ca="1">ROUND(D45*D78/(1+'数据-取费表'!C42),0)</f>
        <v>#REF!</v>
      </c>
      <c r="D78" s="2785">
        <f>'数据-取费表'!B43</f>
        <v>6.000000000000001E-3</v>
      </c>
      <c r="E78" s="3266" t="s">
        <v>2091</v>
      </c>
      <c r="F78" s="3267"/>
      <c r="G78" s="3267"/>
      <c r="H78" s="3276"/>
      <c r="I78" s="1998"/>
      <c r="J78" s="1993"/>
      <c r="K78" s="1993"/>
      <c r="L78" s="1993"/>
      <c r="M78" s="1993"/>
      <c r="N78" s="1993"/>
      <c r="O78" s="1993"/>
      <c r="P78" s="1993"/>
      <c r="Q78" s="1993"/>
      <c r="R78" s="1993"/>
      <c r="S78" s="1993"/>
      <c r="T78" s="1993"/>
      <c r="U78" s="1993"/>
      <c r="V78" s="1993"/>
      <c r="W78" s="1993"/>
      <c r="X78" s="1993"/>
      <c r="Y78" s="1993"/>
      <c r="Z78" s="1993"/>
      <c r="AA78" s="1994"/>
      <c r="AB78" s="1994"/>
      <c r="AC78" s="1994"/>
      <c r="AD78" s="1994"/>
      <c r="AE78" s="1994"/>
      <c r="AF78" s="1994"/>
      <c r="AG78" s="1994"/>
      <c r="AH78" s="1994"/>
      <c r="AI78" s="1994"/>
    </row>
    <row r="79" spans="1:35" s="1992" customFormat="1" ht="14.25">
      <c r="A79" s="178" t="s">
        <v>779</v>
      </c>
      <c r="B79" s="179" t="s">
        <v>2092</v>
      </c>
      <c r="C79" s="2776" t="e">
        <f ca="1">C72-C73</f>
        <v>#REF!</v>
      </c>
      <c r="D79" s="175" t="s">
        <v>32</v>
      </c>
      <c r="E79" s="2538"/>
      <c r="F79" s="2537"/>
      <c r="G79" s="2537"/>
      <c r="H79" s="188"/>
      <c r="I79" s="1995"/>
      <c r="J79" s="1993"/>
      <c r="K79" s="1993"/>
      <c r="L79" s="1993"/>
      <c r="M79" s="1993"/>
      <c r="N79" s="1993"/>
      <c r="O79" s="1993"/>
      <c r="P79" s="1993"/>
      <c r="Q79" s="1993"/>
      <c r="R79" s="1993"/>
      <c r="S79" s="1993"/>
      <c r="T79" s="1993"/>
      <c r="U79" s="1993"/>
      <c r="V79" s="1993"/>
      <c r="W79" s="1993"/>
      <c r="X79" s="1993"/>
      <c r="Y79" s="1993"/>
      <c r="Z79" s="1993"/>
      <c r="AA79" s="1994"/>
      <c r="AB79" s="1994"/>
      <c r="AC79" s="1994"/>
      <c r="AD79" s="1994"/>
      <c r="AE79" s="1994"/>
      <c r="AF79" s="1994"/>
      <c r="AG79" s="1994"/>
      <c r="AH79" s="1994"/>
      <c r="AI79" s="1994"/>
    </row>
    <row r="80" spans="1:35" s="1992" customFormat="1" ht="24">
      <c r="A80" s="178" t="s">
        <v>780</v>
      </c>
      <c r="B80" s="179" t="s">
        <v>2093</v>
      </c>
      <c r="C80" s="2786" t="e">
        <f ca="1">IF(C79&lt;=0,0,C79/C73)</f>
        <v>#REF!</v>
      </c>
      <c r="D80" s="175" t="s">
        <v>32</v>
      </c>
      <c r="E80" s="2531" t="e">
        <f ca="1">IF(C80&gt;=200%,"增值额超过扣除项目金额200%",IF(C80&gt;=100%,"增值额超过扣除项目金额100%，未超过200%",IF(C80&gt;=50%,"增值额超过扣除项目金额50%，未超过100%",IF(C80&lt;50%,"增值额未超过扣除项目金额50%"))))</f>
        <v>#REF!</v>
      </c>
      <c r="F80" s="2537"/>
      <c r="G80" s="2537"/>
      <c r="H80" s="188"/>
      <c r="I80" s="1995"/>
      <c r="J80" s="1993"/>
      <c r="K80" s="1993"/>
      <c r="L80" s="1993"/>
      <c r="M80" s="1993"/>
      <c r="N80" s="1993"/>
      <c r="O80" s="1993"/>
      <c r="P80" s="1993"/>
      <c r="Q80" s="1993"/>
      <c r="R80" s="1993"/>
      <c r="S80" s="1993"/>
      <c r="T80" s="1993"/>
      <c r="U80" s="1993"/>
      <c r="V80" s="1993"/>
      <c r="W80" s="1993"/>
      <c r="X80" s="1993"/>
      <c r="Y80" s="1993"/>
      <c r="Z80" s="1993"/>
      <c r="AA80" s="1994"/>
      <c r="AB80" s="1994"/>
      <c r="AC80" s="1994"/>
      <c r="AD80" s="1994"/>
      <c r="AE80" s="1994"/>
      <c r="AF80" s="1994"/>
      <c r="AG80" s="1994"/>
      <c r="AH80" s="1994"/>
      <c r="AI80" s="1994"/>
    </row>
    <row r="81" spans="1:35" s="1992" customFormat="1" ht="24.75" thickBot="1">
      <c r="A81" s="181" t="s">
        <v>781</v>
      </c>
      <c r="B81" s="182" t="s">
        <v>2094</v>
      </c>
      <c r="C81" s="2787" t="e">
        <f ca="1">ROUND(IF(C79&lt;=0,0,IF(C80&gt;=200%,C79*60%-C73*35%,IF(C80&gt;=100%,C79*50%-C73*15%,IF(C80&gt;=50%,C79*40%-C73*5%,IF(C80&lt;50%,C79*30%,0))))),0)</f>
        <v>#REF!</v>
      </c>
      <c r="D81" s="2788" t="s">
        <v>32</v>
      </c>
      <c r="E81" s="194" t="e">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#REF!</v>
      </c>
      <c r="F81" s="195"/>
      <c r="G81" s="195"/>
      <c r="H81" s="196"/>
      <c r="I81" s="1995"/>
      <c r="J81" s="1993"/>
      <c r="K81" s="1993"/>
      <c r="L81" s="1993"/>
      <c r="M81" s="1993"/>
      <c r="N81" s="1993"/>
      <c r="O81" s="1993"/>
      <c r="P81" s="1993"/>
      <c r="Q81" s="1993"/>
      <c r="R81" s="1993"/>
      <c r="S81" s="1993"/>
      <c r="T81" s="1993"/>
      <c r="U81" s="1993"/>
      <c r="V81" s="1993"/>
      <c r="W81" s="1993"/>
      <c r="X81" s="1993"/>
      <c r="Y81" s="1993"/>
      <c r="Z81" s="1993"/>
      <c r="AA81" s="1994"/>
      <c r="AB81" s="1994"/>
      <c r="AC81" s="1994"/>
      <c r="AD81" s="1994"/>
      <c r="AE81" s="1994"/>
      <c r="AF81" s="1994"/>
      <c r="AG81" s="1994"/>
      <c r="AH81" s="1994"/>
      <c r="AI81" s="1994"/>
    </row>
    <row r="82" spans="1:35" s="1992" customFormat="1" ht="7.5" customHeight="1">
      <c r="A82" s="687"/>
      <c r="B82" s="688"/>
      <c r="C82" s="7"/>
      <c r="D82" s="7"/>
      <c r="E82" s="688"/>
      <c r="F82" s="688"/>
      <c r="G82" s="688"/>
      <c r="H82" s="689"/>
      <c r="I82" s="1998"/>
      <c r="J82" s="1993"/>
      <c r="K82" s="1993"/>
      <c r="L82" s="1993"/>
      <c r="M82" s="1993"/>
      <c r="N82" s="1993"/>
      <c r="O82" s="1993"/>
      <c r="P82" s="1993"/>
      <c r="Q82" s="1993"/>
      <c r="R82" s="1993"/>
      <c r="S82" s="1993"/>
      <c r="T82" s="1993"/>
      <c r="U82" s="1993"/>
      <c r="V82" s="1993"/>
      <c r="W82" s="1993"/>
      <c r="X82" s="1993"/>
      <c r="Y82" s="1993"/>
      <c r="Z82" s="1993"/>
      <c r="AA82" s="1994"/>
      <c r="AB82" s="1994"/>
      <c r="AC82" s="1994"/>
      <c r="AD82" s="1994"/>
      <c r="AE82" s="1994"/>
      <c r="AF82" s="1994"/>
      <c r="AG82" s="1994"/>
      <c r="AH82" s="1994"/>
      <c r="AI82" s="1994"/>
    </row>
    <row r="83" spans="1:35" s="1992" customFormat="1" ht="15" thickBot="1">
      <c r="A83" s="3308" t="s">
        <v>2095</v>
      </c>
      <c r="B83" s="3309"/>
      <c r="C83" s="3309"/>
      <c r="D83" s="3309"/>
      <c r="E83" s="3309"/>
      <c r="F83" s="3309"/>
      <c r="G83" s="3309"/>
      <c r="H83" s="3309"/>
      <c r="I83" s="1996"/>
      <c r="J83" s="1993"/>
      <c r="K83" s="1993"/>
      <c r="L83" s="1993"/>
      <c r="M83" s="1993"/>
      <c r="N83" s="1993"/>
      <c r="O83" s="1993"/>
      <c r="P83" s="1993"/>
      <c r="Q83" s="1993"/>
      <c r="R83" s="1993"/>
      <c r="S83" s="1993"/>
      <c r="T83" s="1993"/>
      <c r="U83" s="1993"/>
      <c r="V83" s="1993"/>
      <c r="W83" s="1993"/>
      <c r="X83" s="1993"/>
      <c r="Y83" s="1993"/>
      <c r="Z83" s="1993"/>
      <c r="AA83" s="1994"/>
      <c r="AB83" s="1994"/>
      <c r="AC83" s="1994"/>
      <c r="AD83" s="1994"/>
      <c r="AE83" s="1994"/>
      <c r="AF83" s="1994"/>
      <c r="AG83" s="1994"/>
      <c r="AH83" s="1994"/>
      <c r="AI83" s="1994"/>
    </row>
    <row r="84" spans="1:35" s="1992" customFormat="1" ht="14.25">
      <c r="A84" s="3287" t="s">
        <v>2060</v>
      </c>
      <c r="B84" s="3288"/>
      <c r="C84" s="2194"/>
      <c r="D84" s="2194" t="s">
        <v>2061</v>
      </c>
      <c r="E84" s="185" t="s">
        <v>2062</v>
      </c>
      <c r="F84" s="186"/>
      <c r="G84" s="186"/>
      <c r="H84" s="197"/>
      <c r="I84" s="1996"/>
      <c r="J84" s="1993"/>
      <c r="K84" s="1993"/>
      <c r="L84" s="1993"/>
      <c r="M84" s="1993"/>
      <c r="N84" s="1993"/>
      <c r="O84" s="1993"/>
      <c r="P84" s="1993"/>
      <c r="Q84" s="1993"/>
      <c r="R84" s="1993"/>
      <c r="S84" s="1993"/>
      <c r="T84" s="1993"/>
      <c r="U84" s="1993"/>
      <c r="V84" s="1993"/>
      <c r="W84" s="1993"/>
      <c r="X84" s="1993"/>
      <c r="Y84" s="1993"/>
      <c r="Z84" s="1993"/>
      <c r="AA84" s="1994"/>
      <c r="AB84" s="1994"/>
      <c r="AC84" s="1994"/>
      <c r="AD84" s="1994"/>
      <c r="AE84" s="1994"/>
      <c r="AF84" s="1994"/>
      <c r="AG84" s="1994"/>
      <c r="AH84" s="1994"/>
      <c r="AI84" s="1994"/>
    </row>
    <row r="85" spans="1:35" s="1992" customFormat="1" ht="14.25">
      <c r="A85" s="178" t="s">
        <v>775</v>
      </c>
      <c r="B85" s="179" t="s">
        <v>2080</v>
      </c>
      <c r="C85" s="2776" t="e">
        <f ca="1">ROUND(D45/(1+'数据-取费表'!C42),0)</f>
        <v>#REF!</v>
      </c>
      <c r="D85" s="175" t="s">
        <v>32</v>
      </c>
      <c r="E85" s="2538"/>
      <c r="F85" s="2537"/>
      <c r="G85" s="2537"/>
      <c r="H85" s="198"/>
      <c r="I85" s="1996"/>
      <c r="J85" s="1993"/>
      <c r="K85" s="1993"/>
      <c r="L85" s="1993"/>
      <c r="M85" s="1993"/>
      <c r="N85" s="1993"/>
      <c r="O85" s="1993"/>
      <c r="P85" s="1993"/>
      <c r="Q85" s="1993"/>
      <c r="R85" s="1993"/>
      <c r="S85" s="1993"/>
      <c r="T85" s="1993"/>
      <c r="U85" s="1993"/>
      <c r="V85" s="1993"/>
      <c r="W85" s="1993"/>
      <c r="X85" s="1993"/>
      <c r="Y85" s="1993"/>
      <c r="Z85" s="1993"/>
      <c r="AA85" s="1994"/>
      <c r="AB85" s="1994"/>
      <c r="AC85" s="1994"/>
      <c r="AD85" s="1994"/>
      <c r="AE85" s="1994"/>
      <c r="AF85" s="1994"/>
      <c r="AG85" s="1994"/>
      <c r="AH85" s="1994"/>
      <c r="AI85" s="1994"/>
    </row>
    <row r="86" spans="1:35" s="1992" customFormat="1" ht="14.25">
      <c r="A86" s="178" t="s">
        <v>772</v>
      </c>
      <c r="B86" s="168" t="s">
        <v>2081</v>
      </c>
      <c r="C86" s="2776" t="e">
        <f ca="1">IF(H88="仅含出让金",C87+C90+C91+C92+C93+C94,C87+C91+C92+C93+C94)</f>
        <v>#REF!</v>
      </c>
      <c r="D86" s="2789"/>
      <c r="E86" s="2538"/>
      <c r="F86" s="2537"/>
      <c r="G86" s="2537"/>
      <c r="H86" s="198"/>
      <c r="I86" s="1996"/>
      <c r="J86" s="1993"/>
      <c r="K86" s="1993"/>
      <c r="L86" s="1993"/>
      <c r="M86" s="1993"/>
      <c r="N86" s="1993"/>
      <c r="O86" s="1993"/>
      <c r="P86" s="1993"/>
      <c r="Q86" s="1993"/>
      <c r="R86" s="1993"/>
      <c r="S86" s="1993"/>
      <c r="T86" s="1993"/>
      <c r="U86" s="1993"/>
      <c r="V86" s="1993"/>
      <c r="W86" s="1993"/>
      <c r="X86" s="1993"/>
      <c r="Y86" s="1993"/>
      <c r="Z86" s="1993"/>
      <c r="AA86" s="1994"/>
      <c r="AB86" s="1994"/>
      <c r="AC86" s="1994"/>
      <c r="AD86" s="1994"/>
      <c r="AE86" s="1994"/>
      <c r="AF86" s="1994"/>
      <c r="AG86" s="1994"/>
      <c r="AH86" s="1994"/>
      <c r="AI86" s="1994"/>
    </row>
    <row r="87" spans="1:35" s="1992" customFormat="1" ht="14.25">
      <c r="A87" s="174" t="s">
        <v>770</v>
      </c>
      <c r="B87" s="175" t="s">
        <v>2096</v>
      </c>
      <c r="C87" s="2784">
        <f>C88+C89</f>
        <v>0</v>
      </c>
      <c r="D87" s="2785"/>
      <c r="E87" s="2533"/>
      <c r="F87" s="2534"/>
      <c r="G87" s="2534"/>
      <c r="H87" s="2535"/>
      <c r="I87" s="1996"/>
      <c r="J87" s="1993"/>
      <c r="K87" s="1993"/>
      <c r="L87" s="1993"/>
      <c r="M87" s="1993"/>
      <c r="N87" s="1993"/>
      <c r="O87" s="1993"/>
      <c r="P87" s="1993"/>
      <c r="Q87" s="1993"/>
      <c r="R87" s="1993"/>
      <c r="S87" s="1993"/>
      <c r="T87" s="1993"/>
      <c r="U87" s="1993"/>
      <c r="V87" s="1993"/>
      <c r="W87" s="1993"/>
      <c r="X87" s="1993"/>
      <c r="Y87" s="1993"/>
      <c r="Z87" s="1993"/>
      <c r="AA87" s="1994"/>
      <c r="AB87" s="1994"/>
      <c r="AC87" s="1994"/>
      <c r="AD87" s="1994"/>
      <c r="AE87" s="1994"/>
      <c r="AF87" s="1994"/>
      <c r="AG87" s="1994"/>
      <c r="AH87" s="1994"/>
      <c r="AI87" s="1994"/>
    </row>
    <row r="88" spans="1:35" s="1992" customFormat="1" ht="14.25">
      <c r="A88" s="174" t="s">
        <v>776</v>
      </c>
      <c r="B88" s="175" t="s">
        <v>2097</v>
      </c>
      <c r="C88" s="2790"/>
      <c r="D88" s="2785"/>
      <c r="E88" s="199" t="s">
        <v>2098</v>
      </c>
      <c r="F88" s="2534"/>
      <c r="G88" s="200" t="s">
        <v>2099</v>
      </c>
      <c r="H88" s="1999"/>
      <c r="I88" s="1996"/>
      <c r="J88" s="2729" t="s">
        <v>3014</v>
      </c>
      <c r="K88" s="1993"/>
      <c r="L88" s="1993"/>
      <c r="M88" s="1993"/>
      <c r="N88" s="1993"/>
      <c r="O88" s="1993"/>
      <c r="P88" s="1993"/>
      <c r="Q88" s="1993"/>
      <c r="R88" s="1993"/>
      <c r="S88" s="1993"/>
      <c r="T88" s="1993"/>
      <c r="U88" s="1993"/>
      <c r="V88" s="1993"/>
      <c r="W88" s="1993"/>
      <c r="X88" s="1993"/>
      <c r="Y88" s="1993"/>
      <c r="Z88" s="1993"/>
      <c r="AA88" s="1994"/>
      <c r="AB88" s="1994"/>
      <c r="AC88" s="1994"/>
      <c r="AD88" s="1994"/>
      <c r="AE88" s="1994"/>
      <c r="AF88" s="1994"/>
      <c r="AG88" s="1994"/>
      <c r="AH88" s="1994"/>
      <c r="AI88" s="1994"/>
    </row>
    <row r="89" spans="1:35" s="1992" customFormat="1" ht="14.25">
      <c r="A89" s="174" t="s">
        <v>777</v>
      </c>
      <c r="B89" s="175" t="s">
        <v>2088</v>
      </c>
      <c r="C89" s="2784">
        <f>ROUND(C88*D89,0)</f>
        <v>0</v>
      </c>
      <c r="D89" s="2785">
        <f>'数据-取费表'!B48+'数据-取费表'!B49</f>
        <v>3.0499999999999999E-2</v>
      </c>
      <c r="E89" s="199" t="s">
        <v>2100</v>
      </c>
      <c r="F89" s="2534"/>
      <c r="G89" s="2534"/>
      <c r="H89" s="2535"/>
      <c r="I89" s="1996"/>
      <c r="J89" s="1993"/>
      <c r="K89" s="1993"/>
      <c r="L89" s="1993"/>
      <c r="M89" s="1993"/>
      <c r="N89" s="1993"/>
      <c r="O89" s="1993"/>
      <c r="P89" s="1993"/>
      <c r="Q89" s="1993"/>
      <c r="R89" s="1993"/>
      <c r="S89" s="1993"/>
      <c r="T89" s="1993"/>
      <c r="U89" s="1993"/>
      <c r="V89" s="1993"/>
      <c r="W89" s="1993"/>
      <c r="X89" s="1993"/>
      <c r="Y89" s="1993"/>
      <c r="Z89" s="1993"/>
      <c r="AA89" s="1994"/>
      <c r="AB89" s="1994"/>
      <c r="AC89" s="1994"/>
      <c r="AD89" s="1994"/>
      <c r="AE89" s="1994"/>
      <c r="AF89" s="1994"/>
      <c r="AG89" s="1994"/>
      <c r="AH89" s="1994"/>
      <c r="AI89" s="1994"/>
    </row>
    <row r="90" spans="1:35" s="1992" customFormat="1" ht="14.25">
      <c r="A90" s="174" t="s">
        <v>771</v>
      </c>
      <c r="B90" s="175" t="s">
        <v>2101</v>
      </c>
      <c r="C90" s="2790"/>
      <c r="D90" s="2785"/>
      <c r="E90" s="199" t="str">
        <f>IF(H88="-","土地取得成本中已包含该笔费用"," ")</f>
        <v xml:space="preserve"> </v>
      </c>
      <c r="F90" s="2534"/>
      <c r="G90" s="3351" t="s">
        <v>2855</v>
      </c>
      <c r="H90" s="3352"/>
      <c r="I90" s="1996"/>
      <c r="J90" s="2729" t="s">
        <v>3015</v>
      </c>
      <c r="K90" s="1993"/>
      <c r="L90" s="1993"/>
      <c r="M90" s="1993"/>
      <c r="N90" s="1993"/>
      <c r="O90" s="1993"/>
      <c r="P90" s="1993"/>
      <c r="Q90" s="1993"/>
      <c r="R90" s="1993"/>
      <c r="S90" s="1993"/>
      <c r="T90" s="1993"/>
      <c r="U90" s="1993"/>
      <c r="V90" s="1993"/>
      <c r="W90" s="1993"/>
      <c r="X90" s="1993"/>
      <c r="Y90" s="1993"/>
      <c r="Z90" s="1993"/>
      <c r="AA90" s="1994"/>
      <c r="AB90" s="1994"/>
      <c r="AC90" s="1994"/>
      <c r="AD90" s="1994"/>
      <c r="AE90" s="1994"/>
      <c r="AF90" s="1994"/>
      <c r="AG90" s="1994"/>
      <c r="AH90" s="1994"/>
      <c r="AI90" s="1994"/>
    </row>
    <row r="91" spans="1:35" s="1992" customFormat="1" ht="27.75" customHeight="1">
      <c r="A91" s="174" t="s">
        <v>2102</v>
      </c>
      <c r="B91" s="175" t="s">
        <v>2103</v>
      </c>
      <c r="C91" s="2784">
        <f>IF(H91="——",成本法!C33,I91)</f>
        <v>0</v>
      </c>
      <c r="D91" s="2785"/>
      <c r="E91" s="3266" t="s">
        <v>2104</v>
      </c>
      <c r="F91" s="3267"/>
      <c r="G91" s="3267"/>
      <c r="H91" s="2000"/>
      <c r="I91" s="2001"/>
      <c r="J91" s="1993"/>
      <c r="K91" s="1993"/>
      <c r="L91" s="1993"/>
      <c r="M91" s="1993"/>
      <c r="N91" s="1993"/>
      <c r="O91" s="1993"/>
      <c r="P91" s="1993"/>
      <c r="Q91" s="1993"/>
      <c r="R91" s="1993"/>
      <c r="S91" s="1993"/>
      <c r="T91" s="1993"/>
      <c r="U91" s="1993"/>
      <c r="V91" s="1993"/>
      <c r="W91" s="1993"/>
      <c r="X91" s="1993"/>
      <c r="Y91" s="1993"/>
      <c r="Z91" s="1993"/>
      <c r="AA91" s="1994"/>
      <c r="AB91" s="1994"/>
      <c r="AC91" s="1994"/>
      <c r="AD91" s="1994"/>
      <c r="AE91" s="1994"/>
      <c r="AF91" s="1994"/>
      <c r="AG91" s="1994"/>
      <c r="AH91" s="1994"/>
      <c r="AI91" s="1994"/>
    </row>
    <row r="92" spans="1:35" s="1992" customFormat="1" ht="25.5" customHeight="1">
      <c r="A92" s="174" t="s">
        <v>2105</v>
      </c>
      <c r="B92" s="175" t="s">
        <v>2106</v>
      </c>
      <c r="C92" s="2784">
        <f>ROUND((C87+C90+C91)*D92,0)</f>
        <v>0</v>
      </c>
      <c r="D92" s="2791"/>
      <c r="E92" s="3266" t="s">
        <v>2107</v>
      </c>
      <c r="F92" s="3267"/>
      <c r="G92" s="3267"/>
      <c r="H92" s="3276"/>
      <c r="I92" s="1996"/>
      <c r="J92" s="2730" t="s">
        <v>3016</v>
      </c>
      <c r="K92" s="1993"/>
      <c r="L92" s="1993"/>
      <c r="M92" s="1993"/>
      <c r="N92" s="1993"/>
      <c r="O92" s="1993"/>
      <c r="P92" s="1993"/>
      <c r="Q92" s="1993"/>
      <c r="R92" s="1993"/>
      <c r="S92" s="1993"/>
      <c r="T92" s="1993"/>
      <c r="U92" s="1993"/>
      <c r="V92" s="1993"/>
      <c r="W92" s="1993"/>
      <c r="X92" s="1993"/>
      <c r="Y92" s="1993"/>
      <c r="Z92" s="1993"/>
      <c r="AA92" s="1994"/>
      <c r="AB92" s="1994"/>
      <c r="AC92" s="1994"/>
      <c r="AD92" s="1994"/>
      <c r="AE92" s="1994"/>
      <c r="AF92" s="1994"/>
      <c r="AG92" s="1994"/>
      <c r="AH92" s="1994"/>
      <c r="AI92" s="1994"/>
    </row>
    <row r="93" spans="1:35" s="1992" customFormat="1" ht="25.5" customHeight="1">
      <c r="A93" s="174" t="s">
        <v>2108</v>
      </c>
      <c r="B93" s="175" t="s">
        <v>2090</v>
      </c>
      <c r="C93" s="2784" t="e">
        <f ca="1">ROUND(D45*D93/(1+'数据-取费表'!C42),0)</f>
        <v>#REF!</v>
      </c>
      <c r="D93" s="2785">
        <f>'数据-取费表'!B43</f>
        <v>6.000000000000001E-3</v>
      </c>
      <c r="E93" s="3266" t="s">
        <v>2091</v>
      </c>
      <c r="F93" s="3267"/>
      <c r="G93" s="3267"/>
      <c r="H93" s="3276"/>
      <c r="I93" s="1996"/>
      <c r="J93" s="1993"/>
      <c r="K93" s="1993"/>
      <c r="L93" s="1993"/>
      <c r="M93" s="1993"/>
      <c r="N93" s="1993"/>
      <c r="O93" s="1993"/>
      <c r="P93" s="1993"/>
      <c r="Q93" s="1993"/>
      <c r="R93" s="1993"/>
      <c r="S93" s="1993"/>
      <c r="T93" s="1993"/>
      <c r="U93" s="1993"/>
      <c r="V93" s="1993"/>
      <c r="W93" s="1993"/>
      <c r="X93" s="1993"/>
      <c r="Y93" s="1993"/>
      <c r="Z93" s="1993"/>
      <c r="AA93" s="1994"/>
      <c r="AB93" s="1994"/>
      <c r="AC93" s="1994"/>
      <c r="AD93" s="1994"/>
      <c r="AE93" s="1994"/>
      <c r="AF93" s="1994"/>
      <c r="AG93" s="1994"/>
      <c r="AH93" s="1994"/>
      <c r="AI93" s="1994"/>
    </row>
    <row r="94" spans="1:35" s="1992" customFormat="1" ht="36.75" customHeight="1">
      <c r="A94" s="174" t="s">
        <v>2109</v>
      </c>
      <c r="B94" s="175" t="s">
        <v>2110</v>
      </c>
      <c r="C94" s="2790">
        <f>ROUND((C87+C90+C91)*D94,0)</f>
        <v>0</v>
      </c>
      <c r="D94" s="2785">
        <v>0.2</v>
      </c>
      <c r="E94" s="3277" t="s">
        <v>2111</v>
      </c>
      <c r="F94" s="3278"/>
      <c r="G94" s="3278"/>
      <c r="H94" s="3279"/>
      <c r="I94" s="1996"/>
      <c r="J94" s="1993"/>
      <c r="K94" s="1993"/>
      <c r="L94" s="1993"/>
      <c r="M94" s="1993"/>
      <c r="N94" s="1993"/>
      <c r="O94" s="1993"/>
      <c r="P94" s="1993"/>
      <c r="Q94" s="1993"/>
      <c r="R94" s="1993"/>
      <c r="S94" s="1993"/>
      <c r="T94" s="1993"/>
      <c r="U94" s="1993"/>
      <c r="V94" s="1993"/>
      <c r="W94" s="1993"/>
      <c r="X94" s="1993"/>
      <c r="Y94" s="1993"/>
      <c r="Z94" s="1993"/>
      <c r="AA94" s="1994"/>
      <c r="AB94" s="1994"/>
      <c r="AC94" s="1994"/>
      <c r="AD94" s="1994"/>
      <c r="AE94" s="1994"/>
      <c r="AF94" s="1994"/>
      <c r="AG94" s="1994"/>
      <c r="AH94" s="1994"/>
      <c r="AI94" s="1994"/>
    </row>
    <row r="95" spans="1:35" s="1992" customFormat="1" ht="14.25">
      <c r="A95" s="178" t="s">
        <v>779</v>
      </c>
      <c r="B95" s="179" t="s">
        <v>2092</v>
      </c>
      <c r="C95" s="2776" t="e">
        <f ca="1">ROUND(C85-C86,0)</f>
        <v>#REF!</v>
      </c>
      <c r="D95" s="175" t="s">
        <v>32</v>
      </c>
      <c r="E95" s="2538"/>
      <c r="F95" s="2537"/>
      <c r="G95" s="2537"/>
      <c r="H95" s="198"/>
      <c r="I95" s="1996"/>
      <c r="J95" s="1993"/>
      <c r="K95" s="1993"/>
      <c r="L95" s="1993"/>
      <c r="M95" s="1993"/>
      <c r="N95" s="1993"/>
      <c r="O95" s="1993"/>
      <c r="P95" s="1993"/>
      <c r="Q95" s="1993"/>
      <c r="R95" s="1993"/>
      <c r="S95" s="1993"/>
      <c r="T95" s="1993"/>
      <c r="U95" s="1993"/>
      <c r="V95" s="1993"/>
      <c r="W95" s="1993"/>
      <c r="X95" s="1993"/>
      <c r="Y95" s="1993"/>
      <c r="Z95" s="1993"/>
      <c r="AA95" s="1994"/>
      <c r="AB95" s="1994"/>
      <c r="AC95" s="1994"/>
      <c r="AD95" s="1994"/>
      <c r="AE95" s="1994"/>
      <c r="AF95" s="1994"/>
      <c r="AG95" s="1994"/>
      <c r="AH95" s="1994"/>
      <c r="AI95" s="1994"/>
    </row>
    <row r="96" spans="1:35" s="1992" customFormat="1" ht="24">
      <c r="A96" s="178" t="s">
        <v>780</v>
      </c>
      <c r="B96" s="179" t="s">
        <v>2093</v>
      </c>
      <c r="C96" s="2786" t="e">
        <f ca="1">IF(C95&lt;=0,0,C95/C86)</f>
        <v>#REF!</v>
      </c>
      <c r="D96" s="175" t="s">
        <v>32</v>
      </c>
      <c r="E96" s="2531" t="e">
        <f ca="1">IF(C96&gt;=200%,"增值额超过扣除项目金额200%",IF(C96&gt;=100%,"增值额超过扣除项目金额100%，未超过200%",IF(C96&gt;=50%,"增值额超过扣除项目金额50%，未超过100%",IF(C96&lt;50%,"增值额未超过扣除项目金额50%"))))</f>
        <v>#REF!</v>
      </c>
      <c r="F96" s="2537"/>
      <c r="G96" s="2537"/>
      <c r="H96" s="198"/>
      <c r="I96" s="1996"/>
      <c r="J96" s="1993"/>
      <c r="K96" s="1993"/>
      <c r="L96" s="1993"/>
      <c r="M96" s="1993"/>
      <c r="N96" s="1993"/>
      <c r="O96" s="1993"/>
      <c r="P96" s="1993"/>
      <c r="Q96" s="1993"/>
      <c r="R96" s="1993"/>
      <c r="S96" s="1993"/>
      <c r="T96" s="1993"/>
      <c r="U96" s="1993"/>
      <c r="V96" s="1993"/>
      <c r="W96" s="1993"/>
      <c r="X96" s="1993"/>
      <c r="Y96" s="1993"/>
      <c r="Z96" s="1993"/>
      <c r="AA96" s="1994"/>
      <c r="AB96" s="1994"/>
      <c r="AC96" s="1994"/>
      <c r="AD96" s="1994"/>
      <c r="AE96" s="1994"/>
      <c r="AF96" s="1994"/>
      <c r="AG96" s="1994"/>
      <c r="AH96" s="1994"/>
      <c r="AI96" s="1994"/>
    </row>
    <row r="97" spans="1:35" s="1992" customFormat="1" ht="24.75" thickBot="1">
      <c r="A97" s="181" t="s">
        <v>781</v>
      </c>
      <c r="B97" s="182" t="s">
        <v>2094</v>
      </c>
      <c r="C97" s="2787" t="e">
        <f ca="1">ROUND(IF(C95&lt;=0,0,IF(C96&gt;=200%,C95*60%-C86*35%,IF(C96&gt;=100%,C95*50%-C86*15%,IF(C96&gt;=50%,C95*40%-C86*5%,IF(C96&lt;50%,C95*30%,0))))),0)</f>
        <v>#REF!</v>
      </c>
      <c r="D97" s="2788" t="s">
        <v>32</v>
      </c>
      <c r="E97" s="194" t="e">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#REF!</v>
      </c>
      <c r="F97" s="195"/>
      <c r="G97" s="195"/>
      <c r="H97" s="201"/>
      <c r="I97" s="1996"/>
      <c r="J97" s="1993"/>
      <c r="K97" s="1993"/>
      <c r="L97" s="1993"/>
      <c r="M97" s="1993"/>
      <c r="N97" s="1993"/>
      <c r="O97" s="1993"/>
      <c r="P97" s="1993"/>
      <c r="Q97" s="1993"/>
      <c r="R97" s="1993"/>
      <c r="S97" s="1993"/>
      <c r="T97" s="1993"/>
      <c r="U97" s="1993"/>
      <c r="V97" s="1993"/>
      <c r="W97" s="1993"/>
      <c r="X97" s="1993"/>
      <c r="Y97" s="1993"/>
      <c r="Z97" s="1993"/>
      <c r="AA97" s="1994"/>
      <c r="AB97" s="1994"/>
      <c r="AC97" s="1994"/>
      <c r="AD97" s="1994"/>
      <c r="AE97" s="1994"/>
      <c r="AF97" s="1994"/>
      <c r="AG97" s="1994"/>
      <c r="AH97" s="1994"/>
      <c r="AI97" s="1994"/>
    </row>
    <row r="98" spans="1:35" ht="21.75" customHeight="1">
      <c r="A98" s="1984"/>
      <c r="B98" s="1922"/>
      <c r="C98" s="1922"/>
      <c r="D98" s="1922"/>
      <c r="E98" s="1753"/>
      <c r="F98" s="1753"/>
      <c r="G98" s="1753"/>
      <c r="H98" s="1752"/>
      <c r="I98" s="134"/>
    </row>
    <row r="99" spans="1:35" ht="21.75" customHeight="1" thickBot="1">
      <c r="A99" s="1975" t="s">
        <v>2112</v>
      </c>
      <c r="B99" s="1922"/>
      <c r="C99" s="1922"/>
      <c r="D99" s="1922"/>
      <c r="E99" s="1753"/>
      <c r="F99" s="1753"/>
      <c r="G99" s="1753"/>
      <c r="H99" s="1752"/>
      <c r="I99" s="134"/>
    </row>
    <row r="100" spans="1:35" ht="18.75" customHeight="1">
      <c r="A100" s="3250" t="s">
        <v>2113</v>
      </c>
      <c r="B100" s="3251"/>
      <c r="C100" s="3251"/>
      <c r="D100" s="3268"/>
      <c r="E100" s="3251" t="s">
        <v>2114</v>
      </c>
      <c r="F100" s="3251"/>
      <c r="G100" s="3251"/>
      <c r="H100" s="3268"/>
      <c r="I100" s="134"/>
    </row>
    <row r="101" spans="1:35" ht="18.75" customHeight="1">
      <c r="A101" s="3332" t="s">
        <v>2115</v>
      </c>
      <c r="B101" s="3333"/>
      <c r="C101" s="2793" t="str">
        <f>C4</f>
        <v>成本法</v>
      </c>
      <c r="D101" s="2794" t="str">
        <f>D4</f>
        <v>收益法</v>
      </c>
      <c r="E101" s="3346" t="s">
        <v>2116</v>
      </c>
      <c r="F101" s="3300"/>
      <c r="G101" s="2002" t="s">
        <v>2117</v>
      </c>
      <c r="H101" s="2803" t="e">
        <f ca="1">H118</f>
        <v>#REF!</v>
      </c>
      <c r="I101" s="134"/>
    </row>
    <row r="102" spans="1:35" ht="18.75" customHeight="1">
      <c r="A102" s="3302" t="s">
        <v>2118</v>
      </c>
      <c r="B102" s="2792" t="s">
        <v>2117</v>
      </c>
      <c r="C102" s="2793">
        <f ca="1">C19</f>
        <v>33048</v>
      </c>
      <c r="D102" s="2794">
        <f ca="1">D19</f>
        <v>24262</v>
      </c>
      <c r="E102" s="3346"/>
      <c r="F102" s="3300"/>
      <c r="G102" s="2002" t="s">
        <v>2119</v>
      </c>
      <c r="H102" s="2763" t="e">
        <f ca="1">I118</f>
        <v>#REF!</v>
      </c>
      <c r="I102" s="134"/>
    </row>
    <row r="103" spans="1:35" ht="42.75" customHeight="1">
      <c r="A103" s="3302"/>
      <c r="B103" s="2792" t="s">
        <v>2119</v>
      </c>
      <c r="C103" s="2795">
        <f ca="1">C20</f>
        <v>11161</v>
      </c>
      <c r="D103" s="2796">
        <f ca="1">D20</f>
        <v>8194</v>
      </c>
      <c r="E103" s="3340" t="s">
        <v>2120</v>
      </c>
      <c r="F103" s="3341"/>
      <c r="G103" s="2003" t="s">
        <v>2121</v>
      </c>
      <c r="H103" s="2803">
        <f>IF(D36="正常操作",H104+H105+H106,H105+H106)</f>
        <v>0</v>
      </c>
      <c r="I103" s="134"/>
    </row>
    <row r="104" spans="1:35" ht="18.75" customHeight="1">
      <c r="A104" s="3302" t="s">
        <v>2122</v>
      </c>
      <c r="B104" s="2797" t="s">
        <v>2117</v>
      </c>
      <c r="C104" s="2798" t="e">
        <f ca="1">H118</f>
        <v>#REF!</v>
      </c>
      <c r="D104" s="2799"/>
      <c r="E104" s="1849" t="s">
        <v>2123</v>
      </c>
      <c r="F104" s="1841"/>
      <c r="G104" s="2003" t="s">
        <v>2121</v>
      </c>
      <c r="H104" s="2804">
        <f>IF(D36="同一抵押权人同一抵押物续贷",C36&amp;"（续贷，未扣减，详见特别提示）",C36)</f>
        <v>0</v>
      </c>
      <c r="I104" s="134"/>
    </row>
    <row r="105" spans="1:35" ht="18.75" customHeight="1" thickBot="1">
      <c r="A105" s="3303"/>
      <c r="B105" s="2800" t="s">
        <v>2119</v>
      </c>
      <c r="C105" s="2801" t="e">
        <f ca="1">I118</f>
        <v>#REF!</v>
      </c>
      <c r="D105" s="2802"/>
      <c r="E105" s="1849" t="s">
        <v>2124</v>
      </c>
      <c r="F105" s="1841"/>
      <c r="G105" s="2003" t="s">
        <v>2121</v>
      </c>
      <c r="H105" s="2805">
        <f>C37</f>
        <v>0</v>
      </c>
      <c r="I105" s="134"/>
    </row>
    <row r="106" spans="1:35" ht="18.75" customHeight="1">
      <c r="A106" s="1922" t="s">
        <v>2125</v>
      </c>
      <c r="B106" s="1922"/>
      <c r="C106" s="1922"/>
      <c r="D106" s="1922"/>
      <c r="E106" s="2004" t="s">
        <v>2126</v>
      </c>
      <c r="F106" s="1841"/>
      <c r="G106" s="2003" t="s">
        <v>2121</v>
      </c>
      <c r="H106" s="2805">
        <f>C38</f>
        <v>0</v>
      </c>
      <c r="I106" s="134"/>
    </row>
    <row r="107" spans="1:35" ht="18.75" customHeight="1">
      <c r="A107" s="134"/>
      <c r="B107" s="134"/>
      <c r="C107" s="134"/>
      <c r="D107" s="134"/>
      <c r="E107" s="3299" t="str">
        <f>IF(项目基本情况!E8="已注销","——","3.房地产抵押价值")</f>
        <v>3.房地产抵押价值</v>
      </c>
      <c r="F107" s="3300"/>
      <c r="G107" s="2002" t="s">
        <v>2117</v>
      </c>
      <c r="H107" s="2803" t="e">
        <f ca="1">IF(E107="——","——",H101-H103)</f>
        <v>#REF!</v>
      </c>
      <c r="I107" s="134"/>
    </row>
    <row r="108" spans="1:35" ht="18.75" customHeight="1">
      <c r="A108" s="134"/>
      <c r="B108" s="134"/>
      <c r="C108" s="134"/>
      <c r="D108" s="134"/>
      <c r="E108" s="3299"/>
      <c r="F108" s="3300"/>
      <c r="G108" s="2002" t="s">
        <v>2119</v>
      </c>
      <c r="H108" s="2763" t="e">
        <f ca="1">ROUND(H107*10000/'数据-汇总表'!E3,0)</f>
        <v>#REF!</v>
      </c>
      <c r="I108" s="134"/>
    </row>
    <row r="109" spans="1:35" ht="18.75" customHeight="1">
      <c r="A109" s="134"/>
      <c r="B109" s="134"/>
      <c r="C109" s="134"/>
      <c r="D109" s="134"/>
      <c r="E109" s="3299" t="str">
        <f>IF(项目基本情况!E8="已注销及未注销","4.抵押担保权已注销时的房地产抵押价值",IF(项目基本情况!E8="已注销","3.抵押担保权已注销时的房地产抵押价值","——"))</f>
        <v>——</v>
      </c>
      <c r="F109" s="3300"/>
      <c r="G109" s="2002" t="s">
        <v>2117</v>
      </c>
      <c r="H109" s="2806" t="str">
        <f>IF(E109="——","——",H101-H105-H106)</f>
        <v>——</v>
      </c>
      <c r="I109" s="134"/>
    </row>
    <row r="110" spans="1:35" ht="18.75" customHeight="1">
      <c r="A110" s="134"/>
      <c r="B110" s="134"/>
      <c r="C110" s="134"/>
      <c r="D110" s="134"/>
      <c r="E110" s="3299"/>
      <c r="F110" s="3300"/>
      <c r="G110" s="2002" t="s">
        <v>2119</v>
      </c>
      <c r="H110" s="2763" t="str">
        <f>IF(H109="——","——",ROUND(H109*10000/'数据-汇总表'!E3,0))</f>
        <v>——</v>
      </c>
      <c r="I110" s="134"/>
    </row>
    <row r="111" spans="1:35" ht="18.75" customHeight="1">
      <c r="A111" s="134"/>
      <c r="B111" s="134"/>
      <c r="C111" s="134"/>
      <c r="D111" s="134"/>
      <c r="E111" s="3334" t="str">
        <f>IF(项目基本情况!E9="抵押净值",IF(OR(项目基本情况!E8="已注销",项目基本情况!E8="房地产抵押价值"),"4.抵押净值","5.抵押净值"),"——")</f>
        <v>——</v>
      </c>
      <c r="F111" s="3301"/>
      <c r="G111" s="2002" t="s">
        <v>2117</v>
      </c>
      <c r="H111" s="2803" t="str">
        <f>IF(E111="——","——",N59)</f>
        <v>——</v>
      </c>
      <c r="I111" s="134"/>
    </row>
    <row r="112" spans="1:35" ht="18.75" customHeight="1" thickBot="1">
      <c r="A112" s="134"/>
      <c r="B112" s="134"/>
      <c r="C112" s="134"/>
      <c r="D112" s="134"/>
      <c r="E112" s="3335"/>
      <c r="F112" s="3336"/>
      <c r="G112" s="2005" t="s">
        <v>2119</v>
      </c>
      <c r="H112" s="2807" t="str">
        <f>IF(E111="——","——",N61)</f>
        <v>——</v>
      </c>
      <c r="I112" s="134"/>
    </row>
    <row r="113" spans="1:27" ht="18.75" customHeight="1">
      <c r="A113" s="134"/>
      <c r="B113" s="134"/>
      <c r="C113" s="134"/>
      <c r="D113" s="134"/>
      <c r="E113" s="3304" t="s">
        <v>2125</v>
      </c>
      <c r="F113" s="3304"/>
      <c r="G113" s="3304"/>
      <c r="H113" s="3304"/>
      <c r="I113" s="134"/>
    </row>
    <row r="114" spans="1:27" ht="3.75" customHeight="1">
      <c r="A114" s="1922"/>
      <c r="B114" s="1922"/>
      <c r="C114" s="1922"/>
      <c r="D114" s="1922"/>
      <c r="E114" s="1984"/>
      <c r="F114" s="1984"/>
      <c r="G114" s="1984"/>
      <c r="H114" s="1984"/>
      <c r="I114" s="1922"/>
    </row>
    <row r="115" spans="1:27" ht="18.75" customHeight="1">
      <c r="A115" s="3317" t="s">
        <v>2127</v>
      </c>
      <c r="B115" s="3318"/>
      <c r="C115" s="3318"/>
      <c r="D115" s="3318"/>
      <c r="E115" s="3318"/>
      <c r="F115" s="3318"/>
      <c r="G115" s="3318"/>
      <c r="H115" s="3318"/>
      <c r="I115" s="3319"/>
    </row>
    <row r="116" spans="1:27" ht="27" customHeight="1">
      <c r="A116" s="3270" t="s">
        <v>2128</v>
      </c>
      <c r="B116" s="3305" t="s">
        <v>2129</v>
      </c>
      <c r="C116" s="3305" t="s">
        <v>2130</v>
      </c>
      <c r="D116" s="3321" t="s">
        <v>2131</v>
      </c>
      <c r="E116" s="3322"/>
      <c r="F116" s="3313" t="s">
        <v>2132</v>
      </c>
      <c r="G116" s="3313"/>
      <c r="H116" s="3270" t="s">
        <v>2133</v>
      </c>
      <c r="I116" s="3270"/>
    </row>
    <row r="117" spans="1:27" ht="18.75" customHeight="1">
      <c r="A117" s="3270"/>
      <c r="B117" s="3306"/>
      <c r="C117" s="3306"/>
      <c r="D117" s="2536" t="s">
        <v>2134</v>
      </c>
      <c r="E117" s="2536" t="s">
        <v>2135</v>
      </c>
      <c r="F117" s="2536" t="s">
        <v>2134</v>
      </c>
      <c r="G117" s="2536" t="s">
        <v>2136</v>
      </c>
      <c r="H117" s="2536" t="s">
        <v>2134</v>
      </c>
      <c r="I117" s="2536" t="s">
        <v>2136</v>
      </c>
    </row>
    <row r="118" spans="1:27" ht="24.75" customHeight="1">
      <c r="A118" s="2808" t="str">
        <f>项目基本情况!S2</f>
        <v>湖南省湘潭市岳塘区芙蓉路以南、晓塘路以北万达酒店出让国有建设用地使用权及在建建筑物房地产</v>
      </c>
      <c r="B118" s="2536">
        <f>M18</f>
        <v>29932.760000000009</v>
      </c>
      <c r="C118" s="2536">
        <f>M19</f>
        <v>0</v>
      </c>
      <c r="D118" s="2536" t="e">
        <f ca="1">ROUND(IF(D32="总价",C34,E118*B118/10000),0)</f>
        <v>#REF!</v>
      </c>
      <c r="E118" s="2536" t="e">
        <f ca="1">ROUND(IF(C33="自定义",IF(D32="楼面单价",C34,D118*10000/B118),I118-G118),0)</f>
        <v>#REF!</v>
      </c>
      <c r="F118" s="2536" t="e">
        <f ca="1">ROUND(IF(D32="总价",C35,G118*B118/10000),0)</f>
        <v>#REF!</v>
      </c>
      <c r="G118" s="2536" t="e">
        <f ca="1">ROUND(IF(D32="楼面单价",C35,F118*10000/B118),0)</f>
        <v>#REF!</v>
      </c>
      <c r="H118" s="2536" t="e">
        <f ca="1">ROUND(IF(D32="总价",C32,I118*B118/10000),0)</f>
        <v>#REF!</v>
      </c>
      <c r="I118" s="2536" t="e">
        <f ca="1">ROUND(IF(D32="楼面单价",C32,H118*10000/B118),0)</f>
        <v>#REF!</v>
      </c>
    </row>
    <row r="119" spans="1:27" ht="18.75" customHeight="1">
      <c r="A119" s="3270" t="s">
        <v>2137</v>
      </c>
      <c r="B119" s="3270"/>
      <c r="C119" s="3270"/>
      <c r="D119" s="3310" t="e">
        <f ca="1">NUMBERSTRING(INT(D118*10000),2)&amp;"元整"</f>
        <v>#REF!</v>
      </c>
      <c r="E119" s="3312"/>
      <c r="F119" s="3310" t="e">
        <f ca="1">NUMBERSTRING(INT(F118*10000),2)&amp;"元整"</f>
        <v>#REF!</v>
      </c>
      <c r="G119" s="3312"/>
      <c r="H119" s="3310" t="e">
        <f ca="1">NUMBERSTRING(INT(H118*10000),2)&amp;"元整"</f>
        <v>#REF!</v>
      </c>
      <c r="I119" s="3312"/>
    </row>
    <row r="120" spans="1:27" ht="18.75" customHeight="1">
      <c r="A120" s="3337" t="str">
        <f>IF(项目基本情况!B9="房地产市场价值","",MID(E103,3,LEN(E103)-2))</f>
        <v>估价师知悉的法定优先受偿款</v>
      </c>
      <c r="B120" s="3338"/>
      <c r="C120" s="3339"/>
      <c r="D120" s="3337">
        <f>H103</f>
        <v>0</v>
      </c>
      <c r="E120" s="3338"/>
      <c r="F120" s="3338"/>
      <c r="G120" s="3338"/>
      <c r="H120" s="3338"/>
      <c r="I120" s="3339"/>
      <c r="J120" s="1927"/>
      <c r="K120" s="1927" t="str">
        <f>IF(D120=0,"故，本次评估不存在"&amp;A120,"故，本次评估"&amp;A120&amp;"为人民币"&amp;D120&amp;"万元整。")</f>
        <v>故，本次评估不存在估价师知悉的法定优先受偿款</v>
      </c>
      <c r="L120" s="1927"/>
      <c r="M120" s="1927"/>
      <c r="N120" s="1927"/>
      <c r="O120" s="1927"/>
      <c r="P120" s="1927"/>
      <c r="Q120" s="1927"/>
      <c r="R120" s="1927"/>
      <c r="S120" s="1927"/>
    </row>
    <row r="121" spans="1:27" ht="18.75" customHeight="1">
      <c r="A121" s="3314" t="s">
        <v>2137</v>
      </c>
      <c r="B121" s="3315"/>
      <c r="C121" s="3316"/>
      <c r="D121" s="3310" t="str">
        <f>IF(D120=0,"零元整",NUMBERSTRING(INT(D120*10000),2)&amp;"元整")</f>
        <v>零元整</v>
      </c>
      <c r="E121" s="3311"/>
      <c r="F121" s="3311"/>
      <c r="G121" s="3311"/>
      <c r="H121" s="3311"/>
      <c r="I121" s="3312"/>
      <c r="AA121" s="731"/>
    </row>
    <row r="122" spans="1:27" ht="18.75" customHeight="1">
      <c r="A122" s="3301" t="str">
        <f>IF(项目基本情况!B9="房地产市场价值","",MID(E107,3,LEN(E107)-2))</f>
        <v>房地产抵押价值</v>
      </c>
      <c r="B122" s="3301"/>
      <c r="C122" s="3301"/>
      <c r="D122" s="3337" t="e">
        <f ca="1">H107</f>
        <v>#REF!</v>
      </c>
      <c r="E122" s="3338"/>
      <c r="F122" s="3338"/>
      <c r="G122" s="3338"/>
      <c r="H122" s="3338"/>
      <c r="I122" s="3339"/>
      <c r="AA122" s="731"/>
    </row>
    <row r="123" spans="1:27" ht="18.75" customHeight="1">
      <c r="A123" s="3270" t="s">
        <v>2137</v>
      </c>
      <c r="B123" s="3270"/>
      <c r="C123" s="3270"/>
      <c r="D123" s="3310" t="e">
        <f ca="1">NUMBERSTRING(INT(D122*10000),2)&amp;"元整"</f>
        <v>#REF!</v>
      </c>
      <c r="E123" s="3311"/>
      <c r="F123" s="3311"/>
      <c r="G123" s="3311"/>
      <c r="H123" s="3311"/>
      <c r="I123" s="3312"/>
      <c r="AA123" s="731"/>
    </row>
    <row r="124" spans="1:27" ht="18.75" customHeight="1">
      <c r="A124" s="3301" t="str">
        <f>IF(项目基本情况!B9="房地产市场价值","",MID(E109,3,LEN(E109)-2))</f>
        <v/>
      </c>
      <c r="B124" s="3301"/>
      <c r="C124" s="3301"/>
      <c r="D124" s="3337" t="str">
        <f>H109</f>
        <v>——</v>
      </c>
      <c r="E124" s="3338"/>
      <c r="F124" s="3338"/>
      <c r="G124" s="3338"/>
      <c r="H124" s="3338"/>
      <c r="I124" s="3339"/>
      <c r="AA124" s="731"/>
    </row>
    <row r="125" spans="1:27" ht="18.75" customHeight="1">
      <c r="A125" s="3270" t="s">
        <v>2137</v>
      </c>
      <c r="B125" s="3270"/>
      <c r="C125" s="3270"/>
      <c r="D125" s="3310" t="e">
        <f>NUMBERSTRING(INT(D124*10000),2)&amp;"元整"</f>
        <v>#VALUE!</v>
      </c>
      <c r="E125" s="3311"/>
      <c r="F125" s="3311"/>
      <c r="G125" s="3311"/>
      <c r="H125" s="3311"/>
      <c r="I125" s="3312"/>
      <c r="AA125" s="731"/>
    </row>
    <row r="126" spans="1:27" ht="18.75" customHeight="1">
      <c r="A126" s="3301" t="str">
        <f>IF(项目基本情况!B9="房地产市场价值","",MID(E111,3,LEN(E111)-2))</f>
        <v/>
      </c>
      <c r="B126" s="3301"/>
      <c r="C126" s="3301"/>
      <c r="D126" s="3337" t="str">
        <f>H111</f>
        <v>——</v>
      </c>
      <c r="E126" s="3338"/>
      <c r="F126" s="3338"/>
      <c r="G126" s="3338"/>
      <c r="H126" s="3338"/>
      <c r="I126" s="3339"/>
      <c r="AA126" s="731"/>
    </row>
    <row r="127" spans="1:27" ht="18.75" customHeight="1">
      <c r="A127" s="3270" t="s">
        <v>2137</v>
      </c>
      <c r="B127" s="3270"/>
      <c r="C127" s="3270"/>
      <c r="D127" s="3310" t="e">
        <f>NUMBERSTRING(INT(D126*10000),2)&amp;"元整"</f>
        <v>#VALUE!</v>
      </c>
      <c r="E127" s="3311"/>
      <c r="F127" s="3311"/>
      <c r="G127" s="3311"/>
      <c r="H127" s="3311"/>
      <c r="I127" s="3312"/>
      <c r="AA127" s="731"/>
    </row>
    <row r="128" spans="1:27" ht="21.75" customHeight="1">
      <c r="A128" s="3320" t="s">
        <v>2138</v>
      </c>
      <c r="B128" s="3320"/>
      <c r="C128" s="3320"/>
      <c r="D128" s="3320"/>
      <c r="E128" s="3320"/>
      <c r="F128" s="3320"/>
      <c r="G128" s="3320"/>
      <c r="H128" s="3320"/>
      <c r="I128" s="3320"/>
      <c r="AA128" s="731"/>
    </row>
    <row r="129" spans="1:35" ht="21.75" customHeight="1">
      <c r="A129" s="2006" t="s">
        <v>2139</v>
      </c>
      <c r="B129" s="2007"/>
      <c r="C129" s="2008" t="s">
        <v>2140</v>
      </c>
      <c r="D129" s="2009"/>
      <c r="E129" s="2009"/>
      <c r="F129" s="2009"/>
      <c r="G129" s="2009"/>
      <c r="H129" s="2010"/>
      <c r="I129" s="2011"/>
      <c r="AA129" s="731"/>
    </row>
    <row r="130" spans="1:35" ht="21.75" customHeight="1">
      <c r="A130" s="2012">
        <v>1</v>
      </c>
      <c r="B130" s="2013"/>
      <c r="C130" s="2013"/>
      <c r="D130" s="2014"/>
      <c r="E130" s="2014"/>
      <c r="F130" s="2014"/>
      <c r="G130" s="2014"/>
      <c r="H130" s="2015"/>
      <c r="I130" s="2016"/>
      <c r="AA130" s="731"/>
    </row>
    <row r="131" spans="1:35" ht="21.75" customHeight="1">
      <c r="A131" s="2012">
        <v>2</v>
      </c>
      <c r="B131" s="2013"/>
      <c r="C131" s="2013"/>
      <c r="D131" s="2014"/>
      <c r="E131" s="2014"/>
      <c r="F131" s="2014"/>
      <c r="G131" s="2014"/>
      <c r="H131" s="2015"/>
      <c r="I131" s="2016"/>
      <c r="AA131" s="731"/>
    </row>
    <row r="132" spans="1:35" ht="21.75" customHeight="1">
      <c r="A132" s="2012">
        <v>3</v>
      </c>
      <c r="B132" s="2013"/>
      <c r="C132" s="2013"/>
      <c r="D132" s="2014"/>
      <c r="E132" s="2014"/>
      <c r="F132" s="2014"/>
      <c r="G132" s="2014"/>
      <c r="H132" s="2015"/>
      <c r="I132" s="2016"/>
      <c r="AA132" s="731"/>
    </row>
    <row r="133" spans="1:35" ht="21.75" customHeight="1">
      <c r="A133" s="2017"/>
      <c r="B133" s="2018"/>
      <c r="C133" s="2018"/>
      <c r="D133" s="2019"/>
      <c r="E133" s="2019"/>
      <c r="F133" s="2019"/>
      <c r="G133" s="2019"/>
      <c r="H133" s="2020"/>
      <c r="I133" s="2021"/>
    </row>
    <row r="134" spans="1:35" ht="21.75" customHeight="1">
      <c r="A134" s="2013"/>
      <c r="B134" s="2013"/>
      <c r="C134" s="2013"/>
      <c r="D134" s="2014"/>
      <c r="E134" s="2014"/>
      <c r="F134" s="2014"/>
      <c r="G134" s="2014"/>
      <c r="H134" s="2015"/>
      <c r="I134" s="731"/>
    </row>
    <row r="135" spans="1:35" ht="21.75" customHeight="1">
      <c r="A135" s="731"/>
      <c r="B135" s="731"/>
      <c r="C135" s="731"/>
      <c r="D135" s="731"/>
      <c r="E135" s="731"/>
      <c r="F135" s="2022" t="s">
        <v>2141</v>
      </c>
      <c r="G135" s="2023"/>
      <c r="H135" s="2023"/>
      <c r="I135" s="2024" t="s">
        <v>2142</v>
      </c>
    </row>
    <row r="136" spans="1:35" ht="21.75" customHeight="1">
      <c r="A136" s="731"/>
      <c r="B136" s="2025" t="s">
        <v>2143</v>
      </c>
      <c r="C136" s="731"/>
      <c r="D136" s="731"/>
      <c r="E136" s="731"/>
      <c r="F136" s="731"/>
      <c r="G136" s="731"/>
      <c r="H136" s="731"/>
      <c r="I136" s="731"/>
    </row>
    <row r="137" spans="1:35" ht="21.75" customHeight="1">
      <c r="A137" s="731"/>
      <c r="B137" s="731"/>
      <c r="C137" s="731"/>
      <c r="D137" s="731"/>
      <c r="E137" s="731"/>
      <c r="F137" s="731"/>
      <c r="G137" s="731"/>
      <c r="H137" s="731"/>
      <c r="I137" s="731"/>
    </row>
    <row r="138" spans="1:35" ht="21.75" customHeight="1">
      <c r="A138" s="731"/>
      <c r="B138" s="2023"/>
      <c r="C138" s="2023"/>
      <c r="D138" s="2023"/>
      <c r="E138" s="2023"/>
      <c r="F138" s="2023"/>
      <c r="G138" s="2023"/>
      <c r="H138" s="2023"/>
      <c r="I138" s="2024" t="s">
        <v>2144</v>
      </c>
    </row>
    <row r="139" spans="1:35" ht="21.75" customHeight="1">
      <c r="A139" s="731"/>
      <c r="B139" s="2025" t="s">
        <v>2145</v>
      </c>
      <c r="C139" s="731"/>
      <c r="D139" s="731"/>
      <c r="E139" s="731"/>
      <c r="F139" s="731"/>
      <c r="G139" s="731"/>
      <c r="H139" s="731"/>
      <c r="I139" s="731"/>
    </row>
    <row r="140" spans="1:35" ht="21.75" customHeight="1">
      <c r="A140" s="731"/>
      <c r="B140" s="2025"/>
      <c r="C140" s="731"/>
      <c r="D140" s="731"/>
      <c r="E140" s="731"/>
      <c r="F140" s="731"/>
      <c r="G140" s="731"/>
      <c r="H140" s="731"/>
      <c r="I140" s="731"/>
    </row>
    <row r="141" spans="1:35" ht="21.75" customHeight="1">
      <c r="A141" s="731"/>
      <c r="B141" s="2023"/>
      <c r="C141" s="2023"/>
      <c r="D141" s="2023"/>
      <c r="E141" s="2023"/>
      <c r="F141" s="2023"/>
      <c r="G141" s="2023"/>
      <c r="H141" s="2023"/>
      <c r="I141" s="2024" t="s">
        <v>2144</v>
      </c>
    </row>
    <row r="142" spans="1:35" ht="21.75" customHeight="1">
      <c r="A142" s="731"/>
      <c r="B142" s="2025"/>
      <c r="C142" s="2026"/>
      <c r="D142" s="2027"/>
      <c r="E142" s="2027"/>
      <c r="F142" s="1916"/>
      <c r="G142" s="731"/>
      <c r="H142" s="731"/>
      <c r="I142" s="731"/>
    </row>
    <row r="143" spans="1:35" s="135" customFormat="1" ht="21.75" customHeight="1">
      <c r="A143" s="731"/>
      <c r="B143" s="2025"/>
      <c r="C143" s="2026"/>
      <c r="D143" s="2027"/>
      <c r="E143" s="2027"/>
      <c r="F143" s="1916"/>
      <c r="G143" s="731"/>
      <c r="H143" s="731"/>
      <c r="I143" s="731"/>
      <c r="J143" s="731"/>
      <c r="K143" s="731"/>
      <c r="L143" s="731"/>
      <c r="M143" s="731"/>
      <c r="N143" s="731"/>
      <c r="O143" s="731"/>
      <c r="P143" s="731"/>
      <c r="Q143" s="731"/>
      <c r="R143" s="731"/>
      <c r="S143" s="731"/>
      <c r="T143" s="731"/>
      <c r="U143" s="731"/>
      <c r="V143" s="731"/>
      <c r="W143" s="731"/>
      <c r="X143" s="731"/>
      <c r="Y143" s="731"/>
      <c r="Z143" s="731"/>
      <c r="AA143" s="731"/>
      <c r="AB143" s="731"/>
      <c r="AC143" s="731"/>
      <c r="AD143" s="731"/>
      <c r="AE143" s="731"/>
      <c r="AF143" s="731"/>
      <c r="AG143" s="731"/>
      <c r="AH143" s="731"/>
      <c r="AI143" s="731"/>
    </row>
    <row r="144" spans="1:35" s="135" customFormat="1" ht="21.75" customHeight="1">
      <c r="A144" s="731"/>
      <c r="B144" s="731"/>
      <c r="C144" s="731"/>
      <c r="D144" s="731"/>
      <c r="E144" s="731"/>
      <c r="F144" s="731"/>
      <c r="G144" s="731"/>
      <c r="H144" s="731"/>
      <c r="I144" s="731"/>
      <c r="J144" s="731"/>
      <c r="K144" s="731"/>
      <c r="L144" s="731"/>
      <c r="M144" s="731"/>
      <c r="N144" s="731"/>
      <c r="O144" s="731"/>
      <c r="P144" s="731"/>
      <c r="Q144" s="731"/>
      <c r="R144" s="731"/>
      <c r="S144" s="731"/>
      <c r="T144" s="731"/>
      <c r="U144" s="731"/>
      <c r="V144" s="731"/>
      <c r="W144" s="731"/>
      <c r="X144" s="731"/>
      <c r="Y144" s="731"/>
      <c r="Z144" s="731"/>
      <c r="AA144" s="731"/>
      <c r="AB144" s="731"/>
      <c r="AC144" s="731"/>
      <c r="AD144" s="731"/>
      <c r="AE144" s="731"/>
      <c r="AF144" s="731"/>
      <c r="AG144" s="731"/>
      <c r="AH144" s="731"/>
      <c r="AI144" s="731"/>
    </row>
    <row r="145" spans="1:35" s="135" customFormat="1" ht="21.75" customHeight="1">
      <c r="A145" s="731"/>
      <c r="B145" s="731"/>
      <c r="C145" s="731"/>
      <c r="D145" s="731"/>
      <c r="E145" s="731"/>
      <c r="F145" s="731"/>
      <c r="G145" s="731"/>
      <c r="H145" s="731"/>
      <c r="I145" s="731"/>
      <c r="J145" s="731"/>
      <c r="K145" s="731"/>
      <c r="L145" s="731"/>
      <c r="M145" s="731"/>
      <c r="N145" s="731"/>
      <c r="O145" s="731"/>
      <c r="P145" s="731"/>
      <c r="Q145" s="731"/>
      <c r="R145" s="731"/>
      <c r="S145" s="731"/>
      <c r="T145" s="731"/>
      <c r="U145" s="731"/>
      <c r="V145" s="731"/>
      <c r="W145" s="731"/>
      <c r="X145" s="731"/>
      <c r="Y145" s="731"/>
      <c r="Z145" s="731"/>
      <c r="AA145" s="731"/>
      <c r="AB145" s="731"/>
      <c r="AC145" s="731"/>
      <c r="AD145" s="731"/>
      <c r="AE145" s="731"/>
      <c r="AF145" s="731"/>
      <c r="AG145" s="731"/>
      <c r="AH145" s="731"/>
      <c r="AI145" s="731"/>
    </row>
    <row r="146" spans="1:35" s="731" customFormat="1" ht="21.75" customHeight="1"/>
    <row r="147" spans="1:35" s="731" customFormat="1" ht="21.75" customHeight="1"/>
    <row r="148" spans="1:35" s="731" customFormat="1" ht="21.75" customHeight="1"/>
    <row r="149" spans="1:35" s="731" customFormat="1" ht="21.75" customHeight="1"/>
    <row r="150" spans="1:35" s="731" customFormat="1" ht="21.75" customHeight="1"/>
    <row r="151" spans="1:35" s="731" customFormat="1" ht="21.75" customHeight="1"/>
    <row r="152" spans="1:35" s="731" customFormat="1" ht="21.75" customHeight="1"/>
    <row r="153" spans="1:35" s="731" customFormat="1" ht="21.75" customHeight="1"/>
    <row r="154" spans="1:35" s="731" customFormat="1" ht="21.75" customHeight="1"/>
    <row r="155" spans="1:35" s="731" customFormat="1" ht="21.75" customHeight="1"/>
    <row r="156" spans="1:35" s="731" customFormat="1" ht="21.75" customHeight="1"/>
    <row r="157" spans="1:35" s="731" customFormat="1" ht="21.75" customHeight="1"/>
    <row r="158" spans="1:35" s="731" customFormat="1" ht="21.75" customHeight="1"/>
    <row r="159" spans="1:35" s="731" customFormat="1" ht="21.75" customHeight="1"/>
    <row r="160" spans="1:35" s="731" customFormat="1" ht="21.75" customHeight="1"/>
    <row r="161" s="731" customFormat="1" ht="21.75" customHeight="1"/>
    <row r="162" s="731" customFormat="1" ht="21.75" customHeight="1"/>
    <row r="163" s="731" customFormat="1" ht="21.75" customHeight="1"/>
    <row r="164" s="731" customFormat="1" ht="21.75" customHeight="1"/>
    <row r="165" s="731" customFormat="1" ht="21.75" customHeight="1"/>
    <row r="166" s="731" customFormat="1" ht="21.75" customHeight="1"/>
    <row r="167" s="731" customFormat="1" ht="21.75" customHeight="1"/>
    <row r="168" s="731" customFormat="1" ht="21.75" customHeight="1"/>
    <row r="169" s="731" customFormat="1" ht="21.75" customHeight="1"/>
    <row r="170" s="731" customFormat="1" ht="21.75" customHeight="1"/>
    <row r="171" s="731" customFormat="1" ht="21.75" customHeight="1"/>
    <row r="172" s="731" customFormat="1" ht="21.75" customHeight="1"/>
    <row r="173" s="731" customFormat="1" ht="21.75" customHeight="1"/>
    <row r="174" s="731" customFormat="1" ht="21.75" customHeight="1"/>
    <row r="175" s="731" customFormat="1" ht="21.75" customHeight="1"/>
    <row r="176" s="731" customFormat="1" ht="21.75" customHeight="1"/>
    <row r="177" s="731" customFormat="1" ht="21.75" customHeight="1"/>
    <row r="178" s="731" customFormat="1" ht="21.75" customHeight="1"/>
    <row r="179" s="731" customFormat="1" ht="21.75" customHeight="1"/>
    <row r="180" s="731" customFormat="1" ht="21.75" customHeight="1"/>
    <row r="181" s="731" customFormat="1" ht="21.75" customHeight="1"/>
    <row r="182" s="731" customFormat="1" ht="21.75" customHeight="1"/>
    <row r="183" s="731" customFormat="1" ht="21.75" customHeight="1"/>
    <row r="184" s="731" customFormat="1" ht="21.75" customHeight="1"/>
    <row r="185" s="731" customFormat="1" ht="21.75" customHeight="1"/>
    <row r="186" s="731" customFormat="1" ht="21.75" customHeight="1"/>
    <row r="187" s="731" customFormat="1" ht="21.75" customHeight="1"/>
    <row r="188" s="731" customFormat="1" ht="21.75" customHeight="1"/>
    <row r="189" s="731" customFormat="1" ht="21.75" customHeight="1"/>
    <row r="190" s="731" customFormat="1" ht="21.75" customHeight="1"/>
    <row r="191" s="731" customFormat="1" ht="21.75" customHeight="1"/>
    <row r="192" s="731" customFormat="1" ht="21.75" customHeight="1"/>
    <row r="193" s="731" customFormat="1" ht="21.75" customHeight="1"/>
    <row r="194" s="731" customFormat="1" ht="21.75" customHeight="1"/>
    <row r="195" s="731" customFormat="1" ht="21.75" customHeight="1"/>
    <row r="196" s="731" customFormat="1" ht="21.75" customHeight="1"/>
    <row r="197" s="731" customFormat="1" ht="21.75" customHeight="1"/>
    <row r="198" s="731" customFormat="1" ht="21.75" customHeight="1"/>
    <row r="199" s="731" customFormat="1" ht="21.75" customHeight="1"/>
    <row r="200" s="731" customFormat="1" ht="21.75" customHeight="1"/>
    <row r="201" s="731" customFormat="1" ht="21.75" customHeight="1"/>
    <row r="202" s="731" customFormat="1" ht="21.75" customHeight="1"/>
    <row r="203" s="731" customFormat="1" ht="21.75" customHeight="1"/>
    <row r="204" s="731" customFormat="1" ht="21.75" customHeight="1"/>
    <row r="205" s="731" customFormat="1" ht="21.75" customHeight="1"/>
    <row r="206" s="731" customFormat="1" ht="21.75" customHeight="1"/>
    <row r="207" s="731" customFormat="1" ht="21.75" customHeight="1"/>
    <row r="208" s="731" customFormat="1" ht="21.75" customHeight="1"/>
    <row r="209" s="731" customFormat="1" ht="21.75" customHeight="1"/>
    <row r="210" s="731" customFormat="1" ht="21.75" customHeight="1"/>
    <row r="211" s="731" customFormat="1" ht="21.75" customHeight="1"/>
    <row r="212" s="731" customFormat="1" ht="21.75" customHeight="1"/>
    <row r="213" s="731" customFormat="1" ht="21.75" customHeight="1"/>
    <row r="214" s="731" customFormat="1" ht="21.75" customHeight="1"/>
    <row r="215" s="731" customFormat="1" ht="21.75" customHeight="1"/>
    <row r="216" s="731" customFormat="1" ht="21.75" customHeight="1"/>
    <row r="217" s="731" customFormat="1" ht="21.75" customHeight="1"/>
    <row r="218" s="731" customFormat="1" ht="21.75" customHeight="1"/>
    <row r="219" s="731" customFormat="1" ht="21.75" customHeight="1"/>
    <row r="220" s="731" customFormat="1" ht="21.75" customHeight="1"/>
    <row r="221" s="731" customFormat="1" ht="21.75" customHeight="1"/>
    <row r="222" s="731" customFormat="1" ht="21.75" customHeight="1"/>
    <row r="223" s="731" customFormat="1" ht="21.75" customHeight="1"/>
    <row r="224" s="731" customFormat="1" ht="21.75" customHeight="1"/>
    <row r="225" s="731" customFormat="1" ht="21.75" customHeight="1"/>
    <row r="226" s="731" customFormat="1" ht="21.75" customHeight="1"/>
    <row r="227" s="731" customFormat="1" ht="21.75" customHeight="1"/>
    <row r="228" s="731" customFormat="1" ht="21.75" customHeight="1"/>
    <row r="229" s="731" customFormat="1" ht="21.75" customHeight="1"/>
    <row r="230" s="731" customFormat="1" ht="21.75" customHeight="1"/>
    <row r="231" s="731" customFormat="1" ht="21.75" customHeight="1"/>
    <row r="232" s="731" customFormat="1" ht="21.75" customHeight="1"/>
    <row r="233" s="731" customFormat="1" ht="21.75" customHeight="1"/>
    <row r="234" s="731" customFormat="1" ht="21.75" customHeight="1"/>
    <row r="235" s="731" customFormat="1" ht="21.75" customHeight="1"/>
    <row r="236" s="731" customFormat="1" ht="21.75" customHeight="1"/>
    <row r="237" s="731" customFormat="1" ht="21.75" customHeight="1"/>
    <row r="238" s="731" customFormat="1" ht="21.75" customHeight="1"/>
    <row r="239" s="731" customFormat="1" ht="21.75" customHeight="1"/>
    <row r="240" s="731" customFormat="1" ht="21.75" customHeight="1"/>
    <row r="241" s="731" customFormat="1" ht="21.75" customHeight="1"/>
    <row r="242" s="731" customFormat="1" ht="21.75" customHeight="1"/>
    <row r="243" s="731" customFormat="1" ht="21.75" customHeight="1"/>
    <row r="244" s="731" customFormat="1" ht="21.75" customHeight="1"/>
    <row r="245" s="731" customFormat="1" ht="21.75" customHeight="1"/>
    <row r="246" s="731" customFormat="1" ht="21.75" customHeight="1"/>
    <row r="247" s="731" customFormat="1" ht="21.75" customHeight="1"/>
    <row r="248" s="731" customFormat="1" ht="21.75" customHeight="1"/>
    <row r="249" s="731" customFormat="1" ht="21.75" customHeight="1"/>
    <row r="250" s="731" customFormat="1" ht="21.75" customHeight="1"/>
    <row r="251" s="731" customFormat="1" ht="21.75" customHeight="1"/>
    <row r="252" s="731" customFormat="1" ht="21.75" customHeight="1"/>
    <row r="253" s="731" customFormat="1" ht="21.75" customHeight="1"/>
    <row r="254" s="731" customFormat="1" ht="21.75" customHeight="1"/>
    <row r="255" s="731" customFormat="1" ht="21.75" customHeight="1"/>
    <row r="256" s="731" customFormat="1" ht="21.75" customHeight="1"/>
    <row r="257" s="731" customFormat="1" ht="21.75" customHeight="1"/>
    <row r="258" s="731" customFormat="1" ht="21.75" customHeight="1"/>
    <row r="259" s="731" customFormat="1" ht="21.75" customHeight="1"/>
    <row r="260" s="731" customFormat="1" ht="21.75" customHeight="1"/>
    <row r="261" s="731" customFormat="1" ht="21.75" customHeight="1"/>
    <row r="262" s="731" customFormat="1" ht="21.75" customHeight="1"/>
    <row r="263" s="731" customFormat="1" ht="21.75" customHeight="1"/>
    <row r="264" s="731" customFormat="1" ht="21.75" customHeight="1"/>
    <row r="265" s="731" customFormat="1" ht="21.75" customHeight="1"/>
    <row r="266" s="731" customFormat="1" ht="21.75" customHeight="1"/>
    <row r="267" s="731" customFormat="1" ht="21.75" customHeight="1"/>
    <row r="268" s="731" customFormat="1" ht="21.75" customHeight="1"/>
    <row r="269" s="731" customFormat="1" ht="21.75" customHeight="1"/>
    <row r="270" s="731" customFormat="1" ht="21.75" customHeight="1"/>
    <row r="271" s="731" customFormat="1" ht="21.75" customHeight="1"/>
    <row r="272" s="731" customFormat="1" ht="21.75" customHeight="1"/>
    <row r="273" s="731" customFormat="1" ht="21.75" customHeight="1"/>
    <row r="274" s="731" customFormat="1" ht="21.75" customHeight="1"/>
    <row r="275" s="731" customFormat="1" ht="21.75" customHeight="1"/>
    <row r="276" s="731" customFormat="1" ht="21.75" customHeight="1"/>
    <row r="277" s="731" customFormat="1" ht="21.75" customHeight="1"/>
    <row r="278" s="731" customFormat="1" ht="21.75" customHeight="1"/>
    <row r="279" s="731" customFormat="1" ht="21.75" customHeight="1"/>
    <row r="280" s="731" customFormat="1" ht="21.75" customHeight="1"/>
    <row r="281" s="731" customFormat="1" ht="21.75" customHeight="1"/>
    <row r="282" s="731" customFormat="1" ht="21.75" customHeight="1"/>
    <row r="283" s="731" customFormat="1" ht="21.75" customHeight="1"/>
    <row r="284" s="731" customFormat="1" ht="21.75" customHeight="1"/>
    <row r="285" s="731" customFormat="1" ht="21.75" customHeight="1"/>
    <row r="286" s="731" customFormat="1" ht="21.75" customHeight="1"/>
    <row r="287" s="731" customFormat="1" ht="21.75" customHeight="1"/>
    <row r="288" s="731" customFormat="1" ht="21.75" customHeight="1"/>
    <row r="289" s="731" customFormat="1" ht="21.75" customHeight="1"/>
    <row r="290" s="731" customFormat="1" ht="21.75" customHeight="1"/>
    <row r="291" s="731" customFormat="1" ht="21.75" customHeight="1"/>
    <row r="292" s="731" customFormat="1" ht="21.75" customHeight="1"/>
    <row r="293" s="731" customFormat="1" ht="21.75" customHeight="1"/>
    <row r="294" s="731" customFormat="1" ht="21.75" customHeight="1"/>
    <row r="295" s="731" customFormat="1" ht="21.75" customHeight="1"/>
    <row r="296" s="731" customFormat="1" ht="21.75" customHeight="1"/>
    <row r="297" s="731" customFormat="1" ht="21.75" customHeight="1"/>
    <row r="298" s="731" customFormat="1" ht="21.75" customHeight="1"/>
    <row r="299" s="731" customFormat="1" ht="21.75" customHeight="1"/>
    <row r="300" s="731" customFormat="1" ht="21.75" customHeight="1"/>
    <row r="301" s="731" customFormat="1" ht="21.75" customHeight="1"/>
    <row r="302" s="731" customFormat="1" ht="21.75" customHeight="1"/>
    <row r="303" s="731" customFormat="1" ht="21.75" customHeight="1"/>
    <row r="304" s="731" customFormat="1" ht="21.75" customHeight="1"/>
    <row r="305" s="731" customFormat="1" ht="21.75" customHeight="1"/>
    <row r="306" s="731" customFormat="1" ht="21.75" customHeight="1"/>
    <row r="307" s="731" customFormat="1" ht="21.75" customHeight="1"/>
    <row r="308" s="731" customFormat="1" ht="21.75" customHeight="1"/>
    <row r="309" s="731" customFormat="1" ht="21.75" customHeight="1"/>
    <row r="310" s="731" customFormat="1" ht="21.75" customHeight="1"/>
    <row r="311" s="731" customFormat="1" ht="21.75" customHeight="1"/>
    <row r="312" s="731" customFormat="1" ht="21.75" customHeight="1"/>
    <row r="313" s="731" customFormat="1" ht="21.75" customHeight="1"/>
    <row r="314" s="731" customFormat="1" ht="21.75" customHeight="1"/>
    <row r="315" s="731" customFormat="1" ht="21.75" customHeight="1"/>
    <row r="316" s="731" customFormat="1" ht="21.75" customHeight="1"/>
    <row r="317" s="731" customFormat="1" ht="21.75" customHeight="1"/>
    <row r="318" s="731" customFormat="1" ht="21.75" customHeight="1"/>
    <row r="319" s="731" customFormat="1" ht="21.75" customHeight="1"/>
    <row r="320" s="731" customFormat="1" ht="21.75" customHeight="1"/>
    <row r="321" s="731" customFormat="1" ht="21.75" customHeight="1"/>
    <row r="322" s="731" customFormat="1" ht="21.75" customHeight="1"/>
    <row r="323" s="731" customFormat="1" ht="21.75" customHeight="1"/>
    <row r="324" s="731" customFormat="1" ht="21.75" customHeight="1"/>
    <row r="325" s="731" customFormat="1" ht="21.75" customHeight="1"/>
    <row r="326" s="731" customFormat="1" ht="21.75" customHeight="1"/>
    <row r="327" s="731" customFormat="1" ht="21.75" customHeight="1"/>
    <row r="328" s="731" customFormat="1" ht="21.75" customHeight="1"/>
    <row r="329" s="731" customFormat="1" ht="21.75" customHeight="1"/>
    <row r="330" s="731" customFormat="1" ht="21.75" customHeight="1"/>
    <row r="331" s="731" customFormat="1" ht="21.75" customHeight="1"/>
    <row r="332" s="731" customFormat="1" ht="21.75" customHeight="1"/>
    <row r="333" s="731" customFormat="1" ht="21.75" customHeight="1"/>
    <row r="334" s="731" customFormat="1" ht="21.75" customHeight="1"/>
    <row r="335" s="731" customFormat="1" ht="21.75" customHeight="1"/>
    <row r="336" s="731" customFormat="1" ht="21.75" customHeight="1"/>
    <row r="337" s="731" customFormat="1" ht="21.75" customHeight="1"/>
    <row r="338" s="731" customFormat="1" ht="21.75" customHeight="1"/>
    <row r="339" s="731" customFormat="1" ht="21.75" customHeight="1"/>
    <row r="340" s="731" customFormat="1" ht="21.75" customHeight="1"/>
    <row r="341" s="731" customFormat="1" ht="21.75" customHeight="1"/>
    <row r="342" s="731" customFormat="1" ht="21.75" customHeight="1"/>
    <row r="343" s="731" customFormat="1" ht="21.75" customHeight="1"/>
    <row r="344" s="731" customFormat="1" ht="21.75" customHeight="1"/>
    <row r="345" s="731" customFormat="1" ht="21.75" customHeight="1"/>
    <row r="346" s="731" customFormat="1" ht="21.75" customHeight="1"/>
    <row r="347" s="731" customFormat="1" ht="21.75" customHeight="1"/>
    <row r="348" s="731" customFormat="1" ht="21.75" customHeight="1"/>
    <row r="349" s="731" customFormat="1" ht="21.75" customHeight="1"/>
    <row r="350" s="731" customFormat="1" ht="21.75" customHeight="1"/>
    <row r="351" s="731" customFormat="1" ht="21.75" customHeight="1"/>
    <row r="352" s="731" customFormat="1" ht="21.75" customHeight="1"/>
    <row r="353" s="731" customFormat="1" ht="21.75" customHeight="1"/>
    <row r="354" s="731" customFormat="1" ht="21.75" customHeight="1"/>
    <row r="355" s="731" customFormat="1" ht="21.75" customHeight="1"/>
    <row r="356" s="731" customFormat="1" ht="21.75" customHeight="1"/>
    <row r="357" s="731" customFormat="1" ht="21.75" customHeight="1"/>
    <row r="358" s="731" customFormat="1" ht="21.75" customHeight="1"/>
    <row r="359" s="731" customFormat="1" ht="21.75" customHeight="1"/>
    <row r="360" s="731" customFormat="1" ht="21.75" customHeight="1"/>
    <row r="361" s="731" customFormat="1" ht="21.75" customHeight="1"/>
    <row r="362" s="731" customFormat="1" ht="21.75" customHeight="1"/>
    <row r="363" s="731" customFormat="1" ht="21.75" customHeight="1"/>
    <row r="364" s="731" customFormat="1" ht="21.75" customHeight="1"/>
    <row r="365" s="731" customFormat="1" ht="21.75" customHeight="1"/>
    <row r="366" s="731" customFormat="1" ht="21.75" customHeight="1"/>
    <row r="367" s="731" customFormat="1" ht="21.75" customHeight="1"/>
    <row r="368" s="731" customFormat="1" ht="21.75" customHeight="1"/>
    <row r="369" s="731" customFormat="1" ht="21.75" customHeight="1"/>
    <row r="370" s="731" customFormat="1" ht="21.75" customHeight="1"/>
    <row r="371" s="731" customFormat="1" ht="21.75" customHeight="1"/>
    <row r="372" s="731" customFormat="1" ht="21.75" customHeight="1"/>
    <row r="373" s="731" customFormat="1" ht="21.75" customHeight="1"/>
    <row r="374" s="731" customFormat="1" ht="21.75" customHeight="1"/>
    <row r="375" s="731" customFormat="1" ht="21.75" customHeight="1"/>
    <row r="376" s="731" customFormat="1" ht="21.75" customHeight="1"/>
    <row r="377" s="731" customFormat="1" ht="21.75" customHeight="1"/>
    <row r="378" s="731" customFormat="1" ht="21.75" customHeight="1"/>
    <row r="379" s="731" customFormat="1" ht="21.75" customHeight="1"/>
    <row r="380" s="731" customFormat="1" ht="21.75" customHeight="1"/>
    <row r="381" s="731" customFormat="1" ht="21.75" customHeight="1"/>
    <row r="382" s="731" customFormat="1" ht="21.75" customHeight="1"/>
    <row r="383" s="731" customFormat="1" ht="21.75" customHeight="1"/>
    <row r="384" s="731" customFormat="1" ht="21.75" customHeight="1"/>
    <row r="385" s="731" customFormat="1" ht="21.75" customHeight="1"/>
    <row r="386" s="731" customFormat="1" ht="21.75" customHeight="1"/>
    <row r="387" s="731" customFormat="1" ht="21.75" customHeight="1"/>
    <row r="388" s="731" customFormat="1" ht="21.75" customHeight="1"/>
    <row r="389" s="731" customFormat="1" ht="21.75" customHeight="1"/>
    <row r="390" s="731" customFormat="1" ht="21.75" customHeight="1"/>
    <row r="391" s="731" customFormat="1" ht="21.75" customHeight="1"/>
    <row r="392" s="731" customFormat="1" ht="21.75" customHeight="1"/>
    <row r="393" s="731" customFormat="1" ht="21.75" customHeight="1"/>
    <row r="394" s="731" customFormat="1" ht="21.75" customHeight="1"/>
    <row r="395" s="731" customFormat="1" ht="21.75" customHeight="1"/>
    <row r="396" s="731" customFormat="1" ht="21.75" customHeight="1"/>
    <row r="397" s="731" customFormat="1" ht="21.75" customHeight="1"/>
    <row r="398" s="731" customFormat="1" ht="21.75" customHeight="1"/>
    <row r="399" s="731" customFormat="1" ht="21.75" customHeight="1"/>
    <row r="400" s="731" customFormat="1" ht="21.75" customHeight="1"/>
    <row r="401" spans="10:26" s="731" customFormat="1" ht="21.75" customHeight="1"/>
    <row r="402" spans="10:26" s="731" customFormat="1" ht="21.75" customHeight="1"/>
    <row r="403" spans="10:26" s="731" customFormat="1" ht="21.75" customHeight="1"/>
    <row r="404" spans="10:26" s="731" customFormat="1" ht="21.75" customHeight="1"/>
    <row r="405" spans="10:26" s="731" customFormat="1" ht="21.75" customHeight="1"/>
    <row r="406" spans="10:26" s="731" customFormat="1" ht="21.75" customHeight="1"/>
    <row r="407" spans="10:26" s="731" customFormat="1" ht="21.75" customHeight="1"/>
    <row r="408" spans="10:26" s="731" customFormat="1" ht="21.75" customHeight="1"/>
    <row r="409" spans="10:26" s="1927" customFormat="1" ht="21.75" customHeight="1">
      <c r="J409" s="731"/>
      <c r="K409" s="731"/>
      <c r="L409" s="731"/>
      <c r="M409" s="731"/>
      <c r="N409" s="731"/>
      <c r="O409" s="731"/>
      <c r="P409" s="731"/>
      <c r="Q409" s="731"/>
      <c r="R409" s="731"/>
      <c r="S409" s="731"/>
      <c r="T409" s="731"/>
      <c r="U409" s="731"/>
      <c r="V409" s="731"/>
      <c r="W409" s="731"/>
      <c r="X409" s="731"/>
      <c r="Y409" s="731"/>
      <c r="Z409" s="731"/>
    </row>
    <row r="410" spans="10:26" s="1927" customFormat="1" ht="21.75" customHeight="1">
      <c r="J410" s="731"/>
      <c r="K410" s="731"/>
      <c r="L410" s="731"/>
      <c r="M410" s="731"/>
      <c r="N410" s="731"/>
      <c r="O410" s="731"/>
      <c r="P410" s="731"/>
      <c r="Q410" s="731"/>
      <c r="R410" s="731"/>
      <c r="S410" s="731"/>
      <c r="T410" s="731"/>
      <c r="U410" s="731"/>
      <c r="V410" s="731"/>
      <c r="W410" s="731"/>
      <c r="X410" s="731"/>
      <c r="Y410" s="731"/>
      <c r="Z410" s="731"/>
    </row>
    <row r="411" spans="10:26" s="1927" customFormat="1" ht="21.75" customHeight="1">
      <c r="J411" s="731"/>
      <c r="K411" s="731"/>
      <c r="L411" s="731"/>
      <c r="M411" s="731"/>
      <c r="N411" s="731"/>
      <c r="O411" s="731"/>
      <c r="P411" s="731"/>
      <c r="Q411" s="731"/>
      <c r="R411" s="731"/>
      <c r="S411" s="731"/>
      <c r="T411" s="731"/>
      <c r="U411" s="731"/>
      <c r="V411" s="731"/>
      <c r="W411" s="731"/>
      <c r="X411" s="731"/>
      <c r="Y411" s="731"/>
      <c r="Z411" s="731"/>
    </row>
    <row r="412" spans="10:26" s="1927" customFormat="1" ht="21.75" customHeight="1">
      <c r="J412" s="731"/>
      <c r="K412" s="731"/>
      <c r="L412" s="731"/>
      <c r="M412" s="731"/>
      <c r="N412" s="731"/>
      <c r="O412" s="731"/>
      <c r="P412" s="731"/>
      <c r="Q412" s="731"/>
      <c r="R412" s="731"/>
      <c r="S412" s="731"/>
      <c r="T412" s="731"/>
      <c r="U412" s="731"/>
      <c r="V412" s="731"/>
      <c r="W412" s="731"/>
      <c r="X412" s="731"/>
      <c r="Y412" s="731"/>
      <c r="Z412" s="731"/>
    </row>
    <row r="413" spans="10:26" s="1927" customFormat="1" ht="21.75" customHeight="1">
      <c r="J413" s="731"/>
      <c r="K413" s="731"/>
      <c r="L413" s="731"/>
      <c r="M413" s="731"/>
      <c r="N413" s="731"/>
      <c r="O413" s="731"/>
      <c r="P413" s="731"/>
      <c r="Q413" s="731"/>
      <c r="R413" s="731"/>
      <c r="S413" s="731"/>
      <c r="T413" s="731"/>
      <c r="U413" s="731"/>
      <c r="V413" s="731"/>
      <c r="W413" s="731"/>
      <c r="X413" s="731"/>
      <c r="Y413" s="731"/>
      <c r="Z413" s="731"/>
    </row>
    <row r="414" spans="10:26" s="1927" customFormat="1" ht="21.75" customHeight="1">
      <c r="J414" s="731"/>
      <c r="K414" s="731"/>
      <c r="L414" s="731"/>
      <c r="M414" s="731"/>
      <c r="N414" s="731"/>
      <c r="O414" s="731"/>
      <c r="P414" s="731"/>
      <c r="Q414" s="731"/>
      <c r="R414" s="731"/>
      <c r="S414" s="731"/>
      <c r="T414" s="731"/>
      <c r="U414" s="731"/>
      <c r="V414" s="731"/>
      <c r="W414" s="731"/>
      <c r="X414" s="731"/>
      <c r="Y414" s="731"/>
      <c r="Z414" s="731"/>
    </row>
    <row r="415" spans="10:26" s="1927" customFormat="1" ht="21.75" customHeight="1">
      <c r="J415" s="731"/>
      <c r="K415" s="731"/>
      <c r="L415" s="731"/>
      <c r="M415" s="731"/>
      <c r="N415" s="731"/>
      <c r="O415" s="731"/>
      <c r="P415" s="731"/>
      <c r="Q415" s="731"/>
      <c r="R415" s="731"/>
      <c r="S415" s="731"/>
      <c r="T415" s="731"/>
      <c r="U415" s="731"/>
      <c r="V415" s="731"/>
      <c r="W415" s="731"/>
      <c r="X415" s="731"/>
      <c r="Y415" s="731"/>
      <c r="Z415" s="731"/>
    </row>
    <row r="416" spans="10:26" s="1927" customFormat="1" ht="21.75" customHeight="1">
      <c r="J416" s="731"/>
      <c r="K416" s="731"/>
      <c r="L416" s="731"/>
      <c r="M416" s="731"/>
      <c r="N416" s="731"/>
      <c r="O416" s="731"/>
      <c r="P416" s="731"/>
      <c r="Q416" s="731"/>
      <c r="R416" s="731"/>
      <c r="S416" s="731"/>
      <c r="T416" s="731"/>
      <c r="U416" s="731"/>
      <c r="V416" s="731"/>
      <c r="W416" s="731"/>
      <c r="X416" s="731"/>
      <c r="Y416" s="731"/>
      <c r="Z416" s="731"/>
    </row>
    <row r="417" spans="10:26" s="1927" customFormat="1" ht="21.75" customHeight="1">
      <c r="J417" s="731"/>
      <c r="K417" s="731"/>
      <c r="L417" s="731"/>
      <c r="M417" s="731"/>
      <c r="N417" s="731"/>
      <c r="O417" s="731"/>
      <c r="P417" s="731"/>
      <c r="Q417" s="731"/>
      <c r="R417" s="731"/>
      <c r="S417" s="731"/>
      <c r="T417" s="731"/>
      <c r="U417" s="731"/>
      <c r="V417" s="731"/>
      <c r="W417" s="731"/>
      <c r="X417" s="731"/>
      <c r="Y417" s="731"/>
      <c r="Z417" s="731"/>
    </row>
    <row r="418" spans="10:26" s="1927" customFormat="1" ht="21.75" customHeight="1">
      <c r="J418" s="731"/>
      <c r="K418" s="731"/>
      <c r="L418" s="731"/>
      <c r="M418" s="731"/>
      <c r="N418" s="731"/>
      <c r="O418" s="731"/>
      <c r="P418" s="731"/>
      <c r="Q418" s="731"/>
      <c r="R418" s="731"/>
      <c r="S418" s="731"/>
      <c r="T418" s="731"/>
      <c r="U418" s="731"/>
      <c r="V418" s="731"/>
      <c r="W418" s="731"/>
      <c r="X418" s="731"/>
      <c r="Y418" s="731"/>
      <c r="Z418" s="731"/>
    </row>
    <row r="419" spans="10:26" s="1927" customFormat="1" ht="21.75" customHeight="1">
      <c r="J419" s="731"/>
      <c r="K419" s="731"/>
      <c r="L419" s="731"/>
      <c r="M419" s="731"/>
      <c r="N419" s="731"/>
      <c r="O419" s="731"/>
      <c r="P419" s="731"/>
      <c r="Q419" s="731"/>
      <c r="R419" s="731"/>
      <c r="S419" s="731"/>
      <c r="T419" s="731"/>
      <c r="U419" s="731"/>
      <c r="V419" s="731"/>
      <c r="W419" s="731"/>
      <c r="X419" s="731"/>
      <c r="Y419" s="731"/>
      <c r="Z419" s="731"/>
    </row>
    <row r="420" spans="10:26" s="1927" customFormat="1" ht="21.75" customHeight="1">
      <c r="J420" s="731"/>
      <c r="K420" s="731"/>
      <c r="L420" s="731"/>
      <c r="M420" s="731"/>
      <c r="N420" s="731"/>
      <c r="O420" s="731"/>
      <c r="P420" s="731"/>
      <c r="Q420" s="731"/>
      <c r="R420" s="731"/>
      <c r="S420" s="731"/>
      <c r="T420" s="731"/>
      <c r="U420" s="731"/>
      <c r="V420" s="731"/>
      <c r="W420" s="731"/>
      <c r="X420" s="731"/>
      <c r="Y420" s="731"/>
      <c r="Z420" s="731"/>
    </row>
    <row r="421" spans="10:26" s="1927" customFormat="1" ht="21.75" customHeight="1">
      <c r="J421" s="731"/>
      <c r="K421" s="731"/>
      <c r="L421" s="731"/>
      <c r="M421" s="731"/>
      <c r="N421" s="731"/>
      <c r="O421" s="731"/>
      <c r="P421" s="731"/>
      <c r="Q421" s="731"/>
      <c r="R421" s="731"/>
      <c r="S421" s="731"/>
      <c r="T421" s="731"/>
      <c r="U421" s="731"/>
      <c r="V421" s="731"/>
      <c r="W421" s="731"/>
      <c r="X421" s="731"/>
      <c r="Y421" s="731"/>
      <c r="Z421" s="731"/>
    </row>
    <row r="422" spans="10:26" s="1927" customFormat="1" ht="21.75" customHeight="1">
      <c r="J422" s="731"/>
      <c r="K422" s="731"/>
      <c r="L422" s="731"/>
      <c r="M422" s="731"/>
      <c r="N422" s="731"/>
      <c r="O422" s="731"/>
      <c r="P422" s="731"/>
      <c r="Q422" s="731"/>
      <c r="R422" s="731"/>
      <c r="S422" s="731"/>
      <c r="T422" s="731"/>
      <c r="U422" s="731"/>
      <c r="V422" s="731"/>
      <c r="W422" s="731"/>
      <c r="X422" s="731"/>
      <c r="Y422" s="731"/>
      <c r="Z422" s="731"/>
    </row>
    <row r="423" spans="10:26" s="1927" customFormat="1" ht="21.75" customHeight="1">
      <c r="J423" s="731"/>
      <c r="K423" s="731"/>
      <c r="L423" s="731"/>
      <c r="M423" s="731"/>
      <c r="N423" s="731"/>
      <c r="O423" s="731"/>
      <c r="P423" s="731"/>
      <c r="Q423" s="731"/>
      <c r="R423" s="731"/>
      <c r="S423" s="731"/>
      <c r="T423" s="731"/>
      <c r="U423" s="731"/>
      <c r="V423" s="731"/>
      <c r="W423" s="731"/>
      <c r="X423" s="731"/>
      <c r="Y423" s="731"/>
      <c r="Z423" s="731"/>
    </row>
    <row r="424" spans="10:26" s="1927" customFormat="1" ht="21.75" customHeight="1">
      <c r="J424" s="731"/>
      <c r="K424" s="731"/>
      <c r="L424" s="731"/>
      <c r="M424" s="731"/>
      <c r="N424" s="731"/>
      <c r="O424" s="731"/>
      <c r="P424" s="731"/>
      <c r="Q424" s="731"/>
      <c r="R424" s="731"/>
      <c r="S424" s="731"/>
      <c r="T424" s="731"/>
      <c r="U424" s="731"/>
      <c r="V424" s="731"/>
      <c r="W424" s="731"/>
      <c r="X424" s="731"/>
      <c r="Y424" s="731"/>
      <c r="Z424" s="731"/>
    </row>
    <row r="425" spans="10:26" s="1927" customFormat="1" ht="21.75" customHeight="1">
      <c r="J425" s="731"/>
      <c r="K425" s="731"/>
      <c r="L425" s="731"/>
      <c r="M425" s="731"/>
      <c r="N425" s="731"/>
      <c r="O425" s="731"/>
      <c r="P425" s="731"/>
      <c r="Q425" s="731"/>
      <c r="R425" s="731"/>
      <c r="S425" s="731"/>
      <c r="T425" s="731"/>
      <c r="U425" s="731"/>
      <c r="V425" s="731"/>
      <c r="W425" s="731"/>
      <c r="X425" s="731"/>
      <c r="Y425" s="731"/>
      <c r="Z425" s="731"/>
    </row>
    <row r="426" spans="10:26" s="1927" customFormat="1" ht="21.75" customHeight="1">
      <c r="J426" s="731"/>
      <c r="K426" s="731"/>
      <c r="L426" s="731"/>
      <c r="M426" s="731"/>
      <c r="N426" s="731"/>
      <c r="O426" s="731"/>
      <c r="P426" s="731"/>
      <c r="Q426" s="731"/>
      <c r="R426" s="731"/>
      <c r="S426" s="731"/>
      <c r="T426" s="731"/>
      <c r="U426" s="731"/>
      <c r="V426" s="731"/>
      <c r="W426" s="731"/>
      <c r="X426" s="731"/>
      <c r="Y426" s="731"/>
      <c r="Z426" s="731"/>
    </row>
    <row r="427" spans="10:26" s="1927" customFormat="1" ht="21.75" customHeight="1">
      <c r="J427" s="731"/>
      <c r="K427" s="731"/>
      <c r="L427" s="731"/>
      <c r="M427" s="731"/>
      <c r="N427" s="731"/>
      <c r="O427" s="731"/>
      <c r="P427" s="731"/>
      <c r="Q427" s="731"/>
      <c r="R427" s="731"/>
      <c r="S427" s="731"/>
      <c r="T427" s="731"/>
      <c r="U427" s="731"/>
      <c r="V427" s="731"/>
      <c r="W427" s="731"/>
      <c r="X427" s="731"/>
      <c r="Y427" s="731"/>
      <c r="Z427" s="731"/>
    </row>
    <row r="428" spans="10:26" s="1927" customFormat="1" ht="21.75" customHeight="1">
      <c r="J428" s="731"/>
      <c r="K428" s="731"/>
      <c r="L428" s="731"/>
      <c r="M428" s="731"/>
      <c r="N428" s="731"/>
      <c r="O428" s="731"/>
      <c r="P428" s="731"/>
      <c r="Q428" s="731"/>
      <c r="R428" s="731"/>
      <c r="S428" s="731"/>
      <c r="T428" s="731"/>
      <c r="U428" s="731"/>
      <c r="V428" s="731"/>
      <c r="W428" s="731"/>
      <c r="X428" s="731"/>
      <c r="Y428" s="731"/>
      <c r="Z428" s="731"/>
    </row>
    <row r="429" spans="10:26" s="1927" customFormat="1" ht="21.75" customHeight="1">
      <c r="J429" s="731"/>
      <c r="K429" s="731"/>
      <c r="L429" s="731"/>
      <c r="M429" s="731"/>
      <c r="N429" s="731"/>
      <c r="O429" s="731"/>
      <c r="P429" s="731"/>
      <c r="Q429" s="731"/>
      <c r="R429" s="731"/>
      <c r="S429" s="731"/>
      <c r="T429" s="731"/>
      <c r="U429" s="731"/>
      <c r="V429" s="731"/>
      <c r="W429" s="731"/>
      <c r="X429" s="731"/>
      <c r="Y429" s="731"/>
      <c r="Z429" s="731"/>
    </row>
    <row r="430" spans="10:26" s="1927" customFormat="1" ht="21.75" customHeight="1">
      <c r="J430" s="731"/>
      <c r="K430" s="731"/>
      <c r="L430" s="731"/>
      <c r="M430" s="731"/>
      <c r="N430" s="731"/>
      <c r="O430" s="731"/>
      <c r="P430" s="731"/>
      <c r="Q430" s="731"/>
      <c r="R430" s="731"/>
      <c r="S430" s="731"/>
      <c r="T430" s="731"/>
      <c r="U430" s="731"/>
      <c r="V430" s="731"/>
      <c r="W430" s="731"/>
      <c r="X430" s="731"/>
      <c r="Y430" s="731"/>
      <c r="Z430" s="731"/>
    </row>
    <row r="431" spans="10:26" s="1927" customFormat="1" ht="21.75" customHeight="1">
      <c r="J431" s="731"/>
      <c r="K431" s="731"/>
      <c r="L431" s="731"/>
      <c r="M431" s="731"/>
      <c r="N431" s="731"/>
      <c r="O431" s="731"/>
      <c r="P431" s="731"/>
      <c r="Q431" s="731"/>
      <c r="R431" s="731"/>
      <c r="S431" s="731"/>
      <c r="T431" s="731"/>
      <c r="U431" s="731"/>
      <c r="V431" s="731"/>
      <c r="W431" s="731"/>
      <c r="X431" s="731"/>
      <c r="Y431" s="731"/>
      <c r="Z431" s="731"/>
    </row>
    <row r="432" spans="10:26" s="1927" customFormat="1" ht="21.75" customHeight="1">
      <c r="J432" s="731"/>
      <c r="K432" s="731"/>
      <c r="L432" s="731"/>
      <c r="M432" s="731"/>
      <c r="N432" s="731"/>
      <c r="O432" s="731"/>
      <c r="P432" s="731"/>
      <c r="Q432" s="731"/>
      <c r="R432" s="731"/>
      <c r="S432" s="731"/>
      <c r="T432" s="731"/>
      <c r="U432" s="731"/>
      <c r="V432" s="731"/>
      <c r="W432" s="731"/>
      <c r="X432" s="731"/>
      <c r="Y432" s="731"/>
      <c r="Z432" s="731"/>
    </row>
    <row r="433" spans="10:26" s="1927" customFormat="1" ht="21.75" customHeight="1">
      <c r="J433" s="731"/>
      <c r="K433" s="731"/>
      <c r="L433" s="731"/>
      <c r="M433" s="731"/>
      <c r="N433" s="731"/>
      <c r="O433" s="731"/>
      <c r="P433" s="731"/>
      <c r="Q433" s="731"/>
      <c r="R433" s="731"/>
      <c r="S433" s="731"/>
      <c r="T433" s="731"/>
      <c r="U433" s="731"/>
      <c r="V433" s="731"/>
      <c r="W433" s="731"/>
      <c r="X433" s="731"/>
      <c r="Y433" s="731"/>
      <c r="Z433" s="731"/>
    </row>
    <row r="434" spans="10:26" s="1927" customFormat="1" ht="21.75" customHeight="1">
      <c r="J434" s="731"/>
      <c r="K434" s="731"/>
      <c r="L434" s="731"/>
      <c r="M434" s="731"/>
      <c r="N434" s="731"/>
      <c r="O434" s="731"/>
      <c r="P434" s="731"/>
      <c r="Q434" s="731"/>
      <c r="R434" s="731"/>
      <c r="S434" s="731"/>
      <c r="T434" s="731"/>
      <c r="U434" s="731"/>
      <c r="V434" s="731"/>
      <c r="W434" s="731"/>
      <c r="X434" s="731"/>
      <c r="Y434" s="731"/>
      <c r="Z434" s="731"/>
    </row>
    <row r="435" spans="10:26" s="1927" customFormat="1" ht="21.75" customHeight="1">
      <c r="J435" s="731"/>
      <c r="K435" s="731"/>
      <c r="L435" s="731"/>
      <c r="M435" s="731"/>
      <c r="N435" s="731"/>
      <c r="O435" s="731"/>
      <c r="P435" s="731"/>
      <c r="Q435" s="731"/>
      <c r="R435" s="731"/>
      <c r="S435" s="731"/>
      <c r="T435" s="731"/>
      <c r="U435" s="731"/>
      <c r="V435" s="731"/>
      <c r="W435" s="731"/>
      <c r="X435" s="731"/>
      <c r="Y435" s="731"/>
      <c r="Z435" s="731"/>
    </row>
    <row r="436" spans="10:26" s="1927" customFormat="1" ht="21.75" customHeight="1">
      <c r="J436" s="731"/>
      <c r="K436" s="731"/>
      <c r="L436" s="731"/>
      <c r="M436" s="731"/>
      <c r="N436" s="731"/>
      <c r="O436" s="731"/>
      <c r="P436" s="731"/>
      <c r="Q436" s="731"/>
      <c r="R436" s="731"/>
      <c r="S436" s="731"/>
      <c r="T436" s="731"/>
      <c r="U436" s="731"/>
      <c r="V436" s="731"/>
      <c r="W436" s="731"/>
      <c r="X436" s="731"/>
      <c r="Y436" s="731"/>
      <c r="Z436" s="731"/>
    </row>
    <row r="437" spans="10:26" s="1927" customFormat="1" ht="21.75" customHeight="1">
      <c r="J437" s="731"/>
      <c r="K437" s="731"/>
      <c r="L437" s="731"/>
      <c r="M437" s="731"/>
      <c r="N437" s="731"/>
      <c r="O437" s="731"/>
      <c r="P437" s="731"/>
      <c r="Q437" s="731"/>
      <c r="R437" s="731"/>
      <c r="S437" s="731"/>
      <c r="T437" s="731"/>
      <c r="U437" s="731"/>
      <c r="V437" s="731"/>
      <c r="W437" s="731"/>
      <c r="X437" s="731"/>
      <c r="Y437" s="731"/>
      <c r="Z437" s="731"/>
    </row>
    <row r="438" spans="10:26" s="1927" customFormat="1" ht="21.75" customHeight="1">
      <c r="J438" s="731"/>
      <c r="K438" s="731"/>
      <c r="L438" s="731"/>
      <c r="M438" s="731"/>
      <c r="N438" s="731"/>
      <c r="O438" s="731"/>
      <c r="P438" s="731"/>
      <c r="Q438" s="731"/>
      <c r="R438" s="731"/>
      <c r="S438" s="731"/>
      <c r="T438" s="731"/>
      <c r="U438" s="731"/>
      <c r="V438" s="731"/>
      <c r="W438" s="731"/>
      <c r="X438" s="731"/>
      <c r="Y438" s="731"/>
      <c r="Z438" s="731"/>
    </row>
    <row r="439" spans="10:26" s="1927" customFormat="1" ht="21.75" customHeight="1">
      <c r="J439" s="731"/>
      <c r="K439" s="731"/>
      <c r="L439" s="731"/>
      <c r="M439" s="731"/>
      <c r="N439" s="731"/>
      <c r="O439" s="731"/>
      <c r="P439" s="731"/>
      <c r="Q439" s="731"/>
      <c r="R439" s="731"/>
      <c r="S439" s="731"/>
      <c r="T439" s="731"/>
      <c r="U439" s="731"/>
      <c r="V439" s="731"/>
      <c r="W439" s="731"/>
      <c r="X439" s="731"/>
      <c r="Y439" s="731"/>
      <c r="Z439" s="731"/>
    </row>
    <row r="440" spans="10:26" s="1927" customFormat="1" ht="21.75" customHeight="1">
      <c r="J440" s="731"/>
      <c r="K440" s="731"/>
      <c r="L440" s="731"/>
      <c r="M440" s="731"/>
      <c r="N440" s="731"/>
      <c r="O440" s="731"/>
      <c r="P440" s="731"/>
      <c r="Q440" s="731"/>
      <c r="R440" s="731"/>
      <c r="S440" s="731"/>
      <c r="T440" s="731"/>
      <c r="U440" s="731"/>
      <c r="V440" s="731"/>
      <c r="W440" s="731"/>
      <c r="X440" s="731"/>
      <c r="Y440" s="731"/>
      <c r="Z440" s="731"/>
    </row>
    <row r="441" spans="10:26" s="1927" customFormat="1" ht="21.75" customHeight="1">
      <c r="J441" s="731"/>
      <c r="K441" s="731"/>
      <c r="L441" s="731"/>
      <c r="M441" s="731"/>
      <c r="N441" s="731"/>
      <c r="O441" s="731"/>
      <c r="P441" s="731"/>
      <c r="Q441" s="731"/>
      <c r="R441" s="731"/>
      <c r="S441" s="731"/>
      <c r="T441" s="731"/>
      <c r="U441" s="731"/>
      <c r="V441" s="731"/>
      <c r="W441" s="731"/>
      <c r="X441" s="731"/>
      <c r="Y441" s="731"/>
      <c r="Z441" s="731"/>
    </row>
    <row r="442" spans="10:26" s="1927" customFormat="1" ht="21.75" customHeight="1">
      <c r="J442" s="731"/>
      <c r="K442" s="731"/>
      <c r="L442" s="731"/>
      <c r="M442" s="731"/>
      <c r="N442" s="731"/>
      <c r="O442" s="731"/>
      <c r="P442" s="731"/>
      <c r="Q442" s="731"/>
      <c r="R442" s="731"/>
      <c r="S442" s="731"/>
      <c r="T442" s="731"/>
      <c r="U442" s="731"/>
      <c r="V442" s="731"/>
      <c r="W442" s="731"/>
      <c r="X442" s="731"/>
      <c r="Y442" s="731"/>
      <c r="Z442" s="731"/>
    </row>
    <row r="443" spans="10:26" s="1927" customFormat="1" ht="21.75" customHeight="1">
      <c r="J443" s="731"/>
      <c r="K443" s="731"/>
      <c r="L443" s="731"/>
      <c r="M443" s="731"/>
      <c r="N443" s="731"/>
      <c r="O443" s="731"/>
      <c r="P443" s="731"/>
      <c r="Q443" s="731"/>
      <c r="R443" s="731"/>
      <c r="S443" s="731"/>
      <c r="T443" s="731"/>
      <c r="U443" s="731"/>
      <c r="V443" s="731"/>
      <c r="W443" s="731"/>
      <c r="X443" s="731"/>
      <c r="Y443" s="731"/>
      <c r="Z443" s="731"/>
    </row>
    <row r="444" spans="10:26" s="1927" customFormat="1" ht="21.75" customHeight="1">
      <c r="J444" s="731"/>
      <c r="K444" s="731"/>
      <c r="L444" s="731"/>
      <c r="M444" s="731"/>
      <c r="N444" s="731"/>
      <c r="O444" s="731"/>
      <c r="P444" s="731"/>
      <c r="Q444" s="731"/>
      <c r="R444" s="731"/>
      <c r="S444" s="731"/>
      <c r="T444" s="731"/>
      <c r="U444" s="731"/>
      <c r="V444" s="731"/>
      <c r="W444" s="731"/>
      <c r="X444" s="731"/>
      <c r="Y444" s="731"/>
      <c r="Z444" s="731"/>
    </row>
    <row r="445" spans="10:26" s="1927" customFormat="1" ht="21.75" customHeight="1">
      <c r="J445" s="731"/>
      <c r="K445" s="731"/>
      <c r="L445" s="731"/>
      <c r="M445" s="731"/>
      <c r="N445" s="731"/>
      <c r="O445" s="731"/>
      <c r="P445" s="731"/>
      <c r="Q445" s="731"/>
      <c r="R445" s="731"/>
      <c r="S445" s="731"/>
      <c r="T445" s="731"/>
      <c r="U445" s="731"/>
      <c r="V445" s="731"/>
      <c r="W445" s="731"/>
      <c r="X445" s="731"/>
      <c r="Y445" s="731"/>
      <c r="Z445" s="731"/>
    </row>
    <row r="446" spans="10:26" s="1927" customFormat="1" ht="21.75" customHeight="1">
      <c r="J446" s="731"/>
      <c r="K446" s="731"/>
      <c r="L446" s="731"/>
      <c r="M446" s="731"/>
      <c r="N446" s="731"/>
      <c r="O446" s="731"/>
      <c r="P446" s="731"/>
      <c r="Q446" s="731"/>
      <c r="R446" s="731"/>
      <c r="S446" s="731"/>
      <c r="T446" s="731"/>
      <c r="U446" s="731"/>
      <c r="V446" s="731"/>
      <c r="W446" s="731"/>
      <c r="X446" s="731"/>
      <c r="Y446" s="731"/>
      <c r="Z446" s="731"/>
    </row>
    <row r="447" spans="10:26" s="1927" customFormat="1" ht="21.75" customHeight="1">
      <c r="J447" s="731"/>
      <c r="K447" s="731"/>
      <c r="L447" s="731"/>
      <c r="M447" s="731"/>
      <c r="N447" s="731"/>
      <c r="O447" s="731"/>
      <c r="P447" s="731"/>
      <c r="Q447" s="731"/>
      <c r="R447" s="731"/>
      <c r="S447" s="731"/>
      <c r="T447" s="731"/>
      <c r="U447" s="731"/>
      <c r="V447" s="731"/>
      <c r="W447" s="731"/>
      <c r="X447" s="731"/>
      <c r="Y447" s="731"/>
      <c r="Z447" s="731"/>
    </row>
    <row r="448" spans="10:26" s="1927" customFormat="1" ht="21.75" customHeight="1">
      <c r="J448" s="731"/>
      <c r="K448" s="731"/>
      <c r="L448" s="731"/>
      <c r="M448" s="731"/>
      <c r="N448" s="731"/>
      <c r="O448" s="731"/>
      <c r="P448" s="731"/>
      <c r="Q448" s="731"/>
      <c r="R448" s="731"/>
      <c r="S448" s="731"/>
      <c r="T448" s="731"/>
      <c r="U448" s="731"/>
      <c r="V448" s="731"/>
      <c r="W448" s="731"/>
      <c r="X448" s="731"/>
      <c r="Y448" s="731"/>
      <c r="Z448" s="731"/>
    </row>
    <row r="449" spans="10:26" s="1927" customFormat="1" ht="21.75" customHeight="1">
      <c r="J449" s="731"/>
      <c r="K449" s="731"/>
      <c r="L449" s="731"/>
      <c r="M449" s="731"/>
      <c r="N449" s="731"/>
      <c r="O449" s="731"/>
      <c r="P449" s="731"/>
      <c r="Q449" s="731"/>
      <c r="R449" s="731"/>
      <c r="S449" s="731"/>
      <c r="T449" s="731"/>
      <c r="U449" s="731"/>
      <c r="V449" s="731"/>
      <c r="W449" s="731"/>
      <c r="X449" s="731"/>
      <c r="Y449" s="731"/>
      <c r="Z449" s="731"/>
    </row>
    <row r="450" spans="10:26" s="1927" customFormat="1" ht="21.75" customHeight="1">
      <c r="J450" s="731"/>
      <c r="K450" s="731"/>
      <c r="L450" s="731"/>
      <c r="M450" s="731"/>
      <c r="N450" s="731"/>
      <c r="O450" s="731"/>
      <c r="P450" s="731"/>
      <c r="Q450" s="731"/>
      <c r="R450" s="731"/>
      <c r="S450" s="731"/>
      <c r="T450" s="731"/>
      <c r="U450" s="731"/>
      <c r="V450" s="731"/>
      <c r="W450" s="731"/>
      <c r="X450" s="731"/>
      <c r="Y450" s="731"/>
      <c r="Z450" s="731"/>
    </row>
    <row r="451" spans="10:26" s="1927" customFormat="1" ht="21.75" customHeight="1">
      <c r="J451" s="731"/>
      <c r="K451" s="731"/>
      <c r="L451" s="731"/>
      <c r="M451" s="731"/>
      <c r="N451" s="731"/>
      <c r="O451" s="731"/>
      <c r="P451" s="731"/>
      <c r="Q451" s="731"/>
      <c r="R451" s="731"/>
      <c r="S451" s="731"/>
      <c r="T451" s="731"/>
      <c r="U451" s="731"/>
      <c r="V451" s="731"/>
      <c r="W451" s="731"/>
      <c r="X451" s="731"/>
      <c r="Y451" s="731"/>
      <c r="Z451" s="731"/>
    </row>
    <row r="452" spans="10:26" s="1927" customFormat="1" ht="21.75" customHeight="1">
      <c r="J452" s="731"/>
      <c r="K452" s="731"/>
      <c r="L452" s="731"/>
      <c r="M452" s="731"/>
      <c r="N452" s="731"/>
      <c r="O452" s="731"/>
      <c r="P452" s="731"/>
      <c r="Q452" s="731"/>
      <c r="R452" s="731"/>
      <c r="S452" s="731"/>
      <c r="T452" s="731"/>
      <c r="U452" s="731"/>
      <c r="V452" s="731"/>
      <c r="W452" s="731"/>
      <c r="X452" s="731"/>
      <c r="Y452" s="731"/>
      <c r="Z452" s="731"/>
    </row>
    <row r="453" spans="10:26" s="1927" customFormat="1" ht="21.75" customHeight="1">
      <c r="J453" s="731"/>
      <c r="K453" s="731"/>
      <c r="L453" s="731"/>
      <c r="M453" s="731"/>
      <c r="N453" s="731"/>
      <c r="O453" s="731"/>
      <c r="P453" s="731"/>
      <c r="Q453" s="731"/>
      <c r="R453" s="731"/>
      <c r="S453" s="731"/>
      <c r="T453" s="731"/>
      <c r="U453" s="731"/>
      <c r="V453" s="731"/>
      <c r="W453" s="731"/>
      <c r="X453" s="731"/>
      <c r="Y453" s="731"/>
      <c r="Z453" s="731"/>
    </row>
    <row r="454" spans="10:26" s="1927" customFormat="1" ht="21.75" customHeight="1">
      <c r="J454" s="731"/>
      <c r="K454" s="731"/>
      <c r="L454" s="731"/>
      <c r="M454" s="731"/>
      <c r="N454" s="731"/>
      <c r="O454" s="731"/>
      <c r="P454" s="731"/>
      <c r="Q454" s="731"/>
      <c r="R454" s="731"/>
      <c r="S454" s="731"/>
      <c r="T454" s="731"/>
      <c r="U454" s="731"/>
      <c r="V454" s="731"/>
      <c r="W454" s="731"/>
      <c r="X454" s="731"/>
      <c r="Y454" s="731"/>
      <c r="Z454" s="731"/>
    </row>
    <row r="455" spans="10:26" s="1927" customFormat="1" ht="21.75" customHeight="1">
      <c r="J455" s="731"/>
      <c r="K455" s="731"/>
      <c r="L455" s="731"/>
      <c r="M455" s="731"/>
      <c r="N455" s="731"/>
      <c r="O455" s="731"/>
      <c r="P455" s="731"/>
      <c r="Q455" s="731"/>
      <c r="R455" s="731"/>
      <c r="S455" s="731"/>
      <c r="T455" s="731"/>
      <c r="U455" s="731"/>
      <c r="V455" s="731"/>
      <c r="W455" s="731"/>
      <c r="X455" s="731"/>
      <c r="Y455" s="731"/>
      <c r="Z455" s="731"/>
    </row>
    <row r="456" spans="10:26" s="1927" customFormat="1" ht="21.75" customHeight="1">
      <c r="J456" s="731"/>
      <c r="K456" s="731"/>
      <c r="L456" s="731"/>
      <c r="M456" s="731"/>
      <c r="N456" s="731"/>
      <c r="O456" s="731"/>
      <c r="P456" s="731"/>
      <c r="Q456" s="731"/>
      <c r="R456" s="731"/>
      <c r="S456" s="731"/>
      <c r="T456" s="731"/>
      <c r="U456" s="731"/>
      <c r="V456" s="731"/>
      <c r="W456" s="731"/>
      <c r="X456" s="731"/>
      <c r="Y456" s="731"/>
      <c r="Z456" s="731"/>
    </row>
    <row r="457" spans="10:26" s="1927" customFormat="1" ht="21.75" customHeight="1">
      <c r="J457" s="731"/>
      <c r="K457" s="731"/>
      <c r="L457" s="731"/>
      <c r="M457" s="731"/>
      <c r="N457" s="731"/>
      <c r="O457" s="731"/>
      <c r="P457" s="731"/>
      <c r="Q457" s="731"/>
      <c r="R457" s="731"/>
      <c r="S457" s="731"/>
      <c r="T457" s="731"/>
      <c r="U457" s="731"/>
      <c r="V457" s="731"/>
      <c r="W457" s="731"/>
      <c r="X457" s="731"/>
      <c r="Y457" s="731"/>
      <c r="Z457" s="731"/>
    </row>
    <row r="458" spans="10:26" s="1927" customFormat="1" ht="21.75" customHeight="1">
      <c r="J458" s="731"/>
      <c r="K458" s="731"/>
      <c r="L458" s="731"/>
      <c r="M458" s="731"/>
      <c r="N458" s="731"/>
      <c r="O458" s="731"/>
      <c r="P458" s="731"/>
      <c r="Q458" s="731"/>
      <c r="R458" s="731"/>
      <c r="S458" s="731"/>
      <c r="T458" s="731"/>
      <c r="U458" s="731"/>
      <c r="V458" s="731"/>
      <c r="W458" s="731"/>
      <c r="X458" s="731"/>
      <c r="Y458" s="731"/>
      <c r="Z458" s="731"/>
    </row>
    <row r="459" spans="10:26" s="1927" customFormat="1" ht="21.75" customHeight="1">
      <c r="J459" s="731"/>
      <c r="K459" s="731"/>
      <c r="L459" s="731"/>
      <c r="M459" s="731"/>
      <c r="N459" s="731"/>
      <c r="O459" s="731"/>
      <c r="P459" s="731"/>
      <c r="Q459" s="731"/>
      <c r="R459" s="731"/>
      <c r="S459" s="731"/>
      <c r="T459" s="731"/>
      <c r="U459" s="731"/>
      <c r="V459" s="731"/>
      <c r="W459" s="731"/>
      <c r="X459" s="731"/>
      <c r="Y459" s="731"/>
      <c r="Z459" s="731"/>
    </row>
    <row r="460" spans="10:26" s="1927" customFormat="1" ht="21.75" customHeight="1">
      <c r="J460" s="731"/>
      <c r="K460" s="731"/>
      <c r="L460" s="731"/>
      <c r="M460" s="731"/>
      <c r="N460" s="731"/>
      <c r="O460" s="731"/>
      <c r="P460" s="731"/>
      <c r="Q460" s="731"/>
      <c r="R460" s="731"/>
      <c r="S460" s="731"/>
      <c r="T460" s="731"/>
      <c r="U460" s="731"/>
      <c r="V460" s="731"/>
      <c r="W460" s="731"/>
      <c r="X460" s="731"/>
      <c r="Y460" s="731"/>
      <c r="Z460" s="731"/>
    </row>
    <row r="461" spans="10:26" s="1927" customFormat="1" ht="21.75" customHeight="1">
      <c r="J461" s="731"/>
      <c r="K461" s="731"/>
      <c r="L461" s="731"/>
      <c r="M461" s="731"/>
      <c r="N461" s="731"/>
      <c r="O461" s="731"/>
      <c r="P461" s="731"/>
      <c r="Q461" s="731"/>
      <c r="R461" s="731"/>
      <c r="S461" s="731"/>
      <c r="T461" s="731"/>
      <c r="U461" s="731"/>
      <c r="V461" s="731"/>
      <c r="W461" s="731"/>
      <c r="X461" s="731"/>
      <c r="Y461" s="731"/>
      <c r="Z461" s="731"/>
    </row>
    <row r="462" spans="10:26" s="1927" customFormat="1" ht="21.75" customHeight="1">
      <c r="J462" s="731"/>
      <c r="K462" s="731"/>
      <c r="L462" s="731"/>
      <c r="M462" s="731"/>
      <c r="N462" s="731"/>
      <c r="O462" s="731"/>
      <c r="P462" s="731"/>
      <c r="Q462" s="731"/>
      <c r="R462" s="731"/>
      <c r="S462" s="731"/>
      <c r="T462" s="731"/>
      <c r="U462" s="731"/>
      <c r="V462" s="731"/>
      <c r="W462" s="731"/>
      <c r="X462" s="731"/>
      <c r="Y462" s="731"/>
      <c r="Z462" s="731"/>
    </row>
    <row r="463" spans="10:26" s="1927" customFormat="1" ht="21.75" customHeight="1">
      <c r="J463" s="731"/>
      <c r="K463" s="731"/>
      <c r="L463" s="731"/>
      <c r="M463" s="731"/>
      <c r="N463" s="731"/>
      <c r="O463" s="731"/>
      <c r="P463" s="731"/>
      <c r="Q463" s="731"/>
      <c r="R463" s="731"/>
      <c r="S463" s="731"/>
      <c r="T463" s="731"/>
      <c r="U463" s="731"/>
      <c r="V463" s="731"/>
      <c r="W463" s="731"/>
      <c r="X463" s="731"/>
      <c r="Y463" s="731"/>
      <c r="Z463" s="731"/>
    </row>
    <row r="464" spans="10:26" s="1927" customFormat="1" ht="21.75" customHeight="1">
      <c r="J464" s="731"/>
      <c r="K464" s="731"/>
      <c r="L464" s="731"/>
      <c r="M464" s="731"/>
      <c r="N464" s="731"/>
      <c r="O464" s="731"/>
      <c r="P464" s="731"/>
      <c r="Q464" s="731"/>
      <c r="R464" s="731"/>
      <c r="S464" s="731"/>
      <c r="T464" s="731"/>
      <c r="U464" s="731"/>
      <c r="V464" s="731"/>
      <c r="W464" s="731"/>
      <c r="X464" s="731"/>
      <c r="Y464" s="731"/>
      <c r="Z464" s="731"/>
    </row>
    <row r="465" spans="10:26" s="1927" customFormat="1" ht="21.75" customHeight="1">
      <c r="J465" s="731"/>
      <c r="K465" s="731"/>
      <c r="L465" s="731"/>
      <c r="M465" s="731"/>
      <c r="N465" s="731"/>
      <c r="O465" s="731"/>
      <c r="P465" s="731"/>
      <c r="Q465" s="731"/>
      <c r="R465" s="731"/>
      <c r="S465" s="731"/>
      <c r="T465" s="731"/>
      <c r="U465" s="731"/>
      <c r="V465" s="731"/>
      <c r="W465" s="731"/>
      <c r="X465" s="731"/>
      <c r="Y465" s="731"/>
      <c r="Z465" s="731"/>
    </row>
    <row r="466" spans="10:26" s="1927" customFormat="1" ht="21.75" customHeight="1">
      <c r="J466" s="731"/>
      <c r="K466" s="731"/>
      <c r="L466" s="731"/>
      <c r="M466" s="731"/>
      <c r="N466" s="731"/>
      <c r="O466" s="731"/>
      <c r="P466" s="731"/>
      <c r="Q466" s="731"/>
      <c r="R466" s="731"/>
      <c r="S466" s="731"/>
      <c r="T466" s="731"/>
      <c r="U466" s="731"/>
      <c r="V466" s="731"/>
      <c r="W466" s="731"/>
      <c r="X466" s="731"/>
      <c r="Y466" s="731"/>
      <c r="Z466" s="731"/>
    </row>
    <row r="467" spans="10:26" s="1927" customFormat="1" ht="21.75" customHeight="1">
      <c r="J467" s="731"/>
      <c r="K467" s="731"/>
      <c r="L467" s="731"/>
      <c r="M467" s="731"/>
      <c r="N467" s="731"/>
      <c r="O467" s="731"/>
      <c r="P467" s="731"/>
      <c r="Q467" s="731"/>
      <c r="R467" s="731"/>
      <c r="S467" s="731"/>
      <c r="T467" s="731"/>
      <c r="U467" s="731"/>
      <c r="V467" s="731"/>
      <c r="W467" s="731"/>
      <c r="X467" s="731"/>
      <c r="Y467" s="731"/>
      <c r="Z467" s="731"/>
    </row>
    <row r="468" spans="10:26" s="1927" customFormat="1" ht="21.75" customHeight="1">
      <c r="J468" s="731"/>
      <c r="K468" s="731"/>
      <c r="L468" s="731"/>
      <c r="M468" s="731"/>
      <c r="N468" s="731"/>
      <c r="O468" s="731"/>
      <c r="P468" s="731"/>
      <c r="Q468" s="731"/>
      <c r="R468" s="731"/>
      <c r="S468" s="731"/>
      <c r="T468" s="731"/>
      <c r="U468" s="731"/>
      <c r="V468" s="731"/>
      <c r="W468" s="731"/>
      <c r="X468" s="731"/>
      <c r="Y468" s="731"/>
      <c r="Z468" s="731"/>
    </row>
    <row r="469" spans="10:26" s="1927" customFormat="1" ht="21.75" customHeight="1">
      <c r="J469" s="731"/>
      <c r="K469" s="731"/>
      <c r="L469" s="731"/>
      <c r="M469" s="731"/>
      <c r="N469" s="731"/>
      <c r="O469" s="731"/>
      <c r="P469" s="731"/>
      <c r="Q469" s="731"/>
      <c r="R469" s="731"/>
      <c r="S469" s="731"/>
      <c r="T469" s="731"/>
      <c r="U469" s="731"/>
      <c r="V469" s="731"/>
      <c r="W469" s="731"/>
      <c r="X469" s="731"/>
      <c r="Y469" s="731"/>
      <c r="Z469" s="731"/>
    </row>
    <row r="470" spans="10:26" s="1927" customFormat="1" ht="21.75" customHeight="1">
      <c r="J470" s="731"/>
      <c r="K470" s="731"/>
      <c r="L470" s="731"/>
      <c r="M470" s="731"/>
      <c r="N470" s="731"/>
      <c r="O470" s="731"/>
      <c r="P470" s="731"/>
      <c r="Q470" s="731"/>
      <c r="R470" s="731"/>
      <c r="S470" s="731"/>
      <c r="T470" s="731"/>
      <c r="U470" s="731"/>
      <c r="V470" s="731"/>
      <c r="W470" s="731"/>
      <c r="X470" s="731"/>
      <c r="Y470" s="731"/>
      <c r="Z470" s="731"/>
    </row>
    <row r="471" spans="10:26" s="1927" customFormat="1" ht="21.75" customHeight="1">
      <c r="J471" s="731"/>
      <c r="K471" s="731"/>
      <c r="L471" s="731"/>
      <c r="M471" s="731"/>
      <c r="N471" s="731"/>
      <c r="O471" s="731"/>
      <c r="P471" s="731"/>
      <c r="Q471" s="731"/>
      <c r="R471" s="731"/>
      <c r="S471" s="731"/>
      <c r="T471" s="731"/>
      <c r="U471" s="731"/>
      <c r="V471" s="731"/>
      <c r="W471" s="731"/>
      <c r="X471" s="731"/>
      <c r="Y471" s="731"/>
      <c r="Z471" s="731"/>
    </row>
    <row r="472" spans="10:26" s="1927" customFormat="1" ht="21.75" customHeight="1">
      <c r="J472" s="731"/>
      <c r="K472" s="731"/>
      <c r="L472" s="731"/>
      <c r="M472" s="731"/>
      <c r="N472" s="731"/>
      <c r="O472" s="731"/>
      <c r="P472" s="731"/>
      <c r="Q472" s="731"/>
      <c r="R472" s="731"/>
      <c r="S472" s="731"/>
      <c r="T472" s="731"/>
      <c r="U472" s="731"/>
      <c r="V472" s="731"/>
      <c r="W472" s="731"/>
      <c r="X472" s="731"/>
      <c r="Y472" s="731"/>
      <c r="Z472" s="731"/>
    </row>
    <row r="473" spans="10:26" s="1927" customFormat="1" ht="21.75" customHeight="1">
      <c r="J473" s="731"/>
      <c r="K473" s="731"/>
      <c r="L473" s="731"/>
      <c r="M473" s="731"/>
      <c r="N473" s="731"/>
      <c r="O473" s="731"/>
      <c r="P473" s="731"/>
      <c r="Q473" s="731"/>
      <c r="R473" s="731"/>
      <c r="S473" s="731"/>
      <c r="T473" s="731"/>
      <c r="U473" s="731"/>
      <c r="V473" s="731"/>
      <c r="W473" s="731"/>
      <c r="X473" s="731"/>
      <c r="Y473" s="731"/>
      <c r="Z473" s="731"/>
    </row>
    <row r="474" spans="10:26" s="1927" customFormat="1" ht="21.75" customHeight="1">
      <c r="J474" s="731"/>
      <c r="K474" s="731"/>
      <c r="L474" s="731"/>
      <c r="M474" s="731"/>
      <c r="N474" s="731"/>
      <c r="O474" s="731"/>
      <c r="P474" s="731"/>
      <c r="Q474" s="731"/>
      <c r="R474" s="731"/>
      <c r="S474" s="731"/>
      <c r="T474" s="731"/>
      <c r="U474" s="731"/>
      <c r="V474" s="731"/>
      <c r="W474" s="731"/>
      <c r="X474" s="731"/>
      <c r="Y474" s="731"/>
      <c r="Z474" s="731"/>
    </row>
    <row r="475" spans="10:26" s="1927" customFormat="1" ht="21.75" customHeight="1">
      <c r="J475" s="731"/>
      <c r="K475" s="731"/>
      <c r="L475" s="731"/>
      <c r="M475" s="731"/>
      <c r="N475" s="731"/>
      <c r="O475" s="731"/>
      <c r="P475" s="731"/>
      <c r="Q475" s="731"/>
      <c r="R475" s="731"/>
      <c r="S475" s="731"/>
      <c r="T475" s="731"/>
      <c r="U475" s="731"/>
      <c r="V475" s="731"/>
      <c r="W475" s="731"/>
      <c r="X475" s="731"/>
      <c r="Y475" s="731"/>
      <c r="Z475" s="731"/>
    </row>
    <row r="476" spans="10:26" s="1927" customFormat="1" ht="21.75" customHeight="1">
      <c r="J476" s="731"/>
      <c r="K476" s="731"/>
      <c r="L476" s="731"/>
      <c r="M476" s="731"/>
      <c r="N476" s="731"/>
      <c r="O476" s="731"/>
      <c r="P476" s="731"/>
      <c r="Q476" s="731"/>
      <c r="R476" s="731"/>
      <c r="S476" s="731"/>
      <c r="T476" s="731"/>
      <c r="U476" s="731"/>
      <c r="V476" s="731"/>
      <c r="W476" s="731"/>
      <c r="X476" s="731"/>
      <c r="Y476" s="731"/>
      <c r="Z476" s="731"/>
    </row>
    <row r="477" spans="10:26" s="1927" customFormat="1" ht="21.75" customHeight="1">
      <c r="J477" s="731"/>
      <c r="K477" s="731"/>
      <c r="L477" s="731"/>
      <c r="M477" s="731"/>
      <c r="N477" s="731"/>
      <c r="O477" s="731"/>
      <c r="P477" s="731"/>
      <c r="Q477" s="731"/>
      <c r="R477" s="731"/>
      <c r="S477" s="731"/>
      <c r="T477" s="731"/>
      <c r="U477" s="731"/>
      <c r="V477" s="731"/>
      <c r="W477" s="731"/>
      <c r="X477" s="731"/>
      <c r="Y477" s="731"/>
      <c r="Z477" s="731"/>
    </row>
    <row r="478" spans="10:26" s="1927" customFormat="1" ht="21.75" customHeight="1">
      <c r="J478" s="731"/>
      <c r="K478" s="731"/>
      <c r="L478" s="731"/>
      <c r="M478" s="731"/>
      <c r="N478" s="731"/>
      <c r="O478" s="731"/>
      <c r="P478" s="731"/>
      <c r="Q478" s="731"/>
      <c r="R478" s="731"/>
      <c r="S478" s="731"/>
      <c r="T478" s="731"/>
      <c r="U478" s="731"/>
      <c r="V478" s="731"/>
      <c r="W478" s="731"/>
      <c r="X478" s="731"/>
      <c r="Y478" s="731"/>
      <c r="Z478" s="731"/>
    </row>
    <row r="479" spans="10:26" s="1927" customFormat="1" ht="21.75" customHeight="1">
      <c r="J479" s="731"/>
      <c r="K479" s="731"/>
      <c r="L479" s="731"/>
      <c r="M479" s="731"/>
      <c r="N479" s="731"/>
      <c r="O479" s="731"/>
      <c r="P479" s="731"/>
      <c r="Q479" s="731"/>
      <c r="R479" s="731"/>
      <c r="S479" s="731"/>
      <c r="T479" s="731"/>
      <c r="U479" s="731"/>
      <c r="V479" s="731"/>
      <c r="W479" s="731"/>
      <c r="X479" s="731"/>
      <c r="Y479" s="731"/>
      <c r="Z479" s="731"/>
    </row>
    <row r="480" spans="10:26" s="1927" customFormat="1" ht="21.75" customHeight="1">
      <c r="J480" s="731"/>
      <c r="K480" s="731"/>
      <c r="L480" s="731"/>
      <c r="M480" s="731"/>
      <c r="N480" s="731"/>
      <c r="O480" s="731"/>
      <c r="P480" s="731"/>
      <c r="Q480" s="731"/>
      <c r="R480" s="731"/>
      <c r="S480" s="731"/>
      <c r="T480" s="731"/>
      <c r="U480" s="731"/>
      <c r="V480" s="731"/>
      <c r="W480" s="731"/>
      <c r="X480" s="731"/>
      <c r="Y480" s="731"/>
      <c r="Z480" s="731"/>
    </row>
    <row r="481" spans="10:26" s="1927" customFormat="1" ht="21.75" customHeight="1">
      <c r="J481" s="731"/>
      <c r="K481" s="731"/>
      <c r="L481" s="731"/>
      <c r="M481" s="731"/>
      <c r="N481" s="731"/>
      <c r="O481" s="731"/>
      <c r="P481" s="731"/>
      <c r="Q481" s="731"/>
      <c r="R481" s="731"/>
      <c r="S481" s="731"/>
      <c r="T481" s="731"/>
      <c r="U481" s="731"/>
      <c r="V481" s="731"/>
      <c r="W481" s="731"/>
      <c r="X481" s="731"/>
      <c r="Y481" s="731"/>
      <c r="Z481" s="731"/>
    </row>
    <row r="482" spans="10:26" s="1927" customFormat="1" ht="21.75" customHeight="1">
      <c r="J482" s="731"/>
      <c r="K482" s="731"/>
      <c r="L482" s="731"/>
      <c r="M482" s="731"/>
      <c r="N482" s="731"/>
      <c r="O482" s="731"/>
      <c r="P482" s="731"/>
      <c r="Q482" s="731"/>
      <c r="R482" s="731"/>
      <c r="S482" s="731"/>
      <c r="T482" s="731"/>
      <c r="U482" s="731"/>
      <c r="V482" s="731"/>
      <c r="W482" s="731"/>
      <c r="X482" s="731"/>
      <c r="Y482" s="731"/>
      <c r="Z482" s="731"/>
    </row>
    <row r="483" spans="10:26" s="1927" customFormat="1" ht="21.75" customHeight="1">
      <c r="J483" s="731"/>
      <c r="K483" s="731"/>
      <c r="L483" s="731"/>
      <c r="M483" s="731"/>
      <c r="N483" s="731"/>
      <c r="O483" s="731"/>
      <c r="P483" s="731"/>
      <c r="Q483" s="731"/>
      <c r="R483" s="731"/>
      <c r="S483" s="731"/>
      <c r="T483" s="731"/>
      <c r="U483" s="731"/>
      <c r="V483" s="731"/>
      <c r="W483" s="731"/>
      <c r="X483" s="731"/>
      <c r="Y483" s="731"/>
      <c r="Z483" s="731"/>
    </row>
    <row r="484" spans="10:26" s="1927" customFormat="1" ht="21.75" customHeight="1">
      <c r="J484" s="731"/>
      <c r="K484" s="731"/>
      <c r="L484" s="731"/>
      <c r="M484" s="731"/>
      <c r="N484" s="731"/>
      <c r="O484" s="731"/>
      <c r="P484" s="731"/>
      <c r="Q484" s="731"/>
      <c r="R484" s="731"/>
      <c r="S484" s="731"/>
      <c r="T484" s="731"/>
      <c r="U484" s="731"/>
      <c r="V484" s="731"/>
      <c r="W484" s="731"/>
      <c r="X484" s="731"/>
      <c r="Y484" s="731"/>
      <c r="Z484" s="731"/>
    </row>
    <row r="485" spans="10:26" s="1927" customFormat="1" ht="21.75" customHeight="1">
      <c r="J485" s="731"/>
      <c r="K485" s="731"/>
      <c r="L485" s="731"/>
      <c r="M485" s="731"/>
      <c r="N485" s="731"/>
      <c r="O485" s="731"/>
      <c r="P485" s="731"/>
      <c r="Q485" s="731"/>
      <c r="R485" s="731"/>
      <c r="S485" s="731"/>
      <c r="T485" s="731"/>
      <c r="U485" s="731"/>
      <c r="V485" s="731"/>
      <c r="W485" s="731"/>
      <c r="X485" s="731"/>
      <c r="Y485" s="731"/>
      <c r="Z485" s="731"/>
    </row>
    <row r="486" spans="10:26" s="1927" customFormat="1" ht="21.75" customHeight="1">
      <c r="J486" s="731"/>
      <c r="K486" s="731"/>
      <c r="L486" s="731"/>
      <c r="M486" s="731"/>
      <c r="N486" s="731"/>
      <c r="O486" s="731"/>
      <c r="P486" s="731"/>
      <c r="Q486" s="731"/>
      <c r="R486" s="731"/>
      <c r="S486" s="731"/>
      <c r="T486" s="731"/>
      <c r="U486" s="731"/>
      <c r="V486" s="731"/>
      <c r="W486" s="731"/>
      <c r="X486" s="731"/>
      <c r="Y486" s="731"/>
      <c r="Z486" s="731"/>
    </row>
    <row r="487" spans="10:26" s="1927" customFormat="1" ht="21.75" customHeight="1">
      <c r="J487" s="731"/>
      <c r="K487" s="731"/>
      <c r="L487" s="731"/>
      <c r="M487" s="731"/>
      <c r="N487" s="731"/>
      <c r="O487" s="731"/>
      <c r="P487" s="731"/>
      <c r="Q487" s="731"/>
      <c r="R487" s="731"/>
      <c r="S487" s="731"/>
      <c r="T487" s="731"/>
      <c r="U487" s="731"/>
      <c r="V487" s="731"/>
      <c r="W487" s="731"/>
      <c r="X487" s="731"/>
      <c r="Y487" s="731"/>
      <c r="Z487" s="731"/>
    </row>
    <row r="488" spans="10:26" s="1927" customFormat="1" ht="21.75" customHeight="1">
      <c r="J488" s="731"/>
      <c r="K488" s="731"/>
      <c r="L488" s="731"/>
      <c r="M488" s="731"/>
      <c r="N488" s="731"/>
      <c r="O488" s="731"/>
      <c r="P488" s="731"/>
      <c r="Q488" s="731"/>
      <c r="R488" s="731"/>
      <c r="S488" s="731"/>
      <c r="T488" s="731"/>
      <c r="U488" s="731"/>
      <c r="V488" s="731"/>
      <c r="W488" s="731"/>
      <c r="X488" s="731"/>
      <c r="Y488" s="731"/>
      <c r="Z488" s="731"/>
    </row>
    <row r="489" spans="10:26" s="1927" customFormat="1" ht="21.75" customHeight="1">
      <c r="J489" s="731"/>
      <c r="K489" s="731"/>
      <c r="L489" s="731"/>
      <c r="M489" s="731"/>
      <c r="N489" s="731"/>
      <c r="O489" s="731"/>
      <c r="P489" s="731"/>
      <c r="Q489" s="731"/>
      <c r="R489" s="731"/>
      <c r="S489" s="731"/>
      <c r="T489" s="731"/>
      <c r="U489" s="731"/>
      <c r="V489" s="731"/>
      <c r="W489" s="731"/>
      <c r="X489" s="731"/>
      <c r="Y489" s="731"/>
      <c r="Z489" s="731"/>
    </row>
    <row r="490" spans="10:26" s="1927" customFormat="1" ht="21.75" customHeight="1">
      <c r="J490" s="731"/>
      <c r="K490" s="731"/>
      <c r="L490" s="731"/>
      <c r="M490" s="731"/>
      <c r="N490" s="731"/>
      <c r="O490" s="731"/>
      <c r="P490" s="731"/>
      <c r="Q490" s="731"/>
      <c r="R490" s="731"/>
      <c r="S490" s="731"/>
      <c r="T490" s="731"/>
      <c r="U490" s="731"/>
      <c r="V490" s="731"/>
      <c r="W490" s="731"/>
      <c r="X490" s="731"/>
      <c r="Y490" s="731"/>
      <c r="Z490" s="731"/>
    </row>
    <row r="491" spans="10:26" s="1927" customFormat="1" ht="21.75" customHeight="1">
      <c r="J491" s="731"/>
      <c r="K491" s="731"/>
      <c r="L491" s="731"/>
      <c r="M491" s="731"/>
      <c r="N491" s="731"/>
      <c r="O491" s="731"/>
      <c r="P491" s="731"/>
      <c r="Q491" s="731"/>
      <c r="R491" s="731"/>
      <c r="S491" s="731"/>
      <c r="T491" s="731"/>
      <c r="U491" s="731"/>
      <c r="V491" s="731"/>
      <c r="W491" s="731"/>
      <c r="X491" s="731"/>
      <c r="Y491" s="731"/>
      <c r="Z491" s="731"/>
    </row>
    <row r="492" spans="10:26" s="1927" customFormat="1" ht="21.75" customHeight="1">
      <c r="J492" s="731"/>
      <c r="K492" s="731"/>
      <c r="L492" s="731"/>
      <c r="M492" s="731"/>
      <c r="N492" s="731"/>
      <c r="O492" s="731"/>
      <c r="P492" s="731"/>
      <c r="Q492" s="731"/>
      <c r="R492" s="731"/>
      <c r="S492" s="731"/>
      <c r="T492" s="731"/>
      <c r="U492" s="731"/>
      <c r="V492" s="731"/>
      <c r="W492" s="731"/>
      <c r="X492" s="731"/>
      <c r="Y492" s="731"/>
      <c r="Z492" s="731"/>
    </row>
    <row r="493" spans="10:26" s="1927" customFormat="1" ht="21.75" customHeight="1">
      <c r="J493" s="731"/>
      <c r="K493" s="731"/>
      <c r="L493" s="731"/>
      <c r="M493" s="731"/>
      <c r="N493" s="731"/>
      <c r="O493" s="731"/>
      <c r="P493" s="731"/>
      <c r="Q493" s="731"/>
      <c r="R493" s="731"/>
      <c r="S493" s="731"/>
      <c r="T493" s="731"/>
      <c r="U493" s="731"/>
      <c r="V493" s="731"/>
      <c r="W493" s="731"/>
      <c r="X493" s="731"/>
      <c r="Y493" s="731"/>
      <c r="Z493" s="731"/>
    </row>
    <row r="494" spans="10:26" s="1927" customFormat="1" ht="21.75" customHeight="1">
      <c r="J494" s="731"/>
      <c r="K494" s="731"/>
      <c r="L494" s="731"/>
      <c r="M494" s="731"/>
      <c r="N494" s="731"/>
      <c r="O494" s="731"/>
      <c r="P494" s="731"/>
      <c r="Q494" s="731"/>
      <c r="R494" s="731"/>
      <c r="S494" s="731"/>
      <c r="T494" s="731"/>
      <c r="U494" s="731"/>
      <c r="V494" s="731"/>
      <c r="W494" s="731"/>
      <c r="X494" s="731"/>
      <c r="Y494" s="731"/>
      <c r="Z494" s="731"/>
    </row>
    <row r="495" spans="10:26" s="1927" customFormat="1" ht="21.75" customHeight="1">
      <c r="J495" s="731"/>
      <c r="K495" s="731"/>
      <c r="L495" s="731"/>
      <c r="M495" s="731"/>
      <c r="N495" s="731"/>
      <c r="O495" s="731"/>
      <c r="P495" s="731"/>
      <c r="Q495" s="731"/>
      <c r="R495" s="731"/>
      <c r="S495" s="731"/>
      <c r="T495" s="731"/>
      <c r="U495" s="731"/>
      <c r="V495" s="731"/>
      <c r="W495" s="731"/>
      <c r="X495" s="731"/>
      <c r="Y495" s="731"/>
      <c r="Z495" s="731"/>
    </row>
    <row r="496" spans="10:26" s="1927" customFormat="1" ht="21.75" customHeight="1">
      <c r="J496" s="731"/>
      <c r="K496" s="731"/>
      <c r="L496" s="731"/>
      <c r="M496" s="731"/>
      <c r="N496" s="731"/>
      <c r="O496" s="731"/>
      <c r="P496" s="731"/>
      <c r="Q496" s="731"/>
      <c r="R496" s="731"/>
      <c r="S496" s="731"/>
      <c r="T496" s="731"/>
      <c r="U496" s="731"/>
      <c r="V496" s="731"/>
      <c r="W496" s="731"/>
      <c r="X496" s="731"/>
      <c r="Y496" s="731"/>
      <c r="Z496" s="731"/>
    </row>
    <row r="497" spans="10:26" s="1927" customFormat="1" ht="21.75" customHeight="1">
      <c r="J497" s="731"/>
      <c r="K497" s="731"/>
      <c r="L497" s="731"/>
      <c r="M497" s="731"/>
      <c r="N497" s="731"/>
      <c r="O497" s="731"/>
      <c r="P497" s="731"/>
      <c r="Q497" s="731"/>
      <c r="R497" s="731"/>
      <c r="S497" s="731"/>
      <c r="T497" s="731"/>
      <c r="U497" s="731"/>
      <c r="V497" s="731"/>
      <c r="W497" s="731"/>
      <c r="X497" s="731"/>
      <c r="Y497" s="731"/>
      <c r="Z497" s="731"/>
    </row>
    <row r="498" spans="10:26" s="1927" customFormat="1" ht="21.75" customHeight="1">
      <c r="J498" s="731"/>
      <c r="K498" s="731"/>
      <c r="L498" s="731"/>
      <c r="M498" s="731"/>
      <c r="N498" s="731"/>
      <c r="O498" s="731"/>
      <c r="P498" s="731"/>
      <c r="Q498" s="731"/>
      <c r="R498" s="731"/>
      <c r="S498" s="731"/>
      <c r="T498" s="731"/>
      <c r="U498" s="731"/>
      <c r="V498" s="731"/>
      <c r="W498" s="731"/>
      <c r="X498" s="731"/>
      <c r="Y498" s="731"/>
      <c r="Z498" s="731"/>
    </row>
    <row r="499" spans="10:26" s="1927" customFormat="1" ht="21.75" customHeight="1">
      <c r="J499" s="731"/>
      <c r="K499" s="731"/>
      <c r="L499" s="731"/>
      <c r="M499" s="731"/>
      <c r="N499" s="731"/>
      <c r="O499" s="731"/>
      <c r="P499" s="731"/>
      <c r="Q499" s="731"/>
      <c r="R499" s="731"/>
      <c r="S499" s="731"/>
      <c r="T499" s="731"/>
      <c r="U499" s="731"/>
      <c r="V499" s="731"/>
      <c r="W499" s="731"/>
      <c r="X499" s="731"/>
      <c r="Y499" s="731"/>
      <c r="Z499" s="731"/>
    </row>
    <row r="500" spans="10:26" s="1927" customFormat="1" ht="21.75" customHeight="1">
      <c r="J500" s="731"/>
      <c r="K500" s="731"/>
      <c r="L500" s="731"/>
      <c r="M500" s="731"/>
      <c r="N500" s="731"/>
      <c r="O500" s="731"/>
      <c r="P500" s="731"/>
      <c r="Q500" s="731"/>
      <c r="R500" s="731"/>
      <c r="S500" s="731"/>
      <c r="T500" s="731"/>
      <c r="U500" s="731"/>
      <c r="V500" s="731"/>
      <c r="W500" s="731"/>
      <c r="X500" s="731"/>
      <c r="Y500" s="731"/>
      <c r="Z500" s="731"/>
    </row>
    <row r="501" spans="10:26" s="1927" customFormat="1" ht="21.75" customHeight="1">
      <c r="J501" s="731"/>
      <c r="K501" s="731"/>
      <c r="L501" s="731"/>
      <c r="M501" s="731"/>
      <c r="N501" s="731"/>
      <c r="O501" s="731"/>
      <c r="P501" s="731"/>
      <c r="Q501" s="731"/>
      <c r="R501" s="731"/>
      <c r="S501" s="731"/>
      <c r="T501" s="731"/>
      <c r="U501" s="731"/>
      <c r="V501" s="731"/>
      <c r="W501" s="731"/>
      <c r="X501" s="731"/>
      <c r="Y501" s="731"/>
      <c r="Z501" s="731"/>
    </row>
    <row r="502" spans="10:26" s="1927" customFormat="1" ht="21.75" customHeight="1">
      <c r="J502" s="731"/>
      <c r="K502" s="731"/>
      <c r="L502" s="731"/>
      <c r="M502" s="731"/>
      <c r="N502" s="731"/>
      <c r="O502" s="731"/>
      <c r="P502" s="731"/>
      <c r="Q502" s="731"/>
      <c r="R502" s="731"/>
      <c r="S502" s="731"/>
      <c r="T502" s="731"/>
      <c r="U502" s="731"/>
      <c r="V502" s="731"/>
      <c r="W502" s="731"/>
      <c r="X502" s="731"/>
      <c r="Y502" s="731"/>
      <c r="Z502" s="731"/>
    </row>
    <row r="503" spans="10:26" s="1927" customFormat="1" ht="21.75" customHeight="1">
      <c r="J503" s="731"/>
      <c r="K503" s="731"/>
      <c r="L503" s="731"/>
      <c r="M503" s="731"/>
      <c r="N503" s="731"/>
      <c r="O503" s="731"/>
      <c r="P503" s="731"/>
      <c r="Q503" s="731"/>
      <c r="R503" s="731"/>
      <c r="S503" s="731"/>
      <c r="T503" s="731"/>
      <c r="U503" s="731"/>
      <c r="V503" s="731"/>
      <c r="W503" s="731"/>
      <c r="X503" s="731"/>
      <c r="Y503" s="731"/>
      <c r="Z503" s="731"/>
    </row>
    <row r="504" spans="10:26" s="1927" customFormat="1" ht="21.75" customHeight="1">
      <c r="J504" s="731"/>
      <c r="K504" s="731"/>
      <c r="L504" s="731"/>
      <c r="M504" s="731"/>
      <c r="N504" s="731"/>
      <c r="O504" s="731"/>
      <c r="P504" s="731"/>
      <c r="Q504" s="731"/>
      <c r="R504" s="731"/>
      <c r="S504" s="731"/>
      <c r="T504" s="731"/>
      <c r="U504" s="731"/>
      <c r="V504" s="731"/>
      <c r="W504" s="731"/>
      <c r="X504" s="731"/>
      <c r="Y504" s="731"/>
      <c r="Z504" s="731"/>
    </row>
    <row r="505" spans="10:26" s="1927" customFormat="1" ht="21.75" customHeight="1">
      <c r="J505" s="731"/>
      <c r="K505" s="731"/>
      <c r="L505" s="731"/>
      <c r="M505" s="731"/>
      <c r="N505" s="731"/>
      <c r="O505" s="731"/>
      <c r="P505" s="731"/>
      <c r="Q505" s="731"/>
      <c r="R505" s="731"/>
      <c r="S505" s="731"/>
      <c r="T505" s="731"/>
      <c r="U505" s="731"/>
      <c r="V505" s="731"/>
      <c r="W505" s="731"/>
      <c r="X505" s="731"/>
      <c r="Y505" s="731"/>
      <c r="Z505" s="731"/>
    </row>
    <row r="506" spans="10:26" s="1927" customFormat="1" ht="21.75" customHeight="1">
      <c r="J506" s="731"/>
      <c r="K506" s="731"/>
      <c r="L506" s="731"/>
      <c r="M506" s="731"/>
      <c r="N506" s="731"/>
      <c r="O506" s="731"/>
      <c r="P506" s="731"/>
      <c r="Q506" s="731"/>
      <c r="R506" s="731"/>
      <c r="S506" s="731"/>
      <c r="T506" s="731"/>
      <c r="U506" s="731"/>
      <c r="V506" s="731"/>
      <c r="W506" s="731"/>
      <c r="X506" s="731"/>
      <c r="Y506" s="731"/>
      <c r="Z506" s="731"/>
    </row>
    <row r="507" spans="10:26" s="1927" customFormat="1" ht="21.75" customHeight="1">
      <c r="J507" s="731"/>
      <c r="K507" s="731"/>
      <c r="L507" s="731"/>
      <c r="M507" s="731"/>
      <c r="N507" s="731"/>
      <c r="O507" s="731"/>
      <c r="P507" s="731"/>
      <c r="Q507" s="731"/>
      <c r="R507" s="731"/>
      <c r="S507" s="731"/>
      <c r="T507" s="731"/>
      <c r="U507" s="731"/>
      <c r="V507" s="731"/>
      <c r="W507" s="731"/>
      <c r="X507" s="731"/>
      <c r="Y507" s="731"/>
      <c r="Z507" s="731"/>
    </row>
    <row r="508" spans="10:26" s="1927" customFormat="1" ht="21.75" customHeight="1">
      <c r="J508" s="731"/>
      <c r="K508" s="731"/>
      <c r="L508" s="731"/>
      <c r="M508" s="731"/>
      <c r="N508" s="731"/>
      <c r="O508" s="731"/>
      <c r="P508" s="731"/>
      <c r="Q508" s="731"/>
      <c r="R508" s="731"/>
      <c r="S508" s="731"/>
      <c r="T508" s="731"/>
      <c r="U508" s="731"/>
      <c r="V508" s="731"/>
      <c r="W508" s="731"/>
      <c r="X508" s="731"/>
      <c r="Y508" s="731"/>
      <c r="Z508" s="731"/>
    </row>
    <row r="509" spans="10:26" s="1927" customFormat="1" ht="21.75" customHeight="1">
      <c r="J509" s="731"/>
      <c r="K509" s="731"/>
      <c r="L509" s="731"/>
      <c r="M509" s="731"/>
      <c r="N509" s="731"/>
      <c r="O509" s="731"/>
      <c r="P509" s="731"/>
      <c r="Q509" s="731"/>
      <c r="R509" s="731"/>
      <c r="S509" s="731"/>
      <c r="T509" s="731"/>
      <c r="U509" s="731"/>
      <c r="V509" s="731"/>
      <c r="W509" s="731"/>
      <c r="X509" s="731"/>
      <c r="Y509" s="731"/>
      <c r="Z509" s="731"/>
    </row>
    <row r="510" spans="10:26" s="1927" customFormat="1" ht="21.75" customHeight="1">
      <c r="J510" s="731"/>
      <c r="K510" s="731"/>
      <c r="L510" s="731"/>
      <c r="M510" s="731"/>
      <c r="N510" s="731"/>
      <c r="O510" s="731"/>
      <c r="P510" s="731"/>
      <c r="Q510" s="731"/>
      <c r="R510" s="731"/>
      <c r="S510" s="731"/>
      <c r="T510" s="731"/>
      <c r="U510" s="731"/>
      <c r="V510" s="731"/>
      <c r="W510" s="731"/>
      <c r="X510" s="731"/>
      <c r="Y510" s="731"/>
      <c r="Z510" s="731"/>
    </row>
    <row r="511" spans="10:26" s="1927" customFormat="1" ht="21.75" customHeight="1">
      <c r="J511" s="731"/>
      <c r="K511" s="731"/>
      <c r="L511" s="731"/>
      <c r="M511" s="731"/>
      <c r="N511" s="731"/>
      <c r="O511" s="731"/>
      <c r="P511" s="731"/>
      <c r="Q511" s="731"/>
      <c r="R511" s="731"/>
      <c r="S511" s="731"/>
      <c r="T511" s="731"/>
      <c r="U511" s="731"/>
      <c r="V511" s="731"/>
      <c r="W511" s="731"/>
      <c r="X511" s="731"/>
      <c r="Y511" s="731"/>
      <c r="Z511" s="731"/>
    </row>
    <row r="512" spans="10:26" s="1927" customFormat="1" ht="21.75" customHeight="1">
      <c r="J512" s="731"/>
      <c r="K512" s="731"/>
      <c r="L512" s="731"/>
      <c r="M512" s="731"/>
      <c r="N512" s="731"/>
      <c r="O512" s="731"/>
      <c r="P512" s="731"/>
      <c r="Q512" s="731"/>
      <c r="R512" s="731"/>
      <c r="S512" s="731"/>
      <c r="T512" s="731"/>
      <c r="U512" s="731"/>
      <c r="V512" s="731"/>
      <c r="W512" s="731"/>
      <c r="X512" s="731"/>
      <c r="Y512" s="731"/>
      <c r="Z512" s="731"/>
    </row>
  </sheetData>
  <sheetProtection password="CEE9" sheet="1" objects="1" scenarios="1" formatCells="0" formatColumns="0" formatRows="0"/>
  <mergeCells count="116">
    <mergeCell ref="E103:F103"/>
    <mergeCell ref="J45:O45"/>
    <mergeCell ref="K46:L46"/>
    <mergeCell ref="M46:O46"/>
    <mergeCell ref="K47:L47"/>
    <mergeCell ref="M47:O47"/>
    <mergeCell ref="K48:L48"/>
    <mergeCell ref="M48:O48"/>
    <mergeCell ref="M49:O49"/>
    <mergeCell ref="J50:O50"/>
    <mergeCell ref="K49:L49"/>
    <mergeCell ref="E101:F102"/>
    <mergeCell ref="K56:L56"/>
    <mergeCell ref="J63:J69"/>
    <mergeCell ref="N56:O56"/>
    <mergeCell ref="G90:H90"/>
    <mergeCell ref="H116:I116"/>
    <mergeCell ref="D122:I122"/>
    <mergeCell ref="C116:C117"/>
    <mergeCell ref="A119:C119"/>
    <mergeCell ref="D119:E119"/>
    <mergeCell ref="A120:C120"/>
    <mergeCell ref="D126:I126"/>
    <mergeCell ref="F119:G119"/>
    <mergeCell ref="A125:C125"/>
    <mergeCell ref="D124:I124"/>
    <mergeCell ref="D125:I125"/>
    <mergeCell ref="D123:I123"/>
    <mergeCell ref="D120:I120"/>
    <mergeCell ref="A128:I128"/>
    <mergeCell ref="D116:E116"/>
    <mergeCell ref="H119:I119"/>
    <mergeCell ref="A123:C123"/>
    <mergeCell ref="A124:C124"/>
    <mergeCell ref="K51:L51"/>
    <mergeCell ref="K52:L52"/>
    <mergeCell ref="K53:L53"/>
    <mergeCell ref="A100:D100"/>
    <mergeCell ref="J59:J60"/>
    <mergeCell ref="K59:K60"/>
    <mergeCell ref="K61:L61"/>
    <mergeCell ref="A59:C59"/>
    <mergeCell ref="G49:G51"/>
    <mergeCell ref="A101:B101"/>
    <mergeCell ref="A102:A103"/>
    <mergeCell ref="K54:L54"/>
    <mergeCell ref="K55:L55"/>
    <mergeCell ref="J57:J58"/>
    <mergeCell ref="K57:K58"/>
    <mergeCell ref="E107:F108"/>
    <mergeCell ref="E111:F112"/>
    <mergeCell ref="E92:H92"/>
    <mergeCell ref="A126:C126"/>
    <mergeCell ref="E109:F110"/>
    <mergeCell ref="A84:B84"/>
    <mergeCell ref="E78:H78"/>
    <mergeCell ref="A12:A13"/>
    <mergeCell ref="A127:C127"/>
    <mergeCell ref="A122:C122"/>
    <mergeCell ref="A104:A105"/>
    <mergeCell ref="E113:H113"/>
    <mergeCell ref="B50:C50"/>
    <mergeCell ref="B54:C54"/>
    <mergeCell ref="A71:B71"/>
    <mergeCell ref="B116:B117"/>
    <mergeCell ref="E76:H76"/>
    <mergeCell ref="A70:H70"/>
    <mergeCell ref="B51:C51"/>
    <mergeCell ref="A83:H83"/>
    <mergeCell ref="B57:C57"/>
    <mergeCell ref="D121:I121"/>
    <mergeCell ref="A116:A117"/>
    <mergeCell ref="F116:G116"/>
    <mergeCell ref="A121:C121"/>
    <mergeCell ref="D127:I127"/>
    <mergeCell ref="A115:I115"/>
    <mergeCell ref="D14:D16"/>
    <mergeCell ref="A8:A9"/>
    <mergeCell ref="B52:C52"/>
    <mergeCell ref="B53:C53"/>
    <mergeCell ref="A36:A38"/>
    <mergeCell ref="A62:B62"/>
    <mergeCell ref="B58:C58"/>
    <mergeCell ref="A48:C48"/>
    <mergeCell ref="A2:I2"/>
    <mergeCell ref="A5:A7"/>
    <mergeCell ref="B5:B7"/>
    <mergeCell ref="D12:D13"/>
    <mergeCell ref="A3:I3"/>
    <mergeCell ref="C8:C9"/>
    <mergeCell ref="B8:B9"/>
    <mergeCell ref="A10:A11"/>
    <mergeCell ref="B10:B11"/>
    <mergeCell ref="C5:C7"/>
    <mergeCell ref="D5:D7"/>
    <mergeCell ref="E4:I4"/>
    <mergeCell ref="D10:D11"/>
    <mergeCell ref="D8:D9"/>
    <mergeCell ref="C12:C13"/>
    <mergeCell ref="B12:B13"/>
    <mergeCell ref="C10:C11"/>
    <mergeCell ref="B49:C49"/>
    <mergeCell ref="B14:B16"/>
    <mergeCell ref="A46:G46"/>
    <mergeCell ref="A45:C45"/>
    <mergeCell ref="A24:A25"/>
    <mergeCell ref="E91:G91"/>
    <mergeCell ref="E100:H100"/>
    <mergeCell ref="A61:E61"/>
    <mergeCell ref="A14:A16"/>
    <mergeCell ref="A55:C55"/>
    <mergeCell ref="A56:C56"/>
    <mergeCell ref="C14:C16"/>
    <mergeCell ref="E93:H93"/>
    <mergeCell ref="E94:H94"/>
    <mergeCell ref="E18:I18"/>
  </mergeCells>
  <phoneticPr fontId="8" type="noConversion"/>
  <conditionalFormatting sqref="C5:C7">
    <cfRule type="cellIs" dxfId="175" priority="21" stopIfTrue="1" operator="equal">
      <formula>25</formula>
    </cfRule>
  </conditionalFormatting>
  <conditionalFormatting sqref="C8:C9">
    <cfRule type="cellIs" dxfId="174" priority="19" stopIfTrue="1" operator="equal">
      <formula>15</formula>
    </cfRule>
  </conditionalFormatting>
  <conditionalFormatting sqref="C14:C16">
    <cfRule type="cellIs" dxfId="173" priority="13" stopIfTrue="1" operator="equal">
      <formula>30</formula>
    </cfRule>
  </conditionalFormatting>
  <conditionalFormatting sqref="D5:D7">
    <cfRule type="cellIs" dxfId="172" priority="10" stopIfTrue="1" operator="equal">
      <formula>25</formula>
    </cfRule>
  </conditionalFormatting>
  <conditionalFormatting sqref="D8:D9">
    <cfRule type="cellIs" dxfId="171" priority="9" stopIfTrue="1" operator="equal">
      <formula>15</formula>
    </cfRule>
  </conditionalFormatting>
  <conditionalFormatting sqref="C10:D13">
    <cfRule type="cellIs" dxfId="170" priority="8" stopIfTrue="1" operator="equal">
      <formula>15</formula>
    </cfRule>
  </conditionalFormatting>
  <conditionalFormatting sqref="D14:D16">
    <cfRule type="cellIs" dxfId="169" priority="6" stopIfTrue="1" operator="equal">
      <formula>30</formula>
    </cfRule>
  </conditionalFormatting>
  <conditionalFormatting sqref="C90">
    <cfRule type="expression" dxfId="168" priority="3" stopIfTrue="1">
      <formula>$H$88&lt;&gt;"仅含出让金"</formula>
    </cfRule>
  </conditionalFormatting>
  <conditionalFormatting sqref="C91">
    <cfRule type="expression" dxfId="167" priority="2" stopIfTrue="1">
      <formula>$H$91="由企业提供"</formula>
    </cfRule>
  </conditionalFormatting>
  <conditionalFormatting sqref="E36">
    <cfRule type="expression" dxfId="166" priority="1" stopIfTrue="1">
      <formula>$D$36="同一抵押权人同一抵押物续贷"</formula>
    </cfRule>
  </conditionalFormatting>
  <dataValidations count="23">
    <dataValidation type="list" allowBlank="1" showInputMessage="1" showErrorMessage="1" sqref="C4:D4 D33">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D32">
      <formula1>"总价,楼面单价"</formula1>
    </dataValidation>
    <dataValidation type="list" allowBlank="1" showInputMessage="1" showErrorMessage="1" sqref="F45">
      <formula1>"100%,80%,60%,64%"</formula1>
    </dataValidation>
    <dataValidation type="list" allowBlank="1" showInputMessage="1" showErrorMessage="1" sqref="C33">
      <formula1>"成本比率,收益比率,自定义"</formula1>
    </dataValidation>
    <dataValidation type="list" allowBlank="1" showInputMessage="1" showErrorMessage="1" sqref="H91">
      <formula1>"企业提供（在右侧录入）,——"</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1">
      <formula1>项目类型</formula1>
    </dataValidation>
    <dataValidation type="list" allowBlank="1" showInputMessage="1" showErrorMessage="1" sqref="G77">
      <formula1>"个人住宅,2016年5月1日前购买,2016年5月1日后购买"</formula1>
    </dataValidation>
    <dataValidation type="list" allowBlank="1" showInputMessage="1" showErrorMessage="1" sqref="E103">
      <formula1>"2.估价师知悉的法定优先受偿款,2.估价师知悉的除抵押担保权以外的法定优先受偿款"</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2" orientation="portrait" r:id="rId1"/>
  <rowBreaks count="3" manualBreakCount="3">
    <brk id="43" max="8" man="1"/>
    <brk id="97" max="8" man="1"/>
    <brk id="142" max="8"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36:I49"/>
  <sheetViews>
    <sheetView view="pageLayout" topLeftCell="A11" zoomScale="80" zoomScaleNormal="100" zoomScaleSheetLayoutView="100" zoomScalePageLayoutView="80" workbookViewId="0">
      <selection activeCell="B49" sqref="B49"/>
    </sheetView>
  </sheetViews>
  <sheetFormatPr defaultColWidth="9" defaultRowHeight="13.5"/>
  <cols>
    <col min="1" max="1" width="3.5" style="949" customWidth="1"/>
    <col min="2" max="9" width="10" style="949" customWidth="1"/>
    <col min="10" max="16384" width="9" style="949"/>
  </cols>
  <sheetData>
    <row r="36" spans="1:9">
      <c r="A36" s="948" t="s">
        <v>818</v>
      </c>
      <c r="B36" s="948" t="s">
        <v>819</v>
      </c>
    </row>
    <row r="37" spans="1:9" ht="27.75" customHeight="1">
      <c r="A37" s="948"/>
      <c r="B37" s="3163" t="str">
        <f>项目基本情况!B1</f>
        <v>湖南省湘潭市岳塘区芙蓉路以南、晓塘路以北万达酒店出让国有建设用地使用权及在建建筑物预评估</v>
      </c>
      <c r="C37" s="3163"/>
      <c r="D37" s="3163"/>
      <c r="E37" s="3163"/>
      <c r="F37" s="3163"/>
      <c r="G37" s="3163"/>
      <c r="H37" s="3163"/>
      <c r="I37" s="3163"/>
    </row>
    <row r="38" spans="1:9">
      <c r="A38" s="950"/>
      <c r="B38" s="950"/>
    </row>
    <row r="39" spans="1:9">
      <c r="A39" s="948" t="s">
        <v>818</v>
      </c>
      <c r="B39" s="948" t="s">
        <v>820</v>
      </c>
    </row>
    <row r="40" spans="1:9">
      <c r="A40" s="948"/>
      <c r="B40" s="1649">
        <f>项目基本情况!B5</f>
        <v>0</v>
      </c>
    </row>
    <row r="41" spans="1:9">
      <c r="A41" s="948"/>
      <c r="B41" s="948"/>
    </row>
    <row r="42" spans="1:9">
      <c r="A42" s="948" t="s">
        <v>818</v>
      </c>
      <c r="B42" s="948" t="s">
        <v>821</v>
      </c>
    </row>
    <row r="43" spans="1:9">
      <c r="A43" s="948"/>
      <c r="B43" s="1649" t="s">
        <v>822</v>
      </c>
    </row>
    <row r="44" spans="1:9">
      <c r="A44" s="948"/>
      <c r="B44" s="948"/>
    </row>
    <row r="45" spans="1:9">
      <c r="A45" s="948" t="s">
        <v>818</v>
      </c>
      <c r="B45" s="948" t="s">
        <v>823</v>
      </c>
    </row>
    <row r="46" spans="1:9" s="948" customFormat="1" ht="12.75">
      <c r="B46" s="1649" t="str">
        <f>项目基本情况!K4</f>
        <v>（注册号：0)、（注册号：0)</v>
      </c>
    </row>
    <row r="47" spans="1:9">
      <c r="A47" s="948"/>
      <c r="B47" s="948" t="str">
        <f>项目基本情况!K5</f>
        <v>（注册号：0)、（注册号：0)</v>
      </c>
    </row>
    <row r="48" spans="1:9">
      <c r="A48" s="948" t="s">
        <v>818</v>
      </c>
      <c r="B48" s="948" t="s">
        <v>824</v>
      </c>
    </row>
    <row r="49" spans="2:2">
      <c r="B49" s="1649" t="str">
        <f>"康正预评字"&amp;项目基本情况!B2&amp;"号"</f>
        <v>康正预评字号</v>
      </c>
    </row>
  </sheetData>
  <sheetProtection password="C66D" sheet="1" objects="1" scenarios="1" formatCells="0" formatRows="0" insertColumns="0" deleteRows="0"/>
  <mergeCells count="1">
    <mergeCell ref="B37:I37"/>
  </mergeCells>
  <phoneticPr fontId="85" type="noConversion"/>
  <pageMargins left="0.98425196850393704" right="0.78740157480314965" top="0.98425196850393704" bottom="0.98425196850393704" header="0.59055118110236227" footer="0.78740157480314965"/>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48"/>
  <sheetViews>
    <sheetView view="pageBreakPreview" topLeftCell="B30" zoomScale="85" zoomScaleNormal="60" zoomScaleSheetLayoutView="85" workbookViewId="0">
      <selection activeCell="N74" sqref="N74"/>
    </sheetView>
  </sheetViews>
  <sheetFormatPr defaultColWidth="9" defaultRowHeight="14.25"/>
  <cols>
    <col min="1" max="1" width="14.375" style="362" customWidth="1"/>
    <col min="2" max="2" width="15.75" style="362" customWidth="1"/>
    <col min="3" max="3" width="18.5" style="362" customWidth="1"/>
    <col min="4" max="4" width="14.125" style="362" customWidth="1"/>
    <col min="5" max="5" width="14.375" style="362" customWidth="1"/>
    <col min="6" max="6" width="12.25" style="362" customWidth="1"/>
    <col min="7" max="7" width="14.5" style="362" customWidth="1"/>
    <col min="8" max="8" width="12.25" style="362" customWidth="1"/>
    <col min="9" max="9" width="14.5" style="362" customWidth="1"/>
    <col min="10" max="10" width="12.25" style="362" customWidth="1"/>
    <col min="11" max="11" width="12.25" style="451" customWidth="1"/>
    <col min="12" max="12" width="12.25" style="452" customWidth="1"/>
    <col min="13" max="15" width="12.25" style="362" customWidth="1"/>
    <col min="16" max="16" width="4.75" style="362" customWidth="1"/>
    <col min="17" max="17" width="19.5" style="362" customWidth="1"/>
    <col min="18" max="22" width="6.125" style="362" customWidth="1"/>
    <col min="23" max="23" width="5.75" style="362" customWidth="1"/>
    <col min="24" max="24" width="4.25" style="362" customWidth="1"/>
    <col min="25" max="25" width="3.5" style="362" customWidth="1"/>
    <col min="26" max="26" width="19.75" style="362" customWidth="1"/>
    <col min="27" max="28" width="9.375" style="362" customWidth="1"/>
    <col min="29" max="16384" width="9" style="362"/>
  </cols>
  <sheetData>
    <row r="1" spans="1:30" s="357" customFormat="1" ht="28.5" customHeight="1">
      <c r="A1" s="354" t="s">
        <v>3774</v>
      </c>
      <c r="B1" s="355"/>
      <c r="C1" s="356" t="s">
        <v>3781</v>
      </c>
      <c r="D1" s="693"/>
      <c r="E1" s="693"/>
      <c r="F1" s="692" t="s">
        <v>3823</v>
      </c>
      <c r="G1" s="693"/>
      <c r="H1" s="693"/>
      <c r="I1" s="693"/>
      <c r="J1" s="693"/>
      <c r="K1" s="694"/>
      <c r="L1" s="695"/>
      <c r="M1" s="696"/>
      <c r="N1" s="696"/>
      <c r="O1" s="696"/>
      <c r="P1" s="706"/>
      <c r="Q1" s="706"/>
      <c r="R1" s="706"/>
      <c r="S1" s="706"/>
      <c r="T1" s="706"/>
      <c r="U1" s="706"/>
      <c r="V1" s="706"/>
      <c r="W1" s="706"/>
      <c r="X1" s="706"/>
      <c r="Y1" s="706"/>
      <c r="Z1" s="706"/>
      <c r="AA1" s="706"/>
      <c r="AB1" s="706"/>
      <c r="AC1" s="707"/>
      <c r="AD1" s="3145"/>
    </row>
    <row r="2" spans="1:30" s="357" customFormat="1" ht="28.5" customHeight="1">
      <c r="A2" s="207" t="s">
        <v>3782</v>
      </c>
      <c r="B2" s="626">
        <f>F66</f>
        <v>5214</v>
      </c>
      <c r="C2" s="1030"/>
      <c r="D2" s="1030"/>
      <c r="E2" s="1031"/>
      <c r="F2" s="1032"/>
      <c r="G2" s="1031"/>
      <c r="H2" s="1031"/>
      <c r="I2" s="1031"/>
      <c r="J2" s="1031"/>
      <c r="K2" s="1033"/>
      <c r="L2" s="2944"/>
      <c r="M2" s="2945"/>
      <c r="N2" s="2945"/>
      <c r="O2" s="2945"/>
      <c r="P2" s="706"/>
      <c r="Q2" s="706"/>
      <c r="R2" s="706"/>
      <c r="S2" s="706"/>
      <c r="T2" s="706"/>
      <c r="U2" s="706"/>
      <c r="V2" s="706"/>
      <c r="W2" s="706"/>
      <c r="X2" s="706"/>
      <c r="Y2" s="706"/>
      <c r="Z2" s="706"/>
      <c r="AA2" s="706"/>
      <c r="AB2" s="706"/>
      <c r="AC2" s="707"/>
      <c r="AD2" s="3145"/>
    </row>
    <row r="3" spans="1:30" s="357" customFormat="1" ht="28.5" customHeight="1" thickBot="1">
      <c r="A3" s="209" t="s">
        <v>3783</v>
      </c>
      <c r="B3" s="565">
        <f>ROUND(IF(D3="",B2*10000/'数据-汇总表'!E3,B2*10000/D3),0)</f>
        <v>1742</v>
      </c>
      <c r="C3" s="209" t="s">
        <v>3824</v>
      </c>
      <c r="D3" s="1343"/>
      <c r="E3" s="1031"/>
      <c r="F3" s="1032"/>
      <c r="G3" s="1031"/>
      <c r="H3" s="1031"/>
      <c r="I3" s="1031"/>
      <c r="J3" s="1031"/>
      <c r="K3" s="1033"/>
      <c r="L3" s="2944"/>
      <c r="M3" s="2945"/>
      <c r="N3" s="2945"/>
      <c r="O3" s="2945"/>
      <c r="P3" s="706"/>
      <c r="Q3" s="706"/>
      <c r="R3" s="706"/>
      <c r="S3" s="706"/>
      <c r="T3" s="706"/>
      <c r="U3" s="706"/>
      <c r="V3" s="706"/>
      <c r="W3" s="706"/>
      <c r="X3" s="706"/>
      <c r="Y3" s="706"/>
      <c r="Z3" s="706"/>
      <c r="AA3" s="706"/>
      <c r="AB3" s="723"/>
      <c r="AC3" s="720"/>
    </row>
    <row r="4" spans="1:30" ht="15">
      <c r="A4" s="360" t="s">
        <v>3775</v>
      </c>
      <c r="B4" s="361"/>
      <c r="C4" s="3357" t="s">
        <v>3776</v>
      </c>
      <c r="D4" s="3370"/>
      <c r="E4" s="3371" t="s">
        <v>3777</v>
      </c>
      <c r="F4" s="3372"/>
      <c r="G4" s="3357" t="s">
        <v>3778</v>
      </c>
      <c r="H4" s="3370"/>
      <c r="I4" s="3357" t="s">
        <v>3825</v>
      </c>
      <c r="J4" s="3370"/>
      <c r="K4" s="566" t="s">
        <v>3826</v>
      </c>
      <c r="L4" s="2925"/>
      <c r="M4" s="2926"/>
      <c r="N4" s="2926"/>
      <c r="O4" s="2926"/>
      <c r="P4" s="3373" t="s">
        <v>3827</v>
      </c>
      <c r="Q4" s="3374"/>
      <c r="R4" s="3379" t="s">
        <v>3777</v>
      </c>
      <c r="S4" s="3380"/>
      <c r="T4" s="3379" t="s">
        <v>3778</v>
      </c>
      <c r="U4" s="3380"/>
      <c r="V4" s="3366" t="s">
        <v>3825</v>
      </c>
      <c r="W4" s="3366"/>
      <c r="X4" s="3138"/>
      <c r="Y4" s="3379" t="s">
        <v>3827</v>
      </c>
      <c r="Z4" s="3380"/>
      <c r="AA4" s="3367" t="s">
        <v>3777</v>
      </c>
      <c r="AB4" s="3368" t="s">
        <v>3778</v>
      </c>
      <c r="AC4" s="3367" t="s">
        <v>3825</v>
      </c>
    </row>
    <row r="5" spans="1:30" ht="42.75" customHeight="1">
      <c r="A5" s="363"/>
      <c r="B5" s="364"/>
      <c r="C5" s="3387" t="s">
        <v>3784</v>
      </c>
      <c r="D5" s="3388"/>
      <c r="E5" s="3394" t="str">
        <f>Sheet1!A4</f>
        <v>高新区护华路与牡丹路交叉口西南角</v>
      </c>
      <c r="F5" s="3395"/>
      <c r="G5" s="3387" t="str">
        <f>Sheet1!A19</f>
        <v>雨湖区柏荫路2号</v>
      </c>
      <c r="H5" s="3388"/>
      <c r="I5" s="3387" t="str">
        <f>Sheet1!A20</f>
        <v>岳塘区佳木路以南,商城路以东</v>
      </c>
      <c r="J5" s="3388"/>
      <c r="K5" s="566"/>
      <c r="L5" s="2925"/>
      <c r="M5" s="2926"/>
      <c r="N5" s="2926"/>
      <c r="O5" s="2926"/>
      <c r="P5" s="3375"/>
      <c r="Q5" s="3376"/>
      <c r="R5" s="3381"/>
      <c r="S5" s="3382"/>
      <c r="T5" s="3381"/>
      <c r="U5" s="3382"/>
      <c r="V5" s="3366"/>
      <c r="W5" s="3366"/>
      <c r="X5" s="3138"/>
      <c r="Y5" s="3381"/>
      <c r="Z5" s="3382"/>
      <c r="AA5" s="3368"/>
      <c r="AB5" s="3368"/>
      <c r="AC5" s="3368"/>
    </row>
    <row r="6" spans="1:30" ht="15.75" thickBot="1">
      <c r="A6" s="365"/>
      <c r="B6" s="366"/>
      <c r="C6" s="3385" t="s">
        <v>3785</v>
      </c>
      <c r="D6" s="3386"/>
      <c r="E6" s="3392" t="s">
        <v>3785</v>
      </c>
      <c r="F6" s="3393"/>
      <c r="G6" s="3385" t="s">
        <v>3785</v>
      </c>
      <c r="H6" s="3386"/>
      <c r="I6" s="3385" t="s">
        <v>3785</v>
      </c>
      <c r="J6" s="3386"/>
      <c r="K6" s="566" t="s">
        <v>3786</v>
      </c>
      <c r="L6" s="2925"/>
      <c r="M6" s="2926"/>
      <c r="N6" s="2926"/>
      <c r="O6" s="2926"/>
      <c r="P6" s="3377"/>
      <c r="Q6" s="3378"/>
      <c r="R6" s="3381"/>
      <c r="S6" s="3382"/>
      <c r="T6" s="3383"/>
      <c r="U6" s="3384"/>
      <c r="V6" s="3366"/>
      <c r="W6" s="3366"/>
      <c r="X6" s="3138"/>
      <c r="Y6" s="3383"/>
      <c r="Z6" s="3384"/>
      <c r="AA6" s="3369"/>
      <c r="AB6" s="3369"/>
      <c r="AC6" s="3369"/>
    </row>
    <row r="7" spans="1:30" s="113" customFormat="1" ht="15.75" thickBot="1">
      <c r="A7" s="367" t="s">
        <v>3828</v>
      </c>
      <c r="B7" s="368"/>
      <c r="C7" s="369">
        <f>'数据-取费表'!B2</f>
        <v>44280</v>
      </c>
      <c r="D7" s="370">
        <v>100</v>
      </c>
      <c r="E7" s="371" t="str">
        <f>Sheet1!J4</f>
        <v>2020-09-14</v>
      </c>
      <c r="F7" s="372">
        <f>SUMIF(70:70,YEAR(E7)&amp;"-"&amp;INT((MONTH(E7)+2)/3),71:71)</f>
        <v>99.6</v>
      </c>
      <c r="G7" s="2147" t="str">
        <f>Sheet1!J19</f>
        <v>2018-11-08</v>
      </c>
      <c r="H7" s="370">
        <f>SUMIF(70:70,YEAR(G7)&amp;"-"&amp;INT((MONTH(G7)+2)/3),71:71)</f>
        <v>98.199999999999974</v>
      </c>
      <c r="I7" s="2147" t="str">
        <f>土地案例!$AA$9</f>
        <v>2020-02-18</v>
      </c>
      <c r="J7" s="370">
        <f>SUMIF(70:70,YEAR(I7)&amp;"-"&amp;INT((MONTH(I7)+2)/3),71:71)</f>
        <v>99.199999999999989</v>
      </c>
      <c r="K7" s="567"/>
      <c r="L7" s="2927"/>
      <c r="M7" s="2928"/>
      <c r="N7" s="2928"/>
      <c r="O7" s="2928"/>
      <c r="P7" s="3389" t="s">
        <v>3829</v>
      </c>
      <c r="Q7" s="3391"/>
      <c r="R7" s="708" t="s">
        <v>3790</v>
      </c>
      <c r="S7" s="709">
        <f t="shared" ref="S7:S15" si="0">F7</f>
        <v>99.6</v>
      </c>
      <c r="T7" s="708" t="s">
        <v>3790</v>
      </c>
      <c r="U7" s="709">
        <f t="shared" ref="U7:U15" si="1">H7</f>
        <v>98.199999999999974</v>
      </c>
      <c r="V7" s="708" t="s">
        <v>3790</v>
      </c>
      <c r="W7" s="709">
        <f t="shared" ref="W7:W15" si="2">J7</f>
        <v>99.199999999999989</v>
      </c>
      <c r="X7" s="710"/>
      <c r="Y7" s="3389" t="s">
        <v>3829</v>
      </c>
      <c r="Z7" s="3390"/>
      <c r="AA7" s="711">
        <f>D7/F7</f>
        <v>1.0040160642570282</v>
      </c>
      <c r="AB7" s="711">
        <f>D7/H7</f>
        <v>1.0183299389002038</v>
      </c>
      <c r="AC7" s="711">
        <f>D7/J7</f>
        <v>1.0080645161290325</v>
      </c>
    </row>
    <row r="8" spans="1:30" s="113" customFormat="1" ht="15.75" thickBot="1">
      <c r="A8" s="367" t="s">
        <v>3830</v>
      </c>
      <c r="B8" s="368"/>
      <c r="C8" s="373" t="s">
        <v>3787</v>
      </c>
      <c r="D8" s="370">
        <v>100</v>
      </c>
      <c r="E8" s="373" t="s">
        <v>3787</v>
      </c>
      <c r="F8" s="372">
        <f>SUMIF(73:73,E8,74:74)-SUMIF(73:73,C8,74:74)+100</f>
        <v>100</v>
      </c>
      <c r="G8" s="373" t="s">
        <v>3787</v>
      </c>
      <c r="H8" s="370">
        <f>SUMIF(73:73,G8,74:74)-SUMIF(73:73,C8,74:74)+100</f>
        <v>100</v>
      </c>
      <c r="I8" s="373" t="s">
        <v>3787</v>
      </c>
      <c r="J8" s="370">
        <f>SUMIF(73:73,I8,74:74)-SUMIF(73:73,C8,74:74)+100</f>
        <v>100</v>
      </c>
      <c r="K8" s="567"/>
      <c r="L8" s="2927"/>
      <c r="M8" s="2928"/>
      <c r="N8" s="2928"/>
      <c r="O8" s="2928"/>
      <c r="P8" s="3389" t="s">
        <v>3831</v>
      </c>
      <c r="Q8" s="3390"/>
      <c r="R8" s="708" t="s">
        <v>3790</v>
      </c>
      <c r="S8" s="709">
        <f t="shared" si="0"/>
        <v>100</v>
      </c>
      <c r="T8" s="708" t="s">
        <v>3790</v>
      </c>
      <c r="U8" s="709">
        <f t="shared" si="1"/>
        <v>100</v>
      </c>
      <c r="V8" s="708" t="s">
        <v>3790</v>
      </c>
      <c r="W8" s="709">
        <f t="shared" si="2"/>
        <v>100</v>
      </c>
      <c r="X8" s="710"/>
      <c r="Y8" s="3389" t="s">
        <v>3831</v>
      </c>
      <c r="Z8" s="3390"/>
      <c r="AA8" s="711">
        <f t="shared" ref="AA8:AA45" si="3">D8/F8</f>
        <v>1</v>
      </c>
      <c r="AB8" s="711">
        <f t="shared" ref="AB8:AB45" si="4">D8/H8</f>
        <v>1</v>
      </c>
      <c r="AC8" s="711">
        <f t="shared" ref="AC8:AC45" si="5">D8/J8</f>
        <v>1</v>
      </c>
    </row>
    <row r="9" spans="1:30" s="113" customFormat="1">
      <c r="A9" s="374" t="s">
        <v>3832</v>
      </c>
      <c r="B9" s="67" t="s">
        <v>3788</v>
      </c>
      <c r="C9" s="2150" t="s">
        <v>3043</v>
      </c>
      <c r="D9" s="131">
        <v>100</v>
      </c>
      <c r="E9" s="2150" t="s">
        <v>3043</v>
      </c>
      <c r="F9" s="131">
        <f>SUMIF(75:75,E9,76:76)-SUMIF(75:75,C9,76:76)+100</f>
        <v>100</v>
      </c>
      <c r="G9" s="2150" t="s">
        <v>3043</v>
      </c>
      <c r="H9" s="131">
        <f>SUMIF(75:75,G9,76:76)-SUMIF(75:75,C9,76:76)+100</f>
        <v>100</v>
      </c>
      <c r="I9" s="2150" t="s">
        <v>3043</v>
      </c>
      <c r="J9" s="131">
        <f>SUMIF(75:75,I9,76:76)-SUMIF(75:75,C9,76:76)+100</f>
        <v>100</v>
      </c>
      <c r="K9" s="567"/>
      <c r="L9" s="2927"/>
      <c r="M9" s="2928"/>
      <c r="N9" s="2928"/>
      <c r="O9" s="2982"/>
      <c r="P9" s="3360" t="s">
        <v>3789</v>
      </c>
      <c r="Q9" s="3135" t="str">
        <f t="shared" ref="Q9:Q15" si="6">B9</f>
        <v>用途</v>
      </c>
      <c r="R9" s="708" t="s">
        <v>3790</v>
      </c>
      <c r="S9" s="709">
        <f t="shared" si="0"/>
        <v>100</v>
      </c>
      <c r="T9" s="708" t="s">
        <v>3790</v>
      </c>
      <c r="U9" s="709">
        <f t="shared" si="1"/>
        <v>100</v>
      </c>
      <c r="V9" s="708" t="s">
        <v>3790</v>
      </c>
      <c r="W9" s="709">
        <f t="shared" si="2"/>
        <v>100</v>
      </c>
      <c r="X9" s="710"/>
      <c r="Y9" s="3257" t="s">
        <v>3789</v>
      </c>
      <c r="Z9" s="3134" t="str">
        <f t="shared" ref="Z9:Z15" si="7">Q9</f>
        <v>用途</v>
      </c>
      <c r="AA9" s="711">
        <f t="shared" si="3"/>
        <v>1</v>
      </c>
      <c r="AB9" s="711">
        <f t="shared" si="4"/>
        <v>1</v>
      </c>
      <c r="AC9" s="711">
        <f t="shared" si="5"/>
        <v>1</v>
      </c>
    </row>
    <row r="10" spans="1:30" s="385" customFormat="1" ht="27">
      <c r="A10" s="379"/>
      <c r="B10" s="380" t="s">
        <v>3791</v>
      </c>
      <c r="C10" s="390"/>
      <c r="D10" s="132">
        <v>100</v>
      </c>
      <c r="E10" s="423"/>
      <c r="F10" s="132">
        <f>ROUND(100/'数据-取费表'!G16,0)</f>
        <v>108</v>
      </c>
      <c r="G10" s="421"/>
      <c r="H10" s="132">
        <f>ROUND(100/'数据-取费表'!G16,0)</f>
        <v>108</v>
      </c>
      <c r="I10" s="421"/>
      <c r="J10" s="132">
        <f>ROUND(100/'数据-取费表'!G16,0)</f>
        <v>108</v>
      </c>
      <c r="K10" s="627"/>
      <c r="L10" s="2929"/>
      <c r="M10" s="2930"/>
      <c r="N10" s="2930"/>
      <c r="O10" s="2983"/>
      <c r="P10" s="3360"/>
      <c r="Q10" s="3135" t="str">
        <f t="shared" si="6"/>
        <v>土地使用年限（年）</v>
      </c>
      <c r="R10" s="708" t="s">
        <v>3790</v>
      </c>
      <c r="S10" s="709">
        <f t="shared" si="0"/>
        <v>108</v>
      </c>
      <c r="T10" s="708" t="s">
        <v>3790</v>
      </c>
      <c r="U10" s="709">
        <f t="shared" si="1"/>
        <v>108</v>
      </c>
      <c r="V10" s="708" t="s">
        <v>3790</v>
      </c>
      <c r="W10" s="709">
        <f t="shared" si="2"/>
        <v>108</v>
      </c>
      <c r="X10" s="710"/>
      <c r="Y10" s="3257"/>
      <c r="Z10" s="3134" t="str">
        <f t="shared" si="7"/>
        <v>土地使用年限（年）</v>
      </c>
      <c r="AA10" s="711">
        <f t="shared" si="3"/>
        <v>0.92592592592592593</v>
      </c>
      <c r="AB10" s="711">
        <f t="shared" si="4"/>
        <v>0.92592592592592593</v>
      </c>
      <c r="AC10" s="711">
        <f t="shared" si="5"/>
        <v>0.92592592592592593</v>
      </c>
    </row>
    <row r="11" spans="1:30" ht="15">
      <c r="A11" s="386"/>
      <c r="B11" s="380" t="s">
        <v>3792</v>
      </c>
      <c r="C11" s="387">
        <v>3.7</v>
      </c>
      <c r="D11" s="132">
        <v>100</v>
      </c>
      <c r="E11" s="387">
        <v>2.5</v>
      </c>
      <c r="F11" s="132">
        <f>LOOKUP(E11,80:80,81:81)-LOOKUP(C11,80:80,81:81)+100</f>
        <v>102</v>
      </c>
      <c r="G11" s="388">
        <f>Sheet1!F19</f>
        <v>6</v>
      </c>
      <c r="H11" s="132">
        <f>LOOKUP(G11,80:80,81:81)-LOOKUP(C11,80:80,81:81)+100</f>
        <v>94</v>
      </c>
      <c r="I11" s="387">
        <f>Sheet1!F20</f>
        <v>3.5</v>
      </c>
      <c r="J11" s="132">
        <f>LOOKUP(I11,80:80,81:81)-LOOKUP(C11,80:80,81:81)+100</f>
        <v>100</v>
      </c>
      <c r="K11" s="628">
        <v>2</v>
      </c>
      <c r="L11" s="2931"/>
      <c r="M11" s="2926"/>
      <c r="N11" s="2926"/>
      <c r="O11" s="2984"/>
      <c r="P11" s="3360"/>
      <c r="Q11" s="3135" t="str">
        <f t="shared" si="6"/>
        <v>容积率</v>
      </c>
      <c r="R11" s="708" t="s">
        <v>3790</v>
      </c>
      <c r="S11" s="709">
        <f t="shared" si="0"/>
        <v>102</v>
      </c>
      <c r="T11" s="708" t="s">
        <v>3790</v>
      </c>
      <c r="U11" s="709">
        <f t="shared" si="1"/>
        <v>94</v>
      </c>
      <c r="V11" s="708" t="s">
        <v>3790</v>
      </c>
      <c r="W11" s="709">
        <f t="shared" si="2"/>
        <v>100</v>
      </c>
      <c r="X11" s="710"/>
      <c r="Y11" s="3257"/>
      <c r="Z11" s="3134" t="str">
        <f t="shared" si="7"/>
        <v>容积率</v>
      </c>
      <c r="AA11" s="711">
        <f t="shared" si="3"/>
        <v>0.98039215686274506</v>
      </c>
      <c r="AB11" s="711">
        <f t="shared" si="4"/>
        <v>1.0638297872340425</v>
      </c>
      <c r="AC11" s="711">
        <f t="shared" si="5"/>
        <v>1</v>
      </c>
    </row>
    <row r="12" spans="1:30" s="113" customFormat="1" ht="15">
      <c r="A12" s="389"/>
      <c r="B12" s="2066" t="s">
        <v>3793</v>
      </c>
      <c r="C12" s="390"/>
      <c r="D12" s="391">
        <v>100</v>
      </c>
      <c r="E12" s="423"/>
      <c r="F12" s="132">
        <f>SUMIF(82:82,E12,83:83)-SUMIF(82:82,C12,83:83)+100</f>
        <v>100</v>
      </c>
      <c r="G12" s="421"/>
      <c r="H12" s="132">
        <f>SUMIF(82:82,G12,83:83)-SUMIF(82:82,C12,83:83)+100</f>
        <v>100</v>
      </c>
      <c r="I12" s="423"/>
      <c r="J12" s="132">
        <f>SUMIF(82:82,I12,83:83)-SUMIF(82:82,C12,83:83)+100</f>
        <v>100</v>
      </c>
      <c r="K12" s="627"/>
      <c r="L12" s="2927"/>
      <c r="M12" s="2928"/>
      <c r="N12" s="2928"/>
      <c r="O12" s="2982"/>
      <c r="P12" s="3360"/>
      <c r="Q12" s="3135" t="str">
        <f t="shared" si="6"/>
        <v>自持</v>
      </c>
      <c r="R12" s="708" t="s">
        <v>3790</v>
      </c>
      <c r="S12" s="709">
        <f t="shared" si="0"/>
        <v>100</v>
      </c>
      <c r="T12" s="708" t="s">
        <v>3790</v>
      </c>
      <c r="U12" s="709">
        <f t="shared" si="1"/>
        <v>100</v>
      </c>
      <c r="V12" s="708" t="s">
        <v>3790</v>
      </c>
      <c r="W12" s="709">
        <f t="shared" si="2"/>
        <v>100</v>
      </c>
      <c r="X12" s="710"/>
      <c r="Y12" s="3257"/>
      <c r="Z12" s="3134" t="str">
        <f t="shared" si="7"/>
        <v>自持</v>
      </c>
      <c r="AA12" s="711">
        <f>D12/F12</f>
        <v>1</v>
      </c>
      <c r="AB12" s="711">
        <f>D12/H12</f>
        <v>1</v>
      </c>
      <c r="AC12" s="711">
        <f>D12/J12</f>
        <v>1</v>
      </c>
    </row>
    <row r="13" spans="1:30" ht="15">
      <c r="A13" s="386"/>
      <c r="B13" s="2066"/>
      <c r="C13" s="392"/>
      <c r="D13" s="393">
        <v>100</v>
      </c>
      <c r="E13" s="505"/>
      <c r="F13" s="132">
        <f>SUMIF(84:84,E13,85:85)-SUMIF(84:84,C13,85:85)+100</f>
        <v>100</v>
      </c>
      <c r="G13" s="629"/>
      <c r="H13" s="393">
        <f>SUMIF(84:84,G13,85:85)-SUMIF(84:84,C13,85:85)+100</f>
        <v>100</v>
      </c>
      <c r="I13" s="629"/>
      <c r="J13" s="393">
        <f>SUMIF(84:84,I13,85:85)-SUMIF(84:84,C13,85:85)+100</f>
        <v>100</v>
      </c>
      <c r="K13" s="627"/>
      <c r="L13" s="2932"/>
      <c r="M13" s="2926"/>
      <c r="N13" s="2926"/>
      <c r="O13" s="2984"/>
      <c r="P13" s="3360"/>
      <c r="Q13" s="3135">
        <f t="shared" si="6"/>
        <v>0</v>
      </c>
      <c r="R13" s="708" t="s">
        <v>3790</v>
      </c>
      <c r="S13" s="709">
        <f t="shared" si="0"/>
        <v>100</v>
      </c>
      <c r="T13" s="708" t="s">
        <v>3790</v>
      </c>
      <c r="U13" s="709">
        <f t="shared" si="1"/>
        <v>100</v>
      </c>
      <c r="V13" s="708" t="s">
        <v>3790</v>
      </c>
      <c r="W13" s="709">
        <f t="shared" si="2"/>
        <v>100</v>
      </c>
      <c r="X13" s="710"/>
      <c r="Y13" s="3257"/>
      <c r="Z13" s="3134">
        <f t="shared" si="7"/>
        <v>0</v>
      </c>
      <c r="AA13" s="711">
        <f>D13/F13</f>
        <v>1</v>
      </c>
      <c r="AB13" s="711">
        <f>D13/H13</f>
        <v>1</v>
      </c>
      <c r="AC13" s="711">
        <f>D13/J13</f>
        <v>1</v>
      </c>
    </row>
    <row r="14" spans="1:30" ht="15.75" thickBot="1">
      <c r="A14" s="394"/>
      <c r="B14" s="2068"/>
      <c r="C14" s="395"/>
      <c r="D14" s="396">
        <v>100</v>
      </c>
      <c r="E14" s="505"/>
      <c r="F14" s="396">
        <f>SUMIF(86:86,E14,87:87)-SUMIF(86:86,C14,87:87)+100</f>
        <v>100</v>
      </c>
      <c r="G14" s="629"/>
      <c r="H14" s="396">
        <f>SUMIF(86:86,G14,87:87)-SUMIF(86:86,C14,87:87)+100</f>
        <v>100</v>
      </c>
      <c r="I14" s="629"/>
      <c r="J14" s="396">
        <f>SUMIF(86:86,I14,87:87)-SUMIF(86:86,C14,87:87)+100</f>
        <v>100</v>
      </c>
      <c r="K14" s="627"/>
      <c r="L14" s="2932"/>
      <c r="M14" s="2926"/>
      <c r="N14" s="2926"/>
      <c r="O14" s="2984"/>
      <c r="P14" s="3360"/>
      <c r="Q14" s="3135">
        <f t="shared" si="6"/>
        <v>0</v>
      </c>
      <c r="R14" s="708" t="s">
        <v>3790</v>
      </c>
      <c r="S14" s="709">
        <f t="shared" si="0"/>
        <v>100</v>
      </c>
      <c r="T14" s="708" t="s">
        <v>3790</v>
      </c>
      <c r="U14" s="709">
        <f t="shared" si="1"/>
        <v>100</v>
      </c>
      <c r="V14" s="708" t="s">
        <v>3790</v>
      </c>
      <c r="W14" s="709">
        <f t="shared" si="2"/>
        <v>100</v>
      </c>
      <c r="X14" s="710"/>
      <c r="Y14" s="3257"/>
      <c r="Z14" s="3134">
        <f t="shared" si="7"/>
        <v>0</v>
      </c>
      <c r="AA14" s="711">
        <f>D14/F14</f>
        <v>1</v>
      </c>
      <c r="AB14" s="711">
        <f>D14/H14</f>
        <v>1</v>
      </c>
      <c r="AC14" s="711">
        <f>D14/J14</f>
        <v>1</v>
      </c>
    </row>
    <row r="15" spans="1:30" ht="26.25" customHeight="1">
      <c r="A15" s="398" t="s">
        <v>3833</v>
      </c>
      <c r="B15" s="65" t="s">
        <v>3583</v>
      </c>
      <c r="C15" s="2069">
        <f>估价对象房地状况!C15</f>
        <v>0</v>
      </c>
      <c r="D15" s="399">
        <v>100</v>
      </c>
      <c r="E15" s="400"/>
      <c r="F15" s="399">
        <f>SUMIF(88:88,E16,89:89)-SUMIF(88:88,C16,89:89)+100</f>
        <v>100</v>
      </c>
      <c r="G15" s="3149"/>
      <c r="H15" s="399">
        <f>SUMIF(88:88,G16,89:89)-SUMIF(88:88,C16,89:89)+100</f>
        <v>100</v>
      </c>
      <c r="I15" s="3149"/>
      <c r="J15" s="399">
        <f>SUMIF(88:88,I16,89:89)-SUMIF(88:88,C16,89:89)+100</f>
        <v>100</v>
      </c>
      <c r="K15" s="628"/>
      <c r="L15" s="2932"/>
      <c r="M15" s="2926"/>
      <c r="N15" s="2926"/>
      <c r="O15" s="2984"/>
      <c r="P15" s="3362" t="s">
        <v>3834</v>
      </c>
      <c r="Q15" s="3136" t="str">
        <f t="shared" si="6"/>
        <v>居住社区成熟度</v>
      </c>
      <c r="R15" s="712" t="s">
        <v>3790</v>
      </c>
      <c r="S15" s="713">
        <f t="shared" si="0"/>
        <v>100</v>
      </c>
      <c r="T15" s="712" t="s">
        <v>3790</v>
      </c>
      <c r="U15" s="713">
        <f t="shared" si="1"/>
        <v>100</v>
      </c>
      <c r="V15" s="712" t="s">
        <v>3790</v>
      </c>
      <c r="W15" s="713">
        <f t="shared" si="2"/>
        <v>100</v>
      </c>
      <c r="X15" s="3138"/>
      <c r="Y15" s="3362" t="s">
        <v>3834</v>
      </c>
      <c r="Z15" s="3139" t="str">
        <f t="shared" si="7"/>
        <v>居住社区成熟度</v>
      </c>
      <c r="AA15" s="3137">
        <f t="shared" si="3"/>
        <v>1</v>
      </c>
      <c r="AB15" s="3137">
        <f t="shared" si="4"/>
        <v>1</v>
      </c>
      <c r="AC15" s="3137">
        <f t="shared" si="5"/>
        <v>1</v>
      </c>
    </row>
    <row r="16" spans="1:30" ht="15">
      <c r="A16" s="386"/>
      <c r="B16" s="404"/>
      <c r="C16" s="405" t="s">
        <v>3541</v>
      </c>
      <c r="D16" s="406"/>
      <c r="E16" s="2071" t="s">
        <v>3541</v>
      </c>
      <c r="F16" s="406"/>
      <c r="G16" s="2071" t="s">
        <v>3541</v>
      </c>
      <c r="H16" s="408"/>
      <c r="I16" s="2071" t="s">
        <v>3541</v>
      </c>
      <c r="J16" s="406"/>
      <c r="K16" s="627"/>
      <c r="L16" s="2932"/>
      <c r="M16" s="2926"/>
      <c r="N16" s="2926"/>
      <c r="O16" s="2984"/>
      <c r="P16" s="3363"/>
      <c r="Q16" s="3136"/>
      <c r="R16" s="712"/>
      <c r="S16" s="713"/>
      <c r="T16" s="712"/>
      <c r="U16" s="713"/>
      <c r="V16" s="712"/>
      <c r="W16" s="713"/>
      <c r="X16" s="3138"/>
      <c r="Y16" s="3363"/>
      <c r="Z16" s="3139"/>
      <c r="AA16" s="3137">
        <v>1</v>
      </c>
      <c r="AB16" s="3137">
        <v>1</v>
      </c>
      <c r="AC16" s="3137">
        <v>1</v>
      </c>
    </row>
    <row r="17" spans="1:29" ht="24.75" hidden="1" customHeight="1">
      <c r="A17" s="386"/>
      <c r="B17" s="409" t="s">
        <v>3835</v>
      </c>
      <c r="C17" s="2128">
        <f>估价对象房地状况!C16</f>
        <v>0</v>
      </c>
      <c r="D17" s="408">
        <v>100</v>
      </c>
      <c r="E17" s="410"/>
      <c r="F17" s="408">
        <f>SUMIF(90:90,E18,91:91)-SUMIF(90:90,C18,91:91)+100</f>
        <v>100</v>
      </c>
      <c r="G17" s="410"/>
      <c r="H17" s="413">
        <f>SUMIF(90:90,G18,91:91)-SUMIF(90:90,C18,91:91)+100</f>
        <v>100</v>
      </c>
      <c r="I17" s="412"/>
      <c r="J17" s="413">
        <f>SUMIF(90:90,I18,91:91)-SUMIF(90:90,C18,91:91)+100</f>
        <v>100</v>
      </c>
      <c r="K17" s="628"/>
      <c r="L17" s="2932"/>
      <c r="M17" s="2926"/>
      <c r="N17" s="2926"/>
      <c r="O17" s="2984"/>
      <c r="P17" s="3363"/>
      <c r="Q17" s="3136" t="str">
        <f>B17</f>
        <v>商业繁华度</v>
      </c>
      <c r="R17" s="712" t="s">
        <v>3790</v>
      </c>
      <c r="S17" s="713">
        <f>F17</f>
        <v>100</v>
      </c>
      <c r="T17" s="712" t="s">
        <v>3790</v>
      </c>
      <c r="U17" s="713">
        <f>H17</f>
        <v>100</v>
      </c>
      <c r="V17" s="712" t="s">
        <v>3790</v>
      </c>
      <c r="W17" s="713">
        <f>J17</f>
        <v>100</v>
      </c>
      <c r="X17" s="3138"/>
      <c r="Y17" s="3363"/>
      <c r="Z17" s="3139" t="str">
        <f>Q17</f>
        <v>商业繁华度</v>
      </c>
      <c r="AA17" s="3137">
        <f t="shared" si="3"/>
        <v>1</v>
      </c>
      <c r="AB17" s="3137">
        <f t="shared" si="4"/>
        <v>1</v>
      </c>
      <c r="AC17" s="3137">
        <f t="shared" si="5"/>
        <v>1</v>
      </c>
    </row>
    <row r="18" spans="1:29" ht="15" hidden="1" customHeight="1">
      <c r="A18" s="386"/>
      <c r="B18" s="414"/>
      <c r="C18" s="2074"/>
      <c r="D18" s="408"/>
      <c r="E18" s="2076"/>
      <c r="F18" s="408"/>
      <c r="G18" s="2076"/>
      <c r="H18" s="406"/>
      <c r="I18" s="2075"/>
      <c r="J18" s="406"/>
      <c r="K18" s="627"/>
      <c r="L18" s="2932"/>
      <c r="M18" s="2926"/>
      <c r="N18" s="2926"/>
      <c r="O18" s="2984"/>
      <c r="P18" s="3363"/>
      <c r="Q18" s="3136"/>
      <c r="R18" s="712"/>
      <c r="S18" s="713"/>
      <c r="T18" s="712"/>
      <c r="U18" s="713"/>
      <c r="V18" s="712"/>
      <c r="W18" s="713"/>
      <c r="X18" s="3138"/>
      <c r="Y18" s="3363"/>
      <c r="Z18" s="3139"/>
      <c r="AA18" s="3137">
        <v>1</v>
      </c>
      <c r="AB18" s="3137">
        <v>1</v>
      </c>
      <c r="AC18" s="3137">
        <v>1</v>
      </c>
    </row>
    <row r="19" spans="1:29" ht="22.5" hidden="1" customHeight="1">
      <c r="A19" s="386"/>
      <c r="B19" s="409" t="s">
        <v>3794</v>
      </c>
      <c r="C19" s="2128">
        <f>估价对象房地状况!C17</f>
        <v>0</v>
      </c>
      <c r="D19" s="413">
        <v>100</v>
      </c>
      <c r="E19" s="415"/>
      <c r="F19" s="413">
        <f>SUMIF(92:92,E20,93:93)-SUMIF(92:92,C20,93:93)+100</f>
        <v>100</v>
      </c>
      <c r="G19" s="415"/>
      <c r="H19" s="408">
        <f>SUMIF(92:92,G20,93:93)-SUMIF(92:92,C20,93:93)+100</f>
        <v>100</v>
      </c>
      <c r="I19" s="417"/>
      <c r="J19" s="408">
        <f>SUMIF(92:92,I20,93:93)-SUMIF(92:92,C20,93:93)+100</f>
        <v>100</v>
      </c>
      <c r="K19" s="628"/>
      <c r="L19" s="2932"/>
      <c r="M19" s="2926"/>
      <c r="N19" s="2926"/>
      <c r="O19" s="2984"/>
      <c r="P19" s="3363"/>
      <c r="Q19" s="3136" t="str">
        <f>B19</f>
        <v>办公集聚程度</v>
      </c>
      <c r="R19" s="712" t="s">
        <v>3790</v>
      </c>
      <c r="S19" s="713">
        <f>F19</f>
        <v>100</v>
      </c>
      <c r="T19" s="712" t="s">
        <v>3790</v>
      </c>
      <c r="U19" s="713">
        <f>H19</f>
        <v>100</v>
      </c>
      <c r="V19" s="712" t="s">
        <v>3790</v>
      </c>
      <c r="W19" s="713">
        <f>J19</f>
        <v>100</v>
      </c>
      <c r="X19" s="3138"/>
      <c r="Y19" s="3363"/>
      <c r="Z19" s="3139" t="str">
        <f>Q19</f>
        <v>办公集聚程度</v>
      </c>
      <c r="AA19" s="3137">
        <f t="shared" si="3"/>
        <v>1</v>
      </c>
      <c r="AB19" s="3137">
        <f t="shared" si="4"/>
        <v>1</v>
      </c>
      <c r="AC19" s="3137">
        <f t="shared" si="5"/>
        <v>1</v>
      </c>
    </row>
    <row r="20" spans="1:29" ht="15" hidden="1" customHeight="1">
      <c r="A20" s="386"/>
      <c r="B20" s="414"/>
      <c r="C20" s="405"/>
      <c r="D20" s="406"/>
      <c r="E20" s="2071"/>
      <c r="F20" s="406"/>
      <c r="G20" s="2071"/>
      <c r="H20" s="406"/>
      <c r="I20" s="2070"/>
      <c r="J20" s="406"/>
      <c r="K20" s="627"/>
      <c r="L20" s="2932"/>
      <c r="M20" s="2926"/>
      <c r="N20" s="2926"/>
      <c r="O20" s="2984"/>
      <c r="P20" s="3363"/>
      <c r="Q20" s="3136"/>
      <c r="R20" s="712"/>
      <c r="S20" s="713"/>
      <c r="T20" s="712"/>
      <c r="U20" s="713"/>
      <c r="V20" s="712"/>
      <c r="W20" s="713"/>
      <c r="X20" s="3138"/>
      <c r="Y20" s="3363"/>
      <c r="Z20" s="3139"/>
      <c r="AA20" s="3137">
        <v>1</v>
      </c>
      <c r="AB20" s="3137">
        <v>1</v>
      </c>
      <c r="AC20" s="3137">
        <v>1</v>
      </c>
    </row>
    <row r="21" spans="1:29" ht="24" customHeight="1">
      <c r="A21" s="386"/>
      <c r="B21" s="409" t="s">
        <v>3795</v>
      </c>
      <c r="C21" s="2073">
        <f>估价对象房地状况!C18</f>
        <v>0</v>
      </c>
      <c r="D21" s="408">
        <v>100</v>
      </c>
      <c r="E21" s="410"/>
      <c r="F21" s="413">
        <f>SUMIF(94:94,E22,95:95)-SUMIF(94:94,C22,95:95)+100</f>
        <v>100</v>
      </c>
      <c r="G21" s="410"/>
      <c r="H21" s="408">
        <f>SUMIF(94:94,G22,95:95)-SUMIF(94:94,C22,95:95)+100</f>
        <v>100</v>
      </c>
      <c r="I21" s="410"/>
      <c r="J21" s="408">
        <f>SUMIF(94:94,I22,95:95)-SUMIF(94:94,C22,95:95)+100</f>
        <v>100</v>
      </c>
      <c r="K21" s="628"/>
      <c r="L21" s="2932"/>
      <c r="M21" s="2926"/>
      <c r="N21" s="2926"/>
      <c r="O21" s="2984"/>
      <c r="P21" s="3363"/>
      <c r="Q21" s="3136" t="str">
        <f>B21</f>
        <v>交通便捷度</v>
      </c>
      <c r="R21" s="712" t="s">
        <v>3790</v>
      </c>
      <c r="S21" s="713">
        <f>F21</f>
        <v>100</v>
      </c>
      <c r="T21" s="712" t="s">
        <v>3790</v>
      </c>
      <c r="U21" s="713">
        <f>H21</f>
        <v>100</v>
      </c>
      <c r="V21" s="712" t="s">
        <v>3790</v>
      </c>
      <c r="W21" s="713">
        <f>J21</f>
        <v>100</v>
      </c>
      <c r="X21" s="3138"/>
      <c r="Y21" s="3363"/>
      <c r="Z21" s="3139" t="str">
        <f>Q21</f>
        <v>交通便捷度</v>
      </c>
      <c r="AA21" s="3137">
        <f t="shared" si="3"/>
        <v>1</v>
      </c>
      <c r="AB21" s="3137">
        <f t="shared" si="4"/>
        <v>1</v>
      </c>
      <c r="AC21" s="3137">
        <f t="shared" si="5"/>
        <v>1</v>
      </c>
    </row>
    <row r="22" spans="1:29" ht="15">
      <c r="A22" s="386"/>
      <c r="B22" s="1284"/>
      <c r="C22" s="405" t="s">
        <v>3541</v>
      </c>
      <c r="D22" s="408"/>
      <c r="E22" s="2071" t="s">
        <v>3542</v>
      </c>
      <c r="F22" s="406"/>
      <c r="G22" s="2071" t="s">
        <v>3541</v>
      </c>
      <c r="H22" s="406"/>
      <c r="I22" s="2071" t="s">
        <v>3541</v>
      </c>
      <c r="J22" s="406"/>
      <c r="K22" s="627"/>
      <c r="L22" s="2932"/>
      <c r="M22" s="2926"/>
      <c r="N22" s="2926"/>
      <c r="O22" s="2984"/>
      <c r="P22" s="3363"/>
      <c r="Q22" s="3136"/>
      <c r="R22" s="712"/>
      <c r="S22" s="713"/>
      <c r="T22" s="712"/>
      <c r="U22" s="713"/>
      <c r="V22" s="712"/>
      <c r="W22" s="713"/>
      <c r="X22" s="3138"/>
      <c r="Y22" s="3363"/>
      <c r="Z22" s="3139"/>
      <c r="AA22" s="3137">
        <v>1</v>
      </c>
      <c r="AB22" s="3137">
        <v>1</v>
      </c>
      <c r="AC22" s="3137">
        <v>1</v>
      </c>
    </row>
    <row r="23" spans="1:29" ht="15">
      <c r="A23" s="363"/>
      <c r="B23" s="409" t="s">
        <v>3796</v>
      </c>
      <c r="C23" s="1288" t="str">
        <f>估价对象房地状况!C19</f>
        <v>一致</v>
      </c>
      <c r="D23" s="413">
        <v>100</v>
      </c>
      <c r="E23" s="410"/>
      <c r="F23" s="413">
        <f>SUMIF(96:96,E24,97:97)-SUMIF(96:96,C24,97:97)+100</f>
        <v>100</v>
      </c>
      <c r="G23" s="412"/>
      <c r="H23" s="413">
        <f>SUMIF(96:96,G24,97:97)-SUMIF(96:96,C24,97:97)+100</f>
        <v>100</v>
      </c>
      <c r="I23" s="412"/>
      <c r="J23" s="413">
        <f>SUMIF(96:96,I24,97:97)-SUMIF(96:96,C24,97:97)+100</f>
        <v>100</v>
      </c>
      <c r="K23" s="628"/>
      <c r="L23" s="2932"/>
      <c r="M23" s="2926"/>
      <c r="N23" s="2926"/>
      <c r="O23" s="2984"/>
      <c r="P23" s="3363"/>
      <c r="Q23" s="3136" t="str">
        <f t="shared" ref="Q23:Q37" si="8">B23</f>
        <v>区域土地利用方向</v>
      </c>
      <c r="R23" s="712" t="s">
        <v>3790</v>
      </c>
      <c r="S23" s="713">
        <f>F23</f>
        <v>100</v>
      </c>
      <c r="T23" s="712" t="s">
        <v>3790</v>
      </c>
      <c r="U23" s="713">
        <f>H23</f>
        <v>100</v>
      </c>
      <c r="V23" s="712" t="s">
        <v>3790</v>
      </c>
      <c r="W23" s="713">
        <f>J23</f>
        <v>100</v>
      </c>
      <c r="X23" s="3138"/>
      <c r="Y23" s="3363"/>
      <c r="Z23" s="3139" t="str">
        <f>Q23</f>
        <v>区域土地利用方向</v>
      </c>
      <c r="AA23" s="3137">
        <f t="shared" si="3"/>
        <v>1</v>
      </c>
      <c r="AB23" s="3137">
        <f t="shared" si="4"/>
        <v>1</v>
      </c>
      <c r="AC23" s="3137">
        <f t="shared" si="5"/>
        <v>1</v>
      </c>
    </row>
    <row r="24" spans="1:29" ht="15">
      <c r="A24" s="363"/>
      <c r="B24" s="414"/>
      <c r="C24" s="572" t="s">
        <v>3541</v>
      </c>
      <c r="D24" s="406"/>
      <c r="E24" s="572" t="s">
        <v>3541</v>
      </c>
      <c r="F24" s="406"/>
      <c r="G24" s="572" t="s">
        <v>3541</v>
      </c>
      <c r="H24" s="406"/>
      <c r="I24" s="572" t="s">
        <v>3541</v>
      </c>
      <c r="J24" s="406"/>
      <c r="K24" s="748"/>
      <c r="L24" s="2932"/>
      <c r="M24" s="2926"/>
      <c r="N24" s="2926"/>
      <c r="O24" s="2984"/>
      <c r="P24" s="3363"/>
      <c r="Q24" s="3136"/>
      <c r="R24" s="712"/>
      <c r="S24" s="713"/>
      <c r="T24" s="712"/>
      <c r="U24" s="713"/>
      <c r="V24" s="712"/>
      <c r="W24" s="713"/>
      <c r="X24" s="3138"/>
      <c r="Y24" s="3363"/>
      <c r="Z24" s="3139"/>
      <c r="AA24" s="3137"/>
      <c r="AB24" s="3137"/>
      <c r="AC24" s="3137"/>
    </row>
    <row r="25" spans="1:29" ht="27">
      <c r="A25" s="363"/>
      <c r="B25" s="1284" t="s">
        <v>3797</v>
      </c>
      <c r="C25" s="2128">
        <f>估价对象房地状况!C20</f>
        <v>0</v>
      </c>
      <c r="D25" s="408">
        <v>100</v>
      </c>
      <c r="E25" s="3150"/>
      <c r="F25" s="408">
        <f>SUMIF(98:98,E26,99:99)-SUMIF(98:98,C26,99:99)+100</f>
        <v>100</v>
      </c>
      <c r="G25" s="3150"/>
      <c r="H25" s="408">
        <f>SUMIF(98:98,G26,99:99)-SUMIF(98:98,C26,99:99)+100</f>
        <v>100</v>
      </c>
      <c r="I25" s="3150"/>
      <c r="J25" s="408">
        <f>SUMIF(98:98,I26,99:99)-SUMIF(98:98,C26,99:99)+100</f>
        <v>100</v>
      </c>
      <c r="K25" s="628"/>
      <c r="L25" s="2932"/>
      <c r="M25" s="2926"/>
      <c r="N25" s="2926"/>
      <c r="O25" s="2984"/>
      <c r="P25" s="3363"/>
      <c r="Q25" s="3136" t="str">
        <f t="shared" si="8"/>
        <v>自然及人文环境状况</v>
      </c>
      <c r="R25" s="712" t="s">
        <v>3790</v>
      </c>
      <c r="S25" s="713">
        <f>F25</f>
        <v>100</v>
      </c>
      <c r="T25" s="712" t="s">
        <v>3790</v>
      </c>
      <c r="U25" s="713">
        <f>H25</f>
        <v>100</v>
      </c>
      <c r="V25" s="712" t="s">
        <v>3790</v>
      </c>
      <c r="W25" s="713">
        <f>J25</f>
        <v>100</v>
      </c>
      <c r="X25" s="3138"/>
      <c r="Y25" s="3363"/>
      <c r="Z25" s="3139" t="str">
        <f>Q25</f>
        <v>自然及人文环境状况</v>
      </c>
      <c r="AA25" s="3137">
        <f t="shared" si="3"/>
        <v>1</v>
      </c>
      <c r="AB25" s="3137">
        <f t="shared" si="4"/>
        <v>1</v>
      </c>
      <c r="AC25" s="3137">
        <f t="shared" si="5"/>
        <v>1</v>
      </c>
    </row>
    <row r="26" spans="1:29" ht="15">
      <c r="A26" s="363"/>
      <c r="B26" s="414"/>
      <c r="C26" s="405" t="s">
        <v>3542</v>
      </c>
      <c r="D26" s="406"/>
      <c r="E26" s="405" t="s">
        <v>3554</v>
      </c>
      <c r="F26" s="406"/>
      <c r="G26" s="2077" t="s">
        <v>3542</v>
      </c>
      <c r="H26" s="406"/>
      <c r="I26" s="405" t="s">
        <v>3542</v>
      </c>
      <c r="J26" s="406"/>
      <c r="K26" s="627"/>
      <c r="L26" s="2932"/>
      <c r="M26" s="2926"/>
      <c r="N26" s="2926"/>
      <c r="O26" s="2984"/>
      <c r="P26" s="3363"/>
      <c r="Q26" s="3136"/>
      <c r="R26" s="712"/>
      <c r="S26" s="713"/>
      <c r="T26" s="712"/>
      <c r="U26" s="713"/>
      <c r="V26" s="712"/>
      <c r="W26" s="713"/>
      <c r="X26" s="3138"/>
      <c r="Y26" s="3363"/>
      <c r="Z26" s="3139"/>
      <c r="AA26" s="3137">
        <v>1</v>
      </c>
      <c r="AB26" s="3137">
        <v>1</v>
      </c>
      <c r="AC26" s="3137">
        <v>1</v>
      </c>
    </row>
    <row r="27" spans="1:29" s="113" customFormat="1" ht="15">
      <c r="A27" s="604"/>
      <c r="B27" s="1284" t="s">
        <v>3798</v>
      </c>
      <c r="C27" s="2073">
        <f>估价对象房地状况!C21</f>
        <v>0</v>
      </c>
      <c r="D27" s="408">
        <v>100</v>
      </c>
      <c r="E27" s="410"/>
      <c r="F27" s="408">
        <f>SUMIF(100:100,E28,101:101)-SUMIF(100:100,C28,101:101)+100</f>
        <v>100</v>
      </c>
      <c r="G27" s="410"/>
      <c r="H27" s="408">
        <f>SUMIF(100:100,G28,101:101)-SUMIF(100:100,C28,101:101)+100</f>
        <v>100</v>
      </c>
      <c r="I27" s="412"/>
      <c r="J27" s="408">
        <f>SUMIF(100:100,I28,101:101)-SUMIF(100:100,C28,101:101)+100</f>
        <v>100</v>
      </c>
      <c r="K27" s="628"/>
      <c r="L27" s="2927"/>
      <c r="M27" s="2928"/>
      <c r="N27" s="2928"/>
      <c r="O27" s="2982"/>
      <c r="P27" s="3363"/>
      <c r="Q27" s="3135" t="str">
        <f t="shared" si="8"/>
        <v>公共配套设施</v>
      </c>
      <c r="R27" s="708" t="s">
        <v>3790</v>
      </c>
      <c r="S27" s="709">
        <f>F27</f>
        <v>100</v>
      </c>
      <c r="T27" s="708" t="s">
        <v>3790</v>
      </c>
      <c r="U27" s="709">
        <f>H27</f>
        <v>100</v>
      </c>
      <c r="V27" s="708" t="s">
        <v>3790</v>
      </c>
      <c r="W27" s="709">
        <f>J27</f>
        <v>100</v>
      </c>
      <c r="X27" s="710"/>
      <c r="Y27" s="3363"/>
      <c r="Z27" s="3134" t="str">
        <f>Q27</f>
        <v>公共配套设施</v>
      </c>
      <c r="AA27" s="3137">
        <f>D27/F27</f>
        <v>1</v>
      </c>
      <c r="AB27" s="3137">
        <f>D27/H27</f>
        <v>1</v>
      </c>
      <c r="AC27" s="3137">
        <f>D27/J27</f>
        <v>1</v>
      </c>
    </row>
    <row r="28" spans="1:29" s="113" customFormat="1" ht="15">
      <c r="A28" s="604"/>
      <c r="B28" s="414"/>
      <c r="C28" s="2151" t="s">
        <v>3542</v>
      </c>
      <c r="D28" s="406"/>
      <c r="E28" s="2151" t="s">
        <v>3554</v>
      </c>
      <c r="F28" s="406"/>
      <c r="G28" s="2151" t="s">
        <v>3542</v>
      </c>
      <c r="H28" s="406"/>
      <c r="I28" s="2151" t="s">
        <v>3542</v>
      </c>
      <c r="J28" s="406"/>
      <c r="K28" s="627"/>
      <c r="L28" s="2927"/>
      <c r="M28" s="2928"/>
      <c r="N28" s="2928"/>
      <c r="O28" s="2982"/>
      <c r="P28" s="3363"/>
      <c r="Q28" s="3135"/>
      <c r="R28" s="708"/>
      <c r="S28" s="709"/>
      <c r="T28" s="708"/>
      <c r="U28" s="709"/>
      <c r="V28" s="708"/>
      <c r="W28" s="709"/>
      <c r="X28" s="710"/>
      <c r="Y28" s="3363"/>
      <c r="Z28" s="3134"/>
      <c r="AA28" s="3137">
        <v>1</v>
      </c>
      <c r="AB28" s="3137">
        <v>1</v>
      </c>
      <c r="AC28" s="3137">
        <v>1</v>
      </c>
    </row>
    <row r="29" spans="1:29" s="113" customFormat="1" ht="15">
      <c r="A29" s="604"/>
      <c r="B29" s="1284" t="s">
        <v>3799</v>
      </c>
      <c r="C29" s="2073">
        <f>估价对象房地状况!C22</f>
        <v>0</v>
      </c>
      <c r="D29" s="408">
        <v>100</v>
      </c>
      <c r="E29" s="410"/>
      <c r="F29" s="408">
        <f>SUMIF(102:102,E30,103:103)-SUMIF(102:102,C30,103:103)+100</f>
        <v>100</v>
      </c>
      <c r="G29" s="410"/>
      <c r="H29" s="408">
        <f>SUMIF(102:102,G30,103:103)-SUMIF(102:102,C30,103:103)+100</f>
        <v>100</v>
      </c>
      <c r="I29" s="412"/>
      <c r="J29" s="408">
        <f>SUMIF(102:102,I30,103:103)-SUMIF(102:102,C30,103:103)+100</f>
        <v>100</v>
      </c>
      <c r="K29" s="628">
        <v>1</v>
      </c>
      <c r="L29" s="2927"/>
      <c r="M29" s="2928"/>
      <c r="N29" s="2928"/>
      <c r="O29" s="2982"/>
      <c r="P29" s="3363"/>
      <c r="Q29" s="3135" t="str">
        <f t="shared" ref="Q29" si="9">B29</f>
        <v>基础设施水平</v>
      </c>
      <c r="R29" s="708" t="s">
        <v>3790</v>
      </c>
      <c r="S29" s="709">
        <f>F29</f>
        <v>100</v>
      </c>
      <c r="T29" s="708" t="s">
        <v>3790</v>
      </c>
      <c r="U29" s="709">
        <f>H29</f>
        <v>100</v>
      </c>
      <c r="V29" s="708" t="s">
        <v>3790</v>
      </c>
      <c r="W29" s="709">
        <f>J29</f>
        <v>100</v>
      </c>
      <c r="X29" s="710"/>
      <c r="Y29" s="3363"/>
      <c r="Z29" s="3134" t="str">
        <f>Q29</f>
        <v>基础设施水平</v>
      </c>
      <c r="AA29" s="3137">
        <f>D29/F29</f>
        <v>1</v>
      </c>
      <c r="AB29" s="3137">
        <f>D29/H29</f>
        <v>1</v>
      </c>
      <c r="AC29" s="3137">
        <f>D29/J29</f>
        <v>1</v>
      </c>
    </row>
    <row r="30" spans="1:29" s="113" customFormat="1" ht="15">
      <c r="A30" s="604"/>
      <c r="B30" s="414"/>
      <c r="C30" s="2151" t="s">
        <v>3543</v>
      </c>
      <c r="D30" s="406"/>
      <c r="E30" s="2151" t="s">
        <v>3543</v>
      </c>
      <c r="F30" s="406"/>
      <c r="G30" s="2151" t="s">
        <v>3543</v>
      </c>
      <c r="H30" s="406"/>
      <c r="I30" s="2151" t="s">
        <v>3543</v>
      </c>
      <c r="J30" s="406"/>
      <c r="K30" s="627"/>
      <c r="L30" s="2927"/>
      <c r="M30" s="2928"/>
      <c r="N30" s="2928"/>
      <c r="O30" s="2982"/>
      <c r="P30" s="3363"/>
      <c r="Q30" s="3135"/>
      <c r="R30" s="708"/>
      <c r="S30" s="709"/>
      <c r="T30" s="708"/>
      <c r="U30" s="709"/>
      <c r="V30" s="708"/>
      <c r="W30" s="709"/>
      <c r="X30" s="710"/>
      <c r="Y30" s="3363"/>
      <c r="Z30" s="3134"/>
      <c r="AA30" s="3137">
        <v>1</v>
      </c>
      <c r="AB30" s="3137">
        <v>1</v>
      </c>
      <c r="AC30" s="3137">
        <v>1</v>
      </c>
    </row>
    <row r="31" spans="1:29" ht="15" hidden="1" customHeight="1">
      <c r="A31" s="386"/>
      <c r="B31" s="414" t="s">
        <v>3800</v>
      </c>
      <c r="C31" s="572"/>
      <c r="D31" s="393">
        <v>100</v>
      </c>
      <c r="E31" s="589"/>
      <c r="F31" s="393">
        <f>SUMIF(104:104,E31,105:105)-SUMIF(104:104,C31,105:105)+100</f>
        <v>100</v>
      </c>
      <c r="G31" s="589"/>
      <c r="H31" s="393">
        <f>SUMIF(104:104,G31,105:105)-SUMIF(104:104,C31,105:105)+100</f>
        <v>100</v>
      </c>
      <c r="I31" s="589"/>
      <c r="J31" s="393">
        <f>SUMIF(104:104,I31,105:105)-SUMIF(104:104,C31,105:105)+100</f>
        <v>100</v>
      </c>
      <c r="K31" s="628"/>
      <c r="L31" s="2932"/>
      <c r="M31" s="2926"/>
      <c r="N31" s="2926"/>
      <c r="O31" s="2984"/>
      <c r="P31" s="3363"/>
      <c r="Q31" s="3136" t="str">
        <f t="shared" si="8"/>
        <v>临街状况</v>
      </c>
      <c r="R31" s="712" t="s">
        <v>3790</v>
      </c>
      <c r="S31" s="713">
        <f t="shared" ref="S31:S45" si="10">F31</f>
        <v>100</v>
      </c>
      <c r="T31" s="712" t="s">
        <v>3790</v>
      </c>
      <c r="U31" s="713">
        <f t="shared" ref="U31:U45" si="11">H31</f>
        <v>100</v>
      </c>
      <c r="V31" s="712" t="s">
        <v>3790</v>
      </c>
      <c r="W31" s="713">
        <f t="shared" ref="W31:W45" si="12">J31</f>
        <v>100</v>
      </c>
      <c r="X31" s="3138"/>
      <c r="Y31" s="3363"/>
      <c r="Z31" s="3139" t="str">
        <f t="shared" ref="Z31:Z45" si="13">Q31</f>
        <v>临街状况</v>
      </c>
      <c r="AA31" s="3137">
        <f t="shared" si="3"/>
        <v>1</v>
      </c>
      <c r="AB31" s="3137">
        <f t="shared" si="4"/>
        <v>1</v>
      </c>
      <c r="AC31" s="3137">
        <f t="shared" si="5"/>
        <v>1</v>
      </c>
    </row>
    <row r="32" spans="1:29" ht="27">
      <c r="A32" s="386"/>
      <c r="B32" s="1284" t="s">
        <v>3836</v>
      </c>
      <c r="C32" s="412"/>
      <c r="D32" s="408">
        <v>100</v>
      </c>
      <c r="E32" s="410"/>
      <c r="F32" s="408">
        <f>SUMIF(106:106,E33,107:107)-SUMIF(106:106,C33,107:107)+100</f>
        <v>100</v>
      </c>
      <c r="G32" s="410"/>
      <c r="H32" s="408">
        <f>SUMIF(106:106,G33,107:107)-SUMIF(106:106,C33,107:107)+100</f>
        <v>100</v>
      </c>
      <c r="I32" s="412"/>
      <c r="J32" s="408">
        <f>SUMIF(106:106,I33,107:107)-SUMIF(106:106,C33,107:107)+100</f>
        <v>100</v>
      </c>
      <c r="K32" s="628"/>
      <c r="L32" s="2932"/>
      <c r="M32" s="2926"/>
      <c r="N32" s="2926"/>
      <c r="O32" s="2984"/>
      <c r="P32" s="3363"/>
      <c r="Q32" s="3136" t="str">
        <f t="shared" si="8"/>
        <v>毗邻道路的类型与等级</v>
      </c>
      <c r="R32" s="712" t="s">
        <v>3790</v>
      </c>
      <c r="S32" s="713">
        <f t="shared" si="10"/>
        <v>100</v>
      </c>
      <c r="T32" s="712" t="s">
        <v>3790</v>
      </c>
      <c r="U32" s="713">
        <f t="shared" si="11"/>
        <v>100</v>
      </c>
      <c r="V32" s="712" t="s">
        <v>3790</v>
      </c>
      <c r="W32" s="713">
        <f t="shared" si="12"/>
        <v>100</v>
      </c>
      <c r="X32" s="3138"/>
      <c r="Y32" s="3363"/>
      <c r="Z32" s="3139" t="str">
        <f t="shared" si="13"/>
        <v>毗邻道路的类型与等级</v>
      </c>
      <c r="AA32" s="3137">
        <f t="shared" si="3"/>
        <v>1</v>
      </c>
      <c r="AB32" s="3137">
        <f t="shared" si="4"/>
        <v>1</v>
      </c>
      <c r="AC32" s="3137">
        <f t="shared" si="5"/>
        <v>1</v>
      </c>
    </row>
    <row r="33" spans="1:29" ht="15.75" thickBot="1">
      <c r="A33" s="386"/>
      <c r="B33" s="414"/>
      <c r="C33" s="405" t="s">
        <v>3544</v>
      </c>
      <c r="D33" s="406"/>
      <c r="E33" s="2077" t="s">
        <v>3544</v>
      </c>
      <c r="F33" s="406"/>
      <c r="G33" s="2077" t="s">
        <v>3545</v>
      </c>
      <c r="H33" s="406"/>
      <c r="I33" s="405" t="s">
        <v>3545</v>
      </c>
      <c r="J33" s="406"/>
      <c r="K33" s="569"/>
      <c r="L33" s="2932"/>
      <c r="M33" s="2926"/>
      <c r="N33" s="2926"/>
      <c r="O33" s="2984"/>
      <c r="P33" s="3363"/>
      <c r="Q33" s="3136"/>
      <c r="R33" s="712"/>
      <c r="S33" s="713"/>
      <c r="T33" s="712"/>
      <c r="U33" s="713"/>
      <c r="V33" s="712"/>
      <c r="W33" s="713"/>
      <c r="X33" s="3138"/>
      <c r="Y33" s="3363"/>
      <c r="Z33" s="3139"/>
      <c r="AA33" s="3137">
        <v>1</v>
      </c>
      <c r="AB33" s="3137">
        <v>1</v>
      </c>
      <c r="AC33" s="3137">
        <v>1</v>
      </c>
    </row>
    <row r="34" spans="1:29" ht="15" hidden="1" customHeight="1">
      <c r="A34" s="386"/>
      <c r="B34" s="380" t="s">
        <v>3801</v>
      </c>
      <c r="C34" s="572"/>
      <c r="D34" s="393">
        <v>100</v>
      </c>
      <c r="E34" s="589"/>
      <c r="F34" s="393">
        <f>SUMIF(108:108,E34,109:109)-SUMIF(108:108,C34,109:109)+100</f>
        <v>100</v>
      </c>
      <c r="G34" s="589"/>
      <c r="H34" s="393">
        <f>SUMIF(108:108,G34,109:109)-SUMIF(108:108,C34,109:109)+100</f>
        <v>100</v>
      </c>
      <c r="I34" s="572"/>
      <c r="J34" s="393">
        <f>SUMIF(108:108,I34,109:109)-SUMIF(108:108,C34,109:109)+100</f>
        <v>100</v>
      </c>
      <c r="K34" s="568"/>
      <c r="L34" s="2932"/>
      <c r="M34" s="2926"/>
      <c r="N34" s="2926"/>
      <c r="O34" s="2984"/>
      <c r="P34" s="3363"/>
      <c r="Q34" s="3136" t="str">
        <f t="shared" si="8"/>
        <v>土地级别</v>
      </c>
      <c r="R34" s="712" t="s">
        <v>3790</v>
      </c>
      <c r="S34" s="713">
        <f t="shared" si="10"/>
        <v>100</v>
      </c>
      <c r="T34" s="712" t="s">
        <v>3790</v>
      </c>
      <c r="U34" s="713">
        <f t="shared" si="11"/>
        <v>100</v>
      </c>
      <c r="V34" s="712" t="s">
        <v>3790</v>
      </c>
      <c r="W34" s="713">
        <f t="shared" si="12"/>
        <v>100</v>
      </c>
      <c r="X34" s="3138"/>
      <c r="Y34" s="3363"/>
      <c r="Z34" s="3139" t="str">
        <f t="shared" si="13"/>
        <v>土地级别</v>
      </c>
      <c r="AA34" s="3137">
        <f t="shared" si="3"/>
        <v>1</v>
      </c>
      <c r="AB34" s="3137">
        <f t="shared" si="4"/>
        <v>1</v>
      </c>
      <c r="AC34" s="3137">
        <f t="shared" si="5"/>
        <v>1</v>
      </c>
    </row>
    <row r="35" spans="1:29" ht="15" hidden="1" customHeight="1">
      <c r="A35" s="363"/>
      <c r="B35" s="1286">
        <v>111</v>
      </c>
      <c r="C35" s="629"/>
      <c r="D35" s="393">
        <v>100</v>
      </c>
      <c r="E35" s="435"/>
      <c r="F35" s="393">
        <f>SUMIF(110:110,E35,111:111)-SUMIF(110:110,C35,111:111)+100</f>
        <v>100</v>
      </c>
      <c r="G35" s="435"/>
      <c r="H35" s="393">
        <f>SUMIF(110:110,G35,111:111)-SUMIF(110:110,C35,111:111)+100</f>
        <v>100</v>
      </c>
      <c r="I35" s="629"/>
      <c r="J35" s="393">
        <f>SUMIF(110:110,I35,111:111)-SUMIF(110:110,C35,111:111)+100</f>
        <v>100</v>
      </c>
      <c r="K35" s="569"/>
      <c r="L35" s="2932"/>
      <c r="M35" s="2926"/>
      <c r="N35" s="2926"/>
      <c r="O35" s="2984"/>
      <c r="P35" s="3363"/>
      <c r="Q35" s="3136">
        <f t="shared" si="8"/>
        <v>111</v>
      </c>
      <c r="R35" s="712" t="s">
        <v>3790</v>
      </c>
      <c r="S35" s="713">
        <f t="shared" si="10"/>
        <v>100</v>
      </c>
      <c r="T35" s="712" t="s">
        <v>3790</v>
      </c>
      <c r="U35" s="713">
        <f t="shared" si="11"/>
        <v>100</v>
      </c>
      <c r="V35" s="712" t="s">
        <v>3790</v>
      </c>
      <c r="W35" s="713">
        <f t="shared" si="12"/>
        <v>100</v>
      </c>
      <c r="X35" s="3138"/>
      <c r="Y35" s="3363"/>
      <c r="Z35" s="3139">
        <f t="shared" si="13"/>
        <v>111</v>
      </c>
      <c r="AA35" s="3137">
        <f t="shared" si="3"/>
        <v>1</v>
      </c>
      <c r="AB35" s="3137">
        <f t="shared" si="4"/>
        <v>1</v>
      </c>
      <c r="AC35" s="3137">
        <f t="shared" si="5"/>
        <v>1</v>
      </c>
    </row>
    <row r="36" spans="1:29" ht="15" hidden="1" customHeight="1">
      <c r="A36" s="630"/>
      <c r="B36" s="1287">
        <v>111</v>
      </c>
      <c r="C36" s="629"/>
      <c r="D36" s="393">
        <v>100</v>
      </c>
      <c r="E36" s="435"/>
      <c r="F36" s="393">
        <f>SUMIF(112:112,E37,113:113)-SUMIF(112:112,C37,113:113)+100</f>
        <v>100</v>
      </c>
      <c r="G36" s="435"/>
      <c r="H36" s="393">
        <f>SUMIF(112:112,G36,113:113)-SUMIF(112:112,C36,113:113)+100</f>
        <v>100</v>
      </c>
      <c r="I36" s="629"/>
      <c r="J36" s="393">
        <f>SUMIF(112:112,I36,113:113)-SUMIF(112:112,C36,113:113)+100</f>
        <v>100</v>
      </c>
      <c r="K36" s="569"/>
      <c r="L36" s="2932"/>
      <c r="M36" s="2926"/>
      <c r="N36" s="2926"/>
      <c r="O36" s="2984"/>
      <c r="P36" s="3364" t="s">
        <v>3837</v>
      </c>
      <c r="Q36" s="3136">
        <f t="shared" si="8"/>
        <v>111</v>
      </c>
      <c r="R36" s="712" t="s">
        <v>3790</v>
      </c>
      <c r="S36" s="713">
        <f t="shared" si="10"/>
        <v>100</v>
      </c>
      <c r="T36" s="712" t="s">
        <v>3790</v>
      </c>
      <c r="U36" s="713">
        <f t="shared" si="11"/>
        <v>100</v>
      </c>
      <c r="V36" s="712" t="s">
        <v>3790</v>
      </c>
      <c r="W36" s="713">
        <f t="shared" si="12"/>
        <v>100</v>
      </c>
      <c r="X36" s="3138"/>
      <c r="Y36" s="3365" t="s">
        <v>3837</v>
      </c>
      <c r="Z36" s="3139">
        <f t="shared" si="13"/>
        <v>111</v>
      </c>
      <c r="AA36" s="3137">
        <f t="shared" si="3"/>
        <v>1</v>
      </c>
      <c r="AB36" s="3137">
        <f t="shared" si="4"/>
        <v>1</v>
      </c>
      <c r="AC36" s="3137">
        <f t="shared" si="5"/>
        <v>1</v>
      </c>
    </row>
    <row r="37" spans="1:29" s="429" customFormat="1" ht="15.75" hidden="1" customHeight="1" thickBot="1">
      <c r="A37" s="631"/>
      <c r="B37" s="3151">
        <v>111</v>
      </c>
      <c r="C37" s="633"/>
      <c r="D37" s="133">
        <v>100</v>
      </c>
      <c r="E37" s="655"/>
      <c r="F37" s="396">
        <f>SUMIF(114:114,E37,115:115)-SUMIF(114:114,C37,115:115)+100</f>
        <v>100</v>
      </c>
      <c r="G37" s="655"/>
      <c r="H37" s="396">
        <f>SUMIF(114:114,G37,115:115)-SUMIF(114:114,C37,115:115)+100</f>
        <v>100</v>
      </c>
      <c r="I37" s="633"/>
      <c r="J37" s="396">
        <f>SUMIF(114:114,I37,115:115)-SUMIF(114:114,C37,115:115)+100</f>
        <v>100</v>
      </c>
      <c r="K37" s="569"/>
      <c r="L37" s="2931"/>
      <c r="M37" s="2933"/>
      <c r="N37" s="2933"/>
      <c r="O37" s="2985"/>
      <c r="P37" s="3365"/>
      <c r="Q37" s="3136">
        <f t="shared" si="8"/>
        <v>111</v>
      </c>
      <c r="R37" s="715" t="s">
        <v>3790</v>
      </c>
      <c r="S37" s="716">
        <f t="shared" si="10"/>
        <v>100</v>
      </c>
      <c r="T37" s="715" t="s">
        <v>3790</v>
      </c>
      <c r="U37" s="716">
        <f t="shared" si="11"/>
        <v>100</v>
      </c>
      <c r="V37" s="715" t="s">
        <v>3790</v>
      </c>
      <c r="W37" s="716">
        <f t="shared" si="12"/>
        <v>100</v>
      </c>
      <c r="X37" s="717"/>
      <c r="Y37" s="3365"/>
      <c r="Z37" s="718">
        <f t="shared" si="13"/>
        <v>111</v>
      </c>
      <c r="AA37" s="3137">
        <f t="shared" si="3"/>
        <v>1</v>
      </c>
      <c r="AB37" s="3137">
        <f t="shared" si="4"/>
        <v>1</v>
      </c>
      <c r="AC37" s="3137">
        <f t="shared" si="5"/>
        <v>1</v>
      </c>
    </row>
    <row r="38" spans="1:29" ht="15">
      <c r="A38" s="430" t="s">
        <v>3838</v>
      </c>
      <c r="B38" s="414" t="s">
        <v>3839</v>
      </c>
      <c r="C38" s="3162">
        <f>'数据-汇总表'!F31/3.7</f>
        <v>8089.935135135137</v>
      </c>
      <c r="D38" s="425">
        <v>100</v>
      </c>
      <c r="E38" s="634">
        <f>Sheet1!D4</f>
        <v>5881.6</v>
      </c>
      <c r="F38" s="425">
        <f>LOOKUP(E38,117:117,118:118)-LOOKUP(C38,117:117,118:118)+100</f>
        <v>100</v>
      </c>
      <c r="G38" s="634">
        <f>Sheet1!D19</f>
        <v>679.18</v>
      </c>
      <c r="H38" s="425">
        <f>LOOKUP(G38,117:117,118:118)-LOOKUP(C38,117:117,118:118)+100</f>
        <v>100</v>
      </c>
      <c r="I38" s="486">
        <f>Sheet1!D20</f>
        <v>11316.95</v>
      </c>
      <c r="J38" s="425">
        <f>LOOKUP(I38,117:117,118:118)-LOOKUP(C38,117:117,118:118)+100</f>
        <v>100</v>
      </c>
      <c r="K38" s="569"/>
      <c r="L38" s="2932"/>
      <c r="M38" s="2926"/>
      <c r="N38" s="2926"/>
      <c r="O38" s="2984"/>
      <c r="P38" s="3365"/>
      <c r="Q38" s="3136" t="str">
        <f>B38</f>
        <v>宗地面积</v>
      </c>
      <c r="R38" s="712" t="s">
        <v>3790</v>
      </c>
      <c r="S38" s="713">
        <f t="shared" si="10"/>
        <v>100</v>
      </c>
      <c r="T38" s="712" t="s">
        <v>3790</v>
      </c>
      <c r="U38" s="713">
        <f t="shared" si="11"/>
        <v>100</v>
      </c>
      <c r="V38" s="712" t="s">
        <v>3790</v>
      </c>
      <c r="W38" s="713">
        <f t="shared" si="12"/>
        <v>100</v>
      </c>
      <c r="X38" s="3138"/>
      <c r="Y38" s="3365"/>
      <c r="Z38" s="3139" t="str">
        <f t="shared" si="13"/>
        <v>宗地面积</v>
      </c>
      <c r="AA38" s="3137">
        <f t="shared" si="3"/>
        <v>1</v>
      </c>
      <c r="AB38" s="3137">
        <f t="shared" si="4"/>
        <v>1</v>
      </c>
      <c r="AC38" s="3137">
        <f t="shared" si="5"/>
        <v>1</v>
      </c>
    </row>
    <row r="39" spans="1:29" ht="15">
      <c r="A39" s="430"/>
      <c r="B39" s="380" t="s">
        <v>3840</v>
      </c>
      <c r="C39" s="2079" t="s">
        <v>3551</v>
      </c>
      <c r="D39" s="393">
        <v>100</v>
      </c>
      <c r="E39" s="2079" t="s">
        <v>3551</v>
      </c>
      <c r="F39" s="393">
        <f>SUMIF(119:119,E39,120:120)-SUMIF(119:119,C39,120:120)+100</f>
        <v>100</v>
      </c>
      <c r="G39" s="2079" t="s">
        <v>3551</v>
      </c>
      <c r="H39" s="393">
        <f>SUMIF(119:119,G39,120:120)-SUMIF(119:119,C39,120:120)+100</f>
        <v>100</v>
      </c>
      <c r="I39" s="2079" t="s">
        <v>3551</v>
      </c>
      <c r="J39" s="393">
        <f>SUMIF(119:119,I39,120:120)-SUMIF(119:119,C39,120:120)+100</f>
        <v>100</v>
      </c>
      <c r="K39" s="568">
        <v>2</v>
      </c>
      <c r="L39" s="2932"/>
      <c r="M39" s="2926"/>
      <c r="N39" s="2926"/>
      <c r="O39" s="2984"/>
      <c r="P39" s="3365"/>
      <c r="Q39" s="3136" t="str">
        <f t="shared" ref="Q39:Q45" si="14">B39</f>
        <v>宗地形状</v>
      </c>
      <c r="R39" s="712" t="s">
        <v>3790</v>
      </c>
      <c r="S39" s="713">
        <f t="shared" si="10"/>
        <v>100</v>
      </c>
      <c r="T39" s="712" t="s">
        <v>3790</v>
      </c>
      <c r="U39" s="713">
        <f t="shared" si="11"/>
        <v>100</v>
      </c>
      <c r="V39" s="712" t="s">
        <v>3790</v>
      </c>
      <c r="W39" s="713">
        <f t="shared" si="12"/>
        <v>100</v>
      </c>
      <c r="X39" s="3138"/>
      <c r="Y39" s="3365"/>
      <c r="Z39" s="3139" t="str">
        <f t="shared" si="13"/>
        <v>宗地形状</v>
      </c>
      <c r="AA39" s="3137">
        <f t="shared" si="3"/>
        <v>1</v>
      </c>
      <c r="AB39" s="3137">
        <f t="shared" si="4"/>
        <v>1</v>
      </c>
      <c r="AC39" s="3137">
        <f t="shared" si="5"/>
        <v>1</v>
      </c>
    </row>
    <row r="40" spans="1:29" ht="15">
      <c r="A40" s="430"/>
      <c r="B40" s="380" t="s">
        <v>3802</v>
      </c>
      <c r="C40" s="2079" t="s">
        <v>3552</v>
      </c>
      <c r="D40" s="393">
        <v>100</v>
      </c>
      <c r="E40" s="2079" t="s">
        <v>3552</v>
      </c>
      <c r="F40" s="393">
        <f>SUMIF(121:121,E40,122:122)-SUMIF(121:121,C40,122:122)+100</f>
        <v>100</v>
      </c>
      <c r="G40" s="2079" t="s">
        <v>3552</v>
      </c>
      <c r="H40" s="393">
        <f>SUMIF(121:121,G40,122:122)-SUMIF(121:121,C40,122:122)+100</f>
        <v>100</v>
      </c>
      <c r="I40" s="2079" t="s">
        <v>3552</v>
      </c>
      <c r="J40" s="393">
        <f>SUMIF(121:121,I40,122:122)-SUMIF(121:121,C40,122:122)+100</f>
        <v>100</v>
      </c>
      <c r="K40" s="568">
        <v>2</v>
      </c>
      <c r="L40" s="2932"/>
      <c r="M40" s="2926"/>
      <c r="N40" s="2926"/>
      <c r="O40" s="2984"/>
      <c r="P40" s="3365"/>
      <c r="Q40" s="3136" t="str">
        <f t="shared" si="14"/>
        <v>临街宽度及深度</v>
      </c>
      <c r="R40" s="712" t="s">
        <v>3790</v>
      </c>
      <c r="S40" s="713">
        <f t="shared" si="10"/>
        <v>100</v>
      </c>
      <c r="T40" s="712" t="s">
        <v>3790</v>
      </c>
      <c r="U40" s="713">
        <f t="shared" si="11"/>
        <v>100</v>
      </c>
      <c r="V40" s="712" t="s">
        <v>3790</v>
      </c>
      <c r="W40" s="713">
        <f t="shared" si="12"/>
        <v>100</v>
      </c>
      <c r="X40" s="3138"/>
      <c r="Y40" s="3365"/>
      <c r="Z40" s="3139" t="str">
        <f t="shared" si="13"/>
        <v>临街宽度及深度</v>
      </c>
      <c r="AA40" s="3137">
        <f t="shared" si="3"/>
        <v>1</v>
      </c>
      <c r="AB40" s="3137">
        <f t="shared" si="4"/>
        <v>1</v>
      </c>
      <c r="AC40" s="3137">
        <f t="shared" si="5"/>
        <v>1</v>
      </c>
    </row>
    <row r="41" spans="1:29" s="113" customFormat="1" ht="15">
      <c r="A41" s="431"/>
      <c r="B41" s="380" t="s">
        <v>3803</v>
      </c>
      <c r="C41" s="2153" t="s">
        <v>3553</v>
      </c>
      <c r="D41" s="132">
        <v>100</v>
      </c>
      <c r="E41" s="2153" t="s">
        <v>3553</v>
      </c>
      <c r="F41" s="393">
        <f>SUMIF(123:123,E41,124:124)-SUMIF(123:123,C41,124:124)+100</f>
        <v>100</v>
      </c>
      <c r="G41" s="2153" t="s">
        <v>3553</v>
      </c>
      <c r="H41" s="393">
        <f>SUMIF(123:123,G41,124:124)-SUMIF(123:123,C41,124:124)+100</f>
        <v>100</v>
      </c>
      <c r="I41" s="2153" t="s">
        <v>3553</v>
      </c>
      <c r="J41" s="393">
        <f>SUMIF(123:123,I41,124:124)-SUMIF(123:123,C41,124:124)+100</f>
        <v>100</v>
      </c>
      <c r="K41" s="628">
        <v>1</v>
      </c>
      <c r="L41" s="2927"/>
      <c r="M41" s="2928"/>
      <c r="N41" s="2928"/>
      <c r="O41" s="2982"/>
      <c r="P41" s="3365"/>
      <c r="Q41" s="3136" t="str">
        <f t="shared" si="14"/>
        <v>宗地开发程度</v>
      </c>
      <c r="R41" s="708" t="s">
        <v>3790</v>
      </c>
      <c r="S41" s="709">
        <f t="shared" si="10"/>
        <v>100</v>
      </c>
      <c r="T41" s="708" t="s">
        <v>3790</v>
      </c>
      <c r="U41" s="709">
        <f t="shared" si="11"/>
        <v>100</v>
      </c>
      <c r="V41" s="708" t="s">
        <v>3790</v>
      </c>
      <c r="W41" s="709">
        <f t="shared" si="12"/>
        <v>100</v>
      </c>
      <c r="X41" s="710"/>
      <c r="Y41" s="3365"/>
      <c r="Z41" s="3134" t="str">
        <f t="shared" si="13"/>
        <v>宗地开发程度</v>
      </c>
      <c r="AA41" s="711">
        <f t="shared" si="3"/>
        <v>1</v>
      </c>
      <c r="AB41" s="711">
        <f t="shared" si="4"/>
        <v>1</v>
      </c>
      <c r="AC41" s="711">
        <f t="shared" si="5"/>
        <v>1</v>
      </c>
    </row>
    <row r="42" spans="1:29" ht="15.75" customHeight="1" thickBot="1">
      <c r="A42" s="430"/>
      <c r="B42" s="380" t="s">
        <v>3804</v>
      </c>
      <c r="C42" s="2079" t="s">
        <v>3541</v>
      </c>
      <c r="D42" s="393">
        <v>100</v>
      </c>
      <c r="E42" s="2079" t="s">
        <v>3541</v>
      </c>
      <c r="F42" s="393">
        <f>SUMIF(125:125,E42,126:126)-SUMIF(125:125,C42,126:126)+100</f>
        <v>100</v>
      </c>
      <c r="G42" s="2079" t="s">
        <v>3541</v>
      </c>
      <c r="H42" s="393">
        <f>SUMIF(125:125,G42,126:126)-SUMIF(125:125,C42,126:126)+100</f>
        <v>100</v>
      </c>
      <c r="I42" s="2079" t="s">
        <v>3541</v>
      </c>
      <c r="J42" s="393">
        <f>SUMIF(125:125,I42,126:126)-SUMIF(125:125,C42,126:126)+100</f>
        <v>100</v>
      </c>
      <c r="K42" s="568"/>
      <c r="L42" s="2932"/>
      <c r="M42" s="2926"/>
      <c r="N42" s="2926"/>
      <c r="O42" s="2984"/>
      <c r="P42" s="3365" t="s">
        <v>3837</v>
      </c>
      <c r="Q42" s="3136" t="str">
        <f t="shared" si="14"/>
        <v>工程地质条件</v>
      </c>
      <c r="R42" s="712" t="s">
        <v>3790</v>
      </c>
      <c r="S42" s="713">
        <f t="shared" si="10"/>
        <v>100</v>
      </c>
      <c r="T42" s="712" t="s">
        <v>3790</v>
      </c>
      <c r="U42" s="713">
        <f t="shared" si="11"/>
        <v>100</v>
      </c>
      <c r="V42" s="712" t="s">
        <v>3790</v>
      </c>
      <c r="W42" s="713">
        <f t="shared" si="12"/>
        <v>100</v>
      </c>
      <c r="X42" s="3138"/>
      <c r="Y42" s="3365" t="s">
        <v>3837</v>
      </c>
      <c r="Z42" s="3139" t="str">
        <f t="shared" si="13"/>
        <v>工程地质条件</v>
      </c>
      <c r="AA42" s="3137">
        <f t="shared" si="3"/>
        <v>1</v>
      </c>
      <c r="AB42" s="3137">
        <f t="shared" si="4"/>
        <v>1</v>
      </c>
      <c r="AC42" s="3137">
        <f t="shared" si="5"/>
        <v>1</v>
      </c>
    </row>
    <row r="43" spans="1:29" ht="15" hidden="1" customHeight="1">
      <c r="A43" s="430"/>
      <c r="B43" s="1287">
        <v>111</v>
      </c>
      <c r="C43" s="629"/>
      <c r="D43" s="393">
        <v>100</v>
      </c>
      <c r="E43" s="629"/>
      <c r="F43" s="393">
        <f>SUMIF(127:127,E43,128:128)-SUMIF(127:127,C43,128:128)+100</f>
        <v>100</v>
      </c>
      <c r="G43" s="629"/>
      <c r="H43" s="393">
        <f>SUMIF(127:127,G43,128:128)-SUMIF(127:127,C43,128:128)+100</f>
        <v>100</v>
      </c>
      <c r="I43" s="505"/>
      <c r="J43" s="393">
        <f>SUMIF(127:127,I43,128:128)-SUMIF(127:127,C43,128:128)+100</f>
        <v>100</v>
      </c>
      <c r="K43" s="569"/>
      <c r="L43" s="2932"/>
      <c r="M43" s="2926"/>
      <c r="N43" s="2926"/>
      <c r="O43" s="2984"/>
      <c r="P43" s="3365"/>
      <c r="Q43" s="3136">
        <f t="shared" si="14"/>
        <v>111</v>
      </c>
      <c r="R43" s="712" t="s">
        <v>3790</v>
      </c>
      <c r="S43" s="713">
        <f t="shared" si="10"/>
        <v>100</v>
      </c>
      <c r="T43" s="712" t="s">
        <v>3790</v>
      </c>
      <c r="U43" s="713">
        <f t="shared" si="11"/>
        <v>100</v>
      </c>
      <c r="V43" s="712" t="s">
        <v>3790</v>
      </c>
      <c r="W43" s="713">
        <f t="shared" si="12"/>
        <v>100</v>
      </c>
      <c r="X43" s="3138"/>
      <c r="Y43" s="3365"/>
      <c r="Z43" s="3139">
        <f t="shared" si="13"/>
        <v>111</v>
      </c>
      <c r="AA43" s="3137">
        <f t="shared" si="3"/>
        <v>1</v>
      </c>
      <c r="AB43" s="3137">
        <f t="shared" si="4"/>
        <v>1</v>
      </c>
      <c r="AC43" s="3137">
        <f t="shared" si="5"/>
        <v>1</v>
      </c>
    </row>
    <row r="44" spans="1:29" ht="15" hidden="1" customHeight="1">
      <c r="A44" s="430"/>
      <c r="B44" s="1287">
        <v>111</v>
      </c>
      <c r="C44" s="629"/>
      <c r="D44" s="393">
        <v>100</v>
      </c>
      <c r="E44" s="629"/>
      <c r="F44" s="393">
        <f>SUMIF(129:129,E44,130:130)-SUMIF(129:129,C44,130:130)+100</f>
        <v>100</v>
      </c>
      <c r="G44" s="629"/>
      <c r="H44" s="393">
        <f>SUMIF(129:129,G44,130:130)-SUMIF(129:129,C44,130:130)+100</f>
        <v>100</v>
      </c>
      <c r="I44" s="505"/>
      <c r="J44" s="393">
        <f>SUMIF(129:129,I44,130:130)-SUMIF(129:129,C44,130:130)+100</f>
        <v>100</v>
      </c>
      <c r="K44" s="569"/>
      <c r="L44" s="2932"/>
      <c r="M44" s="2926"/>
      <c r="N44" s="2926"/>
      <c r="O44" s="2984"/>
      <c r="P44" s="3365"/>
      <c r="Q44" s="3136">
        <f t="shared" si="14"/>
        <v>111</v>
      </c>
      <c r="R44" s="712" t="s">
        <v>3790</v>
      </c>
      <c r="S44" s="713">
        <f t="shared" si="10"/>
        <v>100</v>
      </c>
      <c r="T44" s="712" t="s">
        <v>3790</v>
      </c>
      <c r="U44" s="713">
        <f t="shared" si="11"/>
        <v>100</v>
      </c>
      <c r="V44" s="712" t="s">
        <v>3790</v>
      </c>
      <c r="W44" s="713">
        <f t="shared" si="12"/>
        <v>100</v>
      </c>
      <c r="X44" s="3138"/>
      <c r="Y44" s="3365"/>
      <c r="Z44" s="3139">
        <f t="shared" si="13"/>
        <v>111</v>
      </c>
      <c r="AA44" s="3137">
        <f t="shared" si="3"/>
        <v>1</v>
      </c>
      <c r="AB44" s="3137">
        <f t="shared" si="4"/>
        <v>1</v>
      </c>
      <c r="AC44" s="3137">
        <f t="shared" si="5"/>
        <v>1</v>
      </c>
    </row>
    <row r="45" spans="1:29" s="429" customFormat="1" ht="15.75" hidden="1" customHeight="1" thickBot="1">
      <c r="A45" s="426"/>
      <c r="B45" s="1287">
        <v>111</v>
      </c>
      <c r="C45" s="2154"/>
      <c r="D45" s="3152">
        <v>100</v>
      </c>
      <c r="E45" s="629"/>
      <c r="F45" s="396">
        <f>SUMIF(131:131,E45,132:132)-SUMIF(131:131,C45,132:132)+100</f>
        <v>100</v>
      </c>
      <c r="G45" s="629"/>
      <c r="H45" s="396">
        <f>SUMIF(131:131,G45,132:132)-SUMIF(131:131,C45,132:132)+100</f>
        <v>100</v>
      </c>
      <c r="I45" s="629"/>
      <c r="J45" s="396">
        <f>SUMIF(131:131,I45,132:132)-SUMIF(131:131,C45,132:132)+100</f>
        <v>100</v>
      </c>
      <c r="K45" s="635"/>
      <c r="L45" s="2931"/>
      <c r="M45" s="2933"/>
      <c r="N45" s="2933"/>
      <c r="O45" s="2985"/>
      <c r="P45" s="3365"/>
      <c r="Q45" s="3136">
        <f t="shared" si="14"/>
        <v>111</v>
      </c>
      <c r="R45" s="715" t="s">
        <v>3790</v>
      </c>
      <c r="S45" s="716">
        <f t="shared" si="10"/>
        <v>100</v>
      </c>
      <c r="T45" s="715" t="s">
        <v>3790</v>
      </c>
      <c r="U45" s="716">
        <f t="shared" si="11"/>
        <v>100</v>
      </c>
      <c r="V45" s="715" t="s">
        <v>3790</v>
      </c>
      <c r="W45" s="716">
        <f t="shared" si="12"/>
        <v>100</v>
      </c>
      <c r="X45" s="717"/>
      <c r="Y45" s="3365"/>
      <c r="Z45" s="718">
        <f t="shared" si="13"/>
        <v>111</v>
      </c>
      <c r="AA45" s="3137">
        <f t="shared" si="3"/>
        <v>1</v>
      </c>
      <c r="AB45" s="3137">
        <f t="shared" si="4"/>
        <v>1</v>
      </c>
      <c r="AC45" s="3137">
        <f t="shared" si="5"/>
        <v>1</v>
      </c>
    </row>
    <row r="46" spans="1:29" ht="29.25" customHeight="1">
      <c r="A46" s="437" t="s">
        <v>3841</v>
      </c>
      <c r="B46" s="2155" t="s">
        <v>3584</v>
      </c>
      <c r="C46" s="636" t="s">
        <v>3820</v>
      </c>
      <c r="D46" s="439"/>
      <c r="E46" s="440">
        <f>Sheet1!M4</f>
        <v>1920.56</v>
      </c>
      <c r="F46" s="441"/>
      <c r="G46" s="440">
        <f>Sheet1!M19</f>
        <v>1525.11</v>
      </c>
      <c r="H46" s="443"/>
      <c r="I46" s="440">
        <f>Sheet1!M20</f>
        <v>2145.96</v>
      </c>
      <c r="J46" s="443"/>
      <c r="K46" s="721"/>
      <c r="L46" s="2934"/>
      <c r="M46" s="2935"/>
      <c r="N46" s="2926"/>
      <c r="O46" s="2935"/>
      <c r="P46" s="3360" t="str">
        <f>A46</f>
        <v>成交单价</v>
      </c>
      <c r="Q46" s="3360"/>
      <c r="R46" s="3366">
        <f>E46</f>
        <v>1920.56</v>
      </c>
      <c r="S46" s="3366"/>
      <c r="T46" s="3366">
        <f>G46</f>
        <v>1525.11</v>
      </c>
      <c r="U46" s="3366"/>
      <c r="V46" s="3366">
        <f>I46</f>
        <v>2145.96</v>
      </c>
      <c r="W46" s="3366"/>
      <c r="X46" s="697"/>
      <c r="Y46" s="719"/>
      <c r="Z46" s="697"/>
      <c r="AA46" s="697"/>
      <c r="AB46" s="697"/>
      <c r="AC46" s="697"/>
    </row>
    <row r="47" spans="1:29" ht="15.75" customHeight="1" thickBot="1">
      <c r="A47" s="444" t="s">
        <v>3842</v>
      </c>
      <c r="B47" s="637"/>
      <c r="C47" s="447">
        <f>R48</f>
        <v>1761</v>
      </c>
      <c r="D47" s="2522" t="s">
        <v>2864</v>
      </c>
      <c r="E47" s="447">
        <f>R47</f>
        <v>1750</v>
      </c>
      <c r="F47" s="2523"/>
      <c r="G47" s="446">
        <f>T47</f>
        <v>1530</v>
      </c>
      <c r="H47" s="2523"/>
      <c r="I47" s="447">
        <f>V47</f>
        <v>2003</v>
      </c>
      <c r="J47" s="2523"/>
      <c r="K47" s="2525">
        <f>F47+H47+J47</f>
        <v>0</v>
      </c>
      <c r="L47" s="2934"/>
      <c r="M47" s="2935"/>
      <c r="N47" s="2935"/>
      <c r="O47" s="2935"/>
      <c r="P47" s="3360" t="str">
        <f>A47</f>
        <v>比较价值（元/平方米）</v>
      </c>
      <c r="Q47" s="3360"/>
      <c r="R47" s="3353">
        <f>ROUND(PRODUCT(R46,AA7:AA45),0)</f>
        <v>1750</v>
      </c>
      <c r="S47" s="3353"/>
      <c r="T47" s="3353">
        <f>ROUND(PRODUCT(T46,AB7:AB45),0)</f>
        <v>1530</v>
      </c>
      <c r="U47" s="3353"/>
      <c r="V47" s="3353">
        <f>ROUND(PRODUCT(V46,AC7:AC45),0)</f>
        <v>2003</v>
      </c>
      <c r="W47" s="3353"/>
      <c r="X47" s="697"/>
      <c r="Y47" s="697"/>
      <c r="Z47" s="697"/>
      <c r="AA47" s="697"/>
      <c r="AB47" s="697"/>
      <c r="AC47" s="697"/>
    </row>
    <row r="48" spans="1:29" ht="15.75" customHeight="1" thickBot="1">
      <c r="A48" s="448" t="s">
        <v>3805</v>
      </c>
      <c r="B48" s="449"/>
      <c r="C48" s="450">
        <f>R48</f>
        <v>1761</v>
      </c>
      <c r="D48" s="450"/>
      <c r="E48" s="450"/>
      <c r="F48" s="450"/>
      <c r="G48" s="450"/>
      <c r="H48" s="450"/>
      <c r="I48" s="450"/>
      <c r="J48" s="450"/>
      <c r="K48" s="722"/>
      <c r="L48" s="2934"/>
      <c r="M48" s="2935"/>
      <c r="N48" s="2935"/>
      <c r="O48" s="2935"/>
      <c r="P48" s="3354" t="str">
        <f>A48</f>
        <v>估价对象XX用房的比较价值（楼面单价，元/平方米）</v>
      </c>
      <c r="Q48" s="3355"/>
      <c r="R48" s="3356">
        <f>ROUND(IF(D47="简单平均",AVERAGE(R47:W47),R47*F47+T47*H47+V47*J47),0)</f>
        <v>1761</v>
      </c>
      <c r="S48" s="3356"/>
      <c r="T48" s="3356"/>
      <c r="U48" s="3356"/>
      <c r="V48" s="3356"/>
      <c r="W48" s="3356"/>
      <c r="X48" s="697"/>
      <c r="Y48" s="697"/>
      <c r="Z48" s="697"/>
      <c r="AA48" s="697"/>
      <c r="AB48" s="697"/>
      <c r="AC48" s="697"/>
    </row>
    <row r="49" spans="1:29">
      <c r="A49" s="2935"/>
      <c r="B49" s="2935"/>
      <c r="C49" s="2935"/>
      <c r="D49" s="2935"/>
      <c r="E49" s="2935"/>
      <c r="F49" s="2935"/>
      <c r="G49" s="2939"/>
      <c r="H49" s="2935"/>
      <c r="I49" s="2935"/>
      <c r="J49" s="2935"/>
      <c r="K49" s="2940"/>
      <c r="L49" s="2936"/>
      <c r="M49" s="2935"/>
      <c r="N49" s="2935"/>
      <c r="O49" s="2935"/>
      <c r="P49" s="2935"/>
      <c r="Q49" s="2935"/>
      <c r="R49" s="2935"/>
      <c r="S49" s="2935"/>
      <c r="T49" s="2935"/>
      <c r="U49" s="2935"/>
      <c r="V49" s="2935"/>
      <c r="W49" s="2935"/>
      <c r="X49" s="2935"/>
      <c r="Y49" s="2935"/>
      <c r="Z49" s="2935"/>
      <c r="AA49" s="2935"/>
      <c r="AB49" s="2935"/>
      <c r="AC49" s="2935"/>
    </row>
    <row r="50" spans="1:29">
      <c r="A50" s="2935"/>
      <c r="B50" s="2935"/>
      <c r="C50" s="2935"/>
      <c r="D50" s="2935"/>
      <c r="E50" s="2935"/>
      <c r="F50" s="2935"/>
      <c r="G50" s="2935"/>
      <c r="H50" s="2935"/>
      <c r="I50" s="2935"/>
      <c r="J50" s="2935"/>
      <c r="K50" s="2940"/>
      <c r="L50" s="2936"/>
      <c r="M50" s="2935"/>
      <c r="N50" s="2935"/>
      <c r="O50" s="2935"/>
      <c r="P50" s="2935"/>
      <c r="Q50" s="2935"/>
      <c r="R50" s="2935"/>
      <c r="S50" s="2935"/>
      <c r="T50" s="2935"/>
      <c r="U50" s="2935"/>
      <c r="V50" s="2935"/>
      <c r="W50" s="2935"/>
      <c r="X50" s="2935"/>
      <c r="Y50" s="2935"/>
      <c r="Z50" s="2935"/>
      <c r="AA50" s="2935"/>
      <c r="AB50" s="2935"/>
      <c r="AC50" s="2935"/>
    </row>
    <row r="51" spans="1:29" ht="13.5" customHeight="1">
      <c r="A51" s="2935"/>
      <c r="B51" s="2935"/>
      <c r="C51" s="453" t="s">
        <v>3843</v>
      </c>
      <c r="D51" s="454"/>
      <c r="E51" s="455">
        <f>IF(E46&lt;E47,E47/E46-1,E46/E47-1)</f>
        <v>9.7462857142857073E-2</v>
      </c>
      <c r="F51" s="456" t="str">
        <f>IF(OR(E51&gt;=0.3,E51&lt;=-0.3),"超过30%","")</f>
        <v/>
      </c>
      <c r="G51" s="455">
        <f>IF(G46&lt;G47,G47/G46-1,G46/G47-1)</f>
        <v>3.2063261010681909E-3</v>
      </c>
      <c r="H51" s="456" t="str">
        <f>IF(OR(G51&gt;=0.3,G51&lt;=-0.3),"超过30%","")</f>
        <v/>
      </c>
      <c r="I51" s="455">
        <f>IF(I46&lt;I47,I47/I46-1,I46/I47-1)</f>
        <v>7.1372940589116363E-2</v>
      </c>
      <c r="J51" s="456" t="str">
        <f>IF(OR(I51&gt;=0.3,I51&lt;=-0.3),"超过30%","")</f>
        <v/>
      </c>
      <c r="K51" s="2940"/>
      <c r="L51" s="2936"/>
      <c r="M51" s="2935"/>
      <c r="N51" s="2935"/>
      <c r="O51" s="2935"/>
      <c r="P51" s="2935"/>
      <c r="Q51" s="2935"/>
      <c r="R51" s="2935"/>
      <c r="S51" s="2935"/>
      <c r="T51" s="2935"/>
      <c r="U51" s="2935"/>
      <c r="V51" s="2935"/>
      <c r="W51" s="2935"/>
      <c r="X51" s="2935"/>
      <c r="Y51" s="2935"/>
      <c r="Z51" s="2935"/>
      <c r="AA51" s="2935"/>
      <c r="AB51" s="2935"/>
      <c r="AC51" s="2935"/>
    </row>
    <row r="52" spans="1:29" ht="13.5" customHeight="1">
      <c r="A52" s="2935"/>
      <c r="B52" s="2935"/>
      <c r="C52" s="453" t="s">
        <v>3844</v>
      </c>
      <c r="D52" s="457"/>
      <c r="E52" s="455">
        <f>IF(E47&lt;G47,G47/E47-1,E47/G47-1)</f>
        <v>0.14379084967320255</v>
      </c>
      <c r="F52" s="456" t="str">
        <f>IF(OR(E52&gt;=0.2,E52&lt;=-0.2),"超过20%","")</f>
        <v/>
      </c>
      <c r="G52" s="455">
        <f>IF(G47&lt;I47,I47/G47-1,G47/I47-1)</f>
        <v>0.30915032679738563</v>
      </c>
      <c r="H52" s="456" t="str">
        <f>IF(OR(G52&gt;=0.2,G52&lt;=-0.2),"超过20%","")</f>
        <v>超过20%</v>
      </c>
      <c r="I52" s="455">
        <f>IF(I47&lt;E47,E47/I47-1,I47/E47-1)</f>
        <v>0.14457142857142857</v>
      </c>
      <c r="J52" s="456" t="str">
        <f>IF(OR(I52&gt;=0.2,I52&lt;=-0.2),"超过20%","")</f>
        <v/>
      </c>
      <c r="K52" s="2940"/>
      <c r="L52" s="2936"/>
      <c r="M52" s="2935"/>
      <c r="N52" s="2935"/>
      <c r="O52" s="2935"/>
      <c r="P52" s="2935"/>
      <c r="Q52" s="2935"/>
      <c r="R52" s="2935"/>
      <c r="S52" s="2935"/>
      <c r="T52" s="2935"/>
      <c r="U52" s="2935"/>
      <c r="V52" s="2935"/>
      <c r="W52" s="2935"/>
      <c r="X52" s="2935"/>
      <c r="Y52" s="2935"/>
      <c r="Z52" s="2935"/>
      <c r="AA52" s="2935"/>
      <c r="AB52" s="2935"/>
      <c r="AC52" s="2935"/>
    </row>
    <row r="53" spans="1:29" s="458" customFormat="1" ht="13.5" customHeight="1">
      <c r="A53" s="2938"/>
      <c r="B53" s="2938"/>
      <c r="C53" s="453" t="s">
        <v>3806</v>
      </c>
      <c r="D53" s="457"/>
      <c r="E53" s="455">
        <f>IF(E46&lt;G46,G46/E46-1,E46/G46-1)</f>
        <v>0.25929277232461923</v>
      </c>
      <c r="F53" s="456" t="str">
        <f>IF(OR(E53&gt;=0.3,E53&lt;=-0.3),"超过30%","")</f>
        <v/>
      </c>
      <c r="G53" s="455">
        <f>IF(G46&lt;I46,I46/G46-1,G46/I46-1)</f>
        <v>0.40708539056199244</v>
      </c>
      <c r="H53" s="456" t="str">
        <f>IF(OR(G53&gt;=0.3,G53&lt;=-0.3),"超过30%","")</f>
        <v>超过30%</v>
      </c>
      <c r="I53" s="455">
        <f>IF(I46&lt;E46,E46/I46-1,I46/E46-1)</f>
        <v>0.11736160286583086</v>
      </c>
      <c r="J53" s="456" t="str">
        <f>IF(OR(I53&gt;=0.3,I53&lt;=-0.3),"超过30%","")</f>
        <v/>
      </c>
      <c r="K53" s="2943"/>
      <c r="L53" s="2937"/>
      <c r="M53" s="2938"/>
      <c r="N53" s="2938"/>
      <c r="O53" s="2938"/>
      <c r="P53" s="2938"/>
      <c r="Q53" s="2938"/>
      <c r="R53" s="2938"/>
      <c r="S53" s="2938"/>
      <c r="T53" s="2938"/>
      <c r="U53" s="2938"/>
      <c r="V53" s="2938"/>
      <c r="W53" s="2938"/>
      <c r="X53" s="2938"/>
      <c r="Y53" s="2938"/>
      <c r="Z53" s="2938"/>
      <c r="AA53" s="2938"/>
      <c r="AB53" s="2938"/>
      <c r="AC53" s="2938"/>
    </row>
    <row r="54" spans="1:29" s="458" customFormat="1" ht="15" thickBot="1">
      <c r="A54" s="2938"/>
      <c r="B54" s="2941"/>
      <c r="C54" s="700"/>
      <c r="D54" s="698"/>
      <c r="E54" s="698"/>
      <c r="F54" s="698"/>
      <c r="G54" s="698"/>
      <c r="H54" s="698"/>
      <c r="I54" s="698"/>
      <c r="J54" s="698"/>
      <c r="K54" s="2943"/>
      <c r="L54" s="2937"/>
      <c r="M54" s="2938"/>
      <c r="N54" s="2938"/>
      <c r="O54" s="2938"/>
      <c r="P54" s="2938"/>
      <c r="Q54" s="2938"/>
      <c r="R54" s="2938"/>
      <c r="S54" s="2938"/>
      <c r="T54" s="2938"/>
      <c r="U54" s="2938"/>
      <c r="V54" s="2938"/>
      <c r="W54" s="2938"/>
      <c r="X54" s="2938"/>
      <c r="Y54" s="2938"/>
      <c r="Z54" s="2938"/>
      <c r="AA54" s="2938"/>
      <c r="AB54" s="2938"/>
      <c r="AC54" s="2938"/>
    </row>
    <row r="55" spans="1:29" ht="27" customHeight="1">
      <c r="A55" s="638" t="s">
        <v>3845</v>
      </c>
      <c r="B55" s="639" t="s">
        <v>3846</v>
      </c>
      <c r="C55" s="2156" t="s">
        <v>3807</v>
      </c>
      <c r="D55" s="2157" t="s">
        <v>3847</v>
      </c>
      <c r="E55" s="3140" t="s">
        <v>3848</v>
      </c>
      <c r="F55" s="3153" t="s">
        <v>3849</v>
      </c>
      <c r="G55" s="3357" t="s">
        <v>3850</v>
      </c>
      <c r="H55" s="3358"/>
      <c r="I55" s="140" t="s">
        <v>3851</v>
      </c>
      <c r="J55" s="3154" t="str">
        <f>项目基本情况!F35</f>
        <v>湖南省</v>
      </c>
      <c r="K55" s="2158" t="s">
        <v>3852</v>
      </c>
      <c r="L55" s="2936"/>
      <c r="M55" s="2935"/>
      <c r="N55" s="2935"/>
      <c r="O55" s="2935"/>
      <c r="P55" s="2935"/>
      <c r="Q55" s="2935"/>
      <c r="R55" s="2935"/>
      <c r="S55" s="2935"/>
      <c r="T55" s="2935"/>
      <c r="U55" s="2935"/>
      <c r="V55" s="2935"/>
      <c r="W55" s="2935"/>
      <c r="X55" s="2935"/>
      <c r="Y55" s="2935"/>
      <c r="Z55" s="2935"/>
      <c r="AA55" s="2935"/>
      <c r="AB55" s="2935"/>
      <c r="AC55" s="2935"/>
    </row>
    <row r="56" spans="1:29" s="646" customFormat="1">
      <c r="A56" s="642" t="s">
        <v>3853</v>
      </c>
      <c r="B56" s="643">
        <f>C48</f>
        <v>1761</v>
      </c>
      <c r="C56" s="644">
        <v>1</v>
      </c>
      <c r="D56" s="1066">
        <v>1</v>
      </c>
      <c r="E56" s="644">
        <f>'数据-汇总表'!E8+'数据-汇总表'!E9</f>
        <v>29610.970000000008</v>
      </c>
      <c r="F56" s="3155">
        <f t="shared" ref="F56:F65" si="15">ROUND(B56*E56/10000,0)</f>
        <v>5214</v>
      </c>
      <c r="G56" s="3359"/>
      <c r="H56" s="3360"/>
      <c r="I56" s="3156">
        <v>1</v>
      </c>
      <c r="J56" s="3157">
        <v>1</v>
      </c>
      <c r="K56" s="2938"/>
      <c r="L56" s="2992"/>
      <c r="M56" s="2992"/>
      <c r="N56" s="2992"/>
      <c r="O56" s="2992"/>
      <c r="P56" s="2992"/>
      <c r="Q56" s="2992"/>
      <c r="R56" s="2992"/>
      <c r="S56" s="2992"/>
      <c r="T56" s="2992"/>
      <c r="U56" s="2992"/>
      <c r="V56" s="2992"/>
      <c r="W56" s="2992"/>
      <c r="X56" s="2992"/>
      <c r="Y56" s="2992"/>
      <c r="Z56" s="2992"/>
      <c r="AA56" s="2992"/>
      <c r="AB56" s="2992"/>
      <c r="AC56" s="2992"/>
    </row>
    <row r="57" spans="1:29" s="646" customFormat="1">
      <c r="A57" s="647" t="s">
        <v>3808</v>
      </c>
      <c r="B57" s="224">
        <f>ROUND($C$48*C57*D57,0)</f>
        <v>0</v>
      </c>
      <c r="C57" s="176">
        <f t="shared" ref="C57:C65" si="16">IF($C$55="北京市系数",I57,J57)</f>
        <v>0</v>
      </c>
      <c r="D57" s="1067">
        <v>0.25</v>
      </c>
      <c r="E57" s="648"/>
      <c r="F57" s="3155">
        <f t="shared" si="15"/>
        <v>0</v>
      </c>
      <c r="G57" s="3361" t="s">
        <v>3809</v>
      </c>
      <c r="H57" s="1014">
        <f>项目基本情况!B37</f>
        <v>0</v>
      </c>
      <c r="I57" s="3156">
        <f>SUMIF(修正!A45:A56,H57,修正!B45:B56)</f>
        <v>0</v>
      </c>
      <c r="J57" s="1018"/>
      <c r="K57" s="2935"/>
      <c r="L57" s="2992"/>
      <c r="M57" s="2992"/>
      <c r="N57" s="2992"/>
      <c r="O57" s="2992"/>
      <c r="P57" s="2992"/>
      <c r="Q57" s="2992"/>
      <c r="R57" s="2992"/>
      <c r="S57" s="2992"/>
      <c r="T57" s="2992"/>
      <c r="U57" s="2992"/>
      <c r="V57" s="2992"/>
      <c r="W57" s="2992"/>
      <c r="X57" s="2992"/>
      <c r="Y57" s="2992"/>
      <c r="Z57" s="2992"/>
      <c r="AA57" s="2992"/>
      <c r="AB57" s="2992"/>
      <c r="AC57" s="2992"/>
    </row>
    <row r="58" spans="1:29" s="646" customFormat="1" ht="12.75" customHeight="1">
      <c r="A58" s="647" t="s">
        <v>3810</v>
      </c>
      <c r="B58" s="224">
        <f t="shared" ref="B58:B65" si="17">ROUND($C$48*C58*D58,0)</f>
        <v>0</v>
      </c>
      <c r="C58" s="176">
        <f t="shared" si="16"/>
        <v>0</v>
      </c>
      <c r="D58" s="1067">
        <v>0.25</v>
      </c>
      <c r="E58" s="648"/>
      <c r="F58" s="3155">
        <f t="shared" si="15"/>
        <v>0</v>
      </c>
      <c r="G58" s="3361"/>
      <c r="H58" s="1014">
        <f>项目基本情况!B37</f>
        <v>0</v>
      </c>
      <c r="I58" s="3156">
        <f>SUMIF(修正!A45:A56,H58,修正!C45:C56)</f>
        <v>0</v>
      </c>
      <c r="J58" s="1018"/>
      <c r="K58" s="2938"/>
      <c r="L58" s="2992"/>
      <c r="M58" s="2992"/>
      <c r="N58" s="2992"/>
      <c r="O58" s="2992"/>
      <c r="P58" s="2992"/>
      <c r="Q58" s="2992"/>
      <c r="R58" s="2992"/>
      <c r="S58" s="2992"/>
      <c r="T58" s="2992"/>
      <c r="U58" s="2992"/>
      <c r="V58" s="2992"/>
      <c r="W58" s="2992"/>
      <c r="X58" s="2992"/>
      <c r="Y58" s="2992"/>
      <c r="Z58" s="2992"/>
      <c r="AA58" s="2992"/>
      <c r="AB58" s="2992"/>
      <c r="AC58" s="2992"/>
    </row>
    <row r="59" spans="1:29" s="646" customFormat="1">
      <c r="A59" s="647" t="s">
        <v>3811</v>
      </c>
      <c r="B59" s="224">
        <f t="shared" si="17"/>
        <v>0</v>
      </c>
      <c r="C59" s="176">
        <f t="shared" si="16"/>
        <v>0</v>
      </c>
      <c r="D59" s="1067">
        <v>0.25</v>
      </c>
      <c r="E59" s="648"/>
      <c r="F59" s="3155">
        <f t="shared" si="15"/>
        <v>0</v>
      </c>
      <c r="G59" s="3361"/>
      <c r="H59" s="1014">
        <f>项目基本情况!B37</f>
        <v>0</v>
      </c>
      <c r="I59" s="3156">
        <f>SUMIF(修正!A45:A56,H59,修正!D45:D56)</f>
        <v>0</v>
      </c>
      <c r="J59" s="1018"/>
      <c r="K59" s="2935"/>
      <c r="L59" s="2992"/>
      <c r="M59" s="2992"/>
      <c r="N59" s="2992"/>
      <c r="O59" s="2992"/>
      <c r="P59" s="2992"/>
      <c r="Q59" s="2992"/>
      <c r="R59" s="2992"/>
      <c r="S59" s="2992"/>
      <c r="T59" s="2992"/>
      <c r="U59" s="2992"/>
      <c r="V59" s="2992"/>
      <c r="W59" s="2992"/>
      <c r="X59" s="2992"/>
      <c r="Y59" s="2992"/>
      <c r="Z59" s="2992"/>
      <c r="AA59" s="2992"/>
      <c r="AB59" s="2992"/>
      <c r="AC59" s="2992"/>
    </row>
    <row r="60" spans="1:29" s="646" customFormat="1">
      <c r="A60" s="647" t="s">
        <v>3812</v>
      </c>
      <c r="B60" s="224">
        <f t="shared" si="17"/>
        <v>0</v>
      </c>
      <c r="C60" s="176">
        <f t="shared" si="16"/>
        <v>0</v>
      </c>
      <c r="D60" s="1067">
        <v>0.25</v>
      </c>
      <c r="E60" s="648"/>
      <c r="F60" s="3155">
        <f t="shared" si="15"/>
        <v>0</v>
      </c>
      <c r="G60" s="3361"/>
      <c r="H60" s="1014">
        <f>项目基本情况!B37</f>
        <v>0</v>
      </c>
      <c r="I60" s="3156">
        <f>SUMIF(修正!A45:A56,H60,修正!E45:E56)</f>
        <v>0</v>
      </c>
      <c r="J60" s="1018"/>
      <c r="K60" s="2938"/>
      <c r="L60" s="2992"/>
      <c r="M60" s="2992"/>
      <c r="N60" s="2992"/>
      <c r="O60" s="2992"/>
      <c r="P60" s="2992"/>
      <c r="Q60" s="2992"/>
      <c r="R60" s="2992"/>
      <c r="S60" s="2992"/>
      <c r="T60" s="2992"/>
      <c r="U60" s="2992"/>
      <c r="V60" s="2992"/>
      <c r="W60" s="2992"/>
      <c r="X60" s="2992"/>
      <c r="Y60" s="2992"/>
      <c r="Z60" s="2992"/>
      <c r="AA60" s="2992"/>
      <c r="AB60" s="2992"/>
      <c r="AC60" s="2992"/>
    </row>
    <row r="61" spans="1:29" s="646" customFormat="1">
      <c r="A61" s="647" t="s">
        <v>3813</v>
      </c>
      <c r="B61" s="224">
        <f t="shared" si="17"/>
        <v>0</v>
      </c>
      <c r="C61" s="176">
        <f t="shared" si="16"/>
        <v>0</v>
      </c>
      <c r="D61" s="1067">
        <v>0.25</v>
      </c>
      <c r="E61" s="223">
        <f>'数据-汇总表'!E11</f>
        <v>0</v>
      </c>
      <c r="F61" s="3155">
        <f t="shared" si="15"/>
        <v>0</v>
      </c>
      <c r="G61" s="3141" t="s">
        <v>3854</v>
      </c>
      <c r="H61" s="1014">
        <f>项目基本情况!C37</f>
        <v>0</v>
      </c>
      <c r="I61" s="3156">
        <f>SUMIF(修正!A45:A56,H61,修正!F45:F56)</f>
        <v>0</v>
      </c>
      <c r="J61" s="1018"/>
      <c r="K61" s="2935"/>
      <c r="L61" s="2992"/>
      <c r="M61" s="2992"/>
      <c r="N61" s="2992"/>
      <c r="O61" s="2992"/>
      <c r="P61" s="2992"/>
      <c r="Q61" s="2992"/>
      <c r="R61" s="2992"/>
      <c r="S61" s="2992"/>
      <c r="T61" s="2992"/>
      <c r="U61" s="2992"/>
      <c r="V61" s="2992"/>
      <c r="W61" s="2992"/>
      <c r="X61" s="2992"/>
      <c r="Y61" s="2992"/>
      <c r="Z61" s="2992"/>
      <c r="AA61" s="2992"/>
      <c r="AB61" s="2992"/>
      <c r="AC61" s="2992"/>
    </row>
    <row r="62" spans="1:29" s="646" customFormat="1">
      <c r="A62" s="647" t="s">
        <v>3814</v>
      </c>
      <c r="B62" s="224">
        <f t="shared" si="17"/>
        <v>0</v>
      </c>
      <c r="C62" s="176">
        <f t="shared" si="16"/>
        <v>0</v>
      </c>
      <c r="D62" s="1067">
        <v>0.25</v>
      </c>
      <c r="E62" s="223">
        <f>'数据-汇总表'!E12</f>
        <v>0</v>
      </c>
      <c r="F62" s="3155">
        <f t="shared" si="15"/>
        <v>0</v>
      </c>
      <c r="G62" s="1017" t="s">
        <v>3585</v>
      </c>
      <c r="H62" s="1014">
        <f>IF(G62="商业",项目基本情况!B37,IF(G62="办公",项目基本情况!C37,IF(G62="住宅",项目基本情况!D37,项目基本情况!E37)))</f>
        <v>0</v>
      </c>
      <c r="I62" s="3156">
        <f>SUMIF(修正!A45:A56,H62,修正!G45:G56)</f>
        <v>0</v>
      </c>
      <c r="J62" s="1018"/>
      <c r="K62" s="2938"/>
      <c r="L62" s="2992"/>
      <c r="M62" s="2992"/>
      <c r="N62" s="2992"/>
      <c r="O62" s="2992"/>
      <c r="P62" s="2992"/>
      <c r="Q62" s="2992"/>
      <c r="R62" s="2992"/>
      <c r="S62" s="2992"/>
      <c r="T62" s="2992"/>
      <c r="U62" s="2992"/>
      <c r="V62" s="2992"/>
      <c r="W62" s="2992"/>
      <c r="X62" s="2992"/>
      <c r="Y62" s="2992"/>
      <c r="Z62" s="2992"/>
      <c r="AA62" s="2992"/>
      <c r="AB62" s="2992"/>
      <c r="AC62" s="2992"/>
    </row>
    <row r="63" spans="1:29" s="646" customFormat="1">
      <c r="A63" s="647" t="s">
        <v>3815</v>
      </c>
      <c r="B63" s="224">
        <f t="shared" si="17"/>
        <v>0</v>
      </c>
      <c r="C63" s="176">
        <f t="shared" si="16"/>
        <v>0</v>
      </c>
      <c r="D63" s="1067">
        <v>0.25</v>
      </c>
      <c r="E63" s="223">
        <f>'数据-汇总表'!E13</f>
        <v>0</v>
      </c>
      <c r="F63" s="3155">
        <f t="shared" si="15"/>
        <v>0</v>
      </c>
      <c r="G63" s="1017" t="s">
        <v>3816</v>
      </c>
      <c r="H63" s="1014">
        <f>IF(G63="商业",项目基本情况!B37,IF(G63="办公",项目基本情况!C37,IF(G63="住宅",项目基本情况!D37,项目基本情况!E37)))</f>
        <v>0</v>
      </c>
      <c r="I63" s="3156">
        <f>SUMIF(修正!A45:A56,H63,修正!H45:H56)</f>
        <v>0</v>
      </c>
      <c r="J63" s="1018"/>
      <c r="K63" s="2935"/>
      <c r="L63" s="2992"/>
      <c r="M63" s="2992"/>
      <c r="N63" s="2992"/>
      <c r="O63" s="2992"/>
      <c r="P63" s="2992"/>
      <c r="Q63" s="2992"/>
      <c r="R63" s="2992"/>
      <c r="S63" s="2992"/>
      <c r="T63" s="2992"/>
      <c r="U63" s="2992"/>
      <c r="V63" s="2992"/>
      <c r="W63" s="2992"/>
      <c r="X63" s="2992"/>
      <c r="Y63" s="2992"/>
      <c r="Z63" s="2992"/>
      <c r="AA63" s="2992"/>
      <c r="AB63" s="2992"/>
      <c r="AC63" s="2992"/>
    </row>
    <row r="64" spans="1:29" s="646" customFormat="1">
      <c r="A64" s="647" t="s">
        <v>3817</v>
      </c>
      <c r="B64" s="224">
        <f t="shared" si="17"/>
        <v>0</v>
      </c>
      <c r="C64" s="176">
        <f t="shared" si="16"/>
        <v>0</v>
      </c>
      <c r="D64" s="1067">
        <v>0.25</v>
      </c>
      <c r="E64" s="223">
        <f>'数据-汇总表'!E14</f>
        <v>0</v>
      </c>
      <c r="F64" s="3155">
        <f t="shared" si="15"/>
        <v>0</v>
      </c>
      <c r="G64" s="3141" t="s">
        <v>3809</v>
      </c>
      <c r="H64" s="1014">
        <f>项目基本情况!B37</f>
        <v>0</v>
      </c>
      <c r="I64" s="3156">
        <f>SUMIF(修正!A45:A56,H64,修正!H45:H56)</f>
        <v>0</v>
      </c>
      <c r="J64" s="1018"/>
      <c r="K64" s="2938"/>
      <c r="L64" s="2992"/>
      <c r="M64" s="2992"/>
      <c r="N64" s="2992"/>
      <c r="O64" s="2992"/>
      <c r="P64" s="2992"/>
      <c r="Q64" s="2992"/>
      <c r="R64" s="2992"/>
      <c r="S64" s="2992"/>
      <c r="T64" s="2992"/>
      <c r="U64" s="2992"/>
      <c r="V64" s="2992"/>
      <c r="W64" s="2992"/>
      <c r="X64" s="2992"/>
      <c r="Y64" s="2992"/>
      <c r="Z64" s="2992"/>
      <c r="AA64" s="2992"/>
      <c r="AB64" s="2992"/>
      <c r="AC64" s="2992"/>
    </row>
    <row r="65" spans="1:29" s="646" customFormat="1" ht="15" thickBot="1">
      <c r="A65" s="647" t="s">
        <v>3855</v>
      </c>
      <c r="B65" s="224">
        <f t="shared" si="17"/>
        <v>0</v>
      </c>
      <c r="C65" s="176">
        <f t="shared" si="16"/>
        <v>0</v>
      </c>
      <c r="D65" s="1067">
        <v>0.25</v>
      </c>
      <c r="E65" s="223">
        <f>'数据-汇总表'!E15</f>
        <v>0</v>
      </c>
      <c r="F65" s="3155">
        <f t="shared" si="15"/>
        <v>0</v>
      </c>
      <c r="G65" s="2160" t="s">
        <v>3854</v>
      </c>
      <c r="H65" s="1020">
        <f>项目基本情况!C37</f>
        <v>0</v>
      </c>
      <c r="I65" s="3158">
        <f>SUMIF(修正!A45:A56,H65,修正!H45:H56)</f>
        <v>0</v>
      </c>
      <c r="J65" s="1019"/>
      <c r="K65" s="2935"/>
      <c r="L65" s="2992"/>
      <c r="M65" s="2992"/>
      <c r="N65" s="2992"/>
      <c r="O65" s="2992"/>
      <c r="P65" s="2992"/>
      <c r="Q65" s="2992"/>
      <c r="R65" s="2992"/>
      <c r="S65" s="2992"/>
      <c r="T65" s="2992"/>
      <c r="U65" s="2992"/>
      <c r="V65" s="2992"/>
      <c r="W65" s="2992"/>
      <c r="X65" s="2992"/>
      <c r="Y65" s="2992"/>
      <c r="Z65" s="2992"/>
      <c r="AA65" s="2992"/>
      <c r="AB65" s="2992"/>
      <c r="AC65" s="2992"/>
    </row>
    <row r="66" spans="1:29" s="646" customFormat="1" ht="13.5" thickBot="1">
      <c r="A66" s="649" t="s">
        <v>3856</v>
      </c>
      <c r="B66" s="650" t="s">
        <v>3821</v>
      </c>
      <c r="C66" s="650" t="s">
        <v>3821</v>
      </c>
      <c r="D66" s="650" t="s">
        <v>3821</v>
      </c>
      <c r="E66" s="650">
        <f>IF(B46="楼面地价",SUM(E56:E65),'数据-汇总表'!D3)</f>
        <v>29610.970000000008</v>
      </c>
      <c r="F66" s="651">
        <f>IF(B46="楼面地价",SUM(F56:F65),ROUND(C48*E66/10000,0))</f>
        <v>5214</v>
      </c>
      <c r="G66" s="3146"/>
      <c r="H66" s="3146"/>
      <c r="I66" s="3146"/>
      <c r="J66" s="3146"/>
      <c r="K66" s="3159"/>
      <c r="L66" s="2992"/>
      <c r="M66" s="2992"/>
      <c r="N66" s="2992"/>
      <c r="O66" s="2992"/>
      <c r="P66" s="2992"/>
      <c r="Q66" s="2992"/>
      <c r="R66" s="2992"/>
      <c r="S66" s="2992"/>
      <c r="T66" s="2992"/>
      <c r="U66" s="2992"/>
      <c r="V66" s="2992"/>
      <c r="W66" s="2992"/>
      <c r="X66" s="2992"/>
      <c r="Y66" s="2992"/>
      <c r="Z66" s="2992"/>
      <c r="AA66" s="2992"/>
      <c r="AB66" s="2992"/>
      <c r="AC66" s="2992"/>
    </row>
    <row r="67" spans="1:29">
      <c r="A67" s="697"/>
      <c r="B67" s="699"/>
      <c r="C67" s="700"/>
      <c r="D67" s="697"/>
      <c r="E67" s="697"/>
      <c r="F67" s="697"/>
      <c r="G67" s="697"/>
      <c r="H67" s="697"/>
      <c r="I67" s="697"/>
      <c r="J67" s="1050"/>
      <c r="K67" s="1015"/>
      <c r="L67" s="1016"/>
      <c r="M67" s="1050"/>
      <c r="N67" s="1050"/>
      <c r="O67" s="1050"/>
      <c r="P67" s="2935"/>
      <c r="Q67" s="2935"/>
      <c r="R67" s="2935"/>
      <c r="S67" s="2935"/>
      <c r="T67" s="2935"/>
      <c r="U67" s="2935"/>
      <c r="V67" s="2935"/>
      <c r="W67" s="2935"/>
      <c r="X67" s="2935"/>
      <c r="Y67" s="2935"/>
      <c r="Z67" s="2935"/>
      <c r="AA67" s="2935"/>
      <c r="AB67" s="2935"/>
      <c r="AC67" s="2935"/>
    </row>
    <row r="68" spans="1:29">
      <c r="A68" s="697"/>
      <c r="B68" s="699"/>
      <c r="C68" s="699" t="str">
        <f>YEAR(C7)&amp;"-"&amp;MONTH(C7)&amp;"-1"</f>
        <v>2021-3-1</v>
      </c>
      <c r="D68" s="699">
        <f>EDATE(C68,-3)</f>
        <v>44166</v>
      </c>
      <c r="E68" s="699">
        <f>EDATE(D68,-3)</f>
        <v>44075</v>
      </c>
      <c r="F68" s="699">
        <f t="shared" ref="F68:O68" si="18">EDATE(E68,-3)</f>
        <v>43983</v>
      </c>
      <c r="G68" s="699">
        <f t="shared" si="18"/>
        <v>43891</v>
      </c>
      <c r="H68" s="699">
        <f t="shared" si="18"/>
        <v>43800</v>
      </c>
      <c r="I68" s="699">
        <f t="shared" si="18"/>
        <v>43709</v>
      </c>
      <c r="J68" s="699">
        <f t="shared" si="18"/>
        <v>43617</v>
      </c>
      <c r="K68" s="699">
        <f t="shared" si="18"/>
        <v>43525</v>
      </c>
      <c r="L68" s="699">
        <f t="shared" si="18"/>
        <v>43435</v>
      </c>
      <c r="M68" s="699">
        <f t="shared" si="18"/>
        <v>43344</v>
      </c>
      <c r="N68" s="699">
        <f t="shared" si="18"/>
        <v>43252</v>
      </c>
      <c r="O68" s="699">
        <f t="shared" si="18"/>
        <v>43160</v>
      </c>
      <c r="P68" s="2935"/>
      <c r="Q68" s="2935"/>
      <c r="R68" s="2935"/>
      <c r="S68" s="2935"/>
      <c r="T68" s="2935"/>
      <c r="U68" s="2935"/>
      <c r="V68" s="2935"/>
      <c r="W68" s="2935"/>
      <c r="X68" s="2935"/>
      <c r="Y68" s="2935"/>
      <c r="Z68" s="2935"/>
      <c r="AA68" s="2935"/>
      <c r="AB68" s="2935"/>
      <c r="AC68" s="2935"/>
    </row>
    <row r="69" spans="1:29" ht="21.75" thickBot="1">
      <c r="A69" s="701" t="s">
        <v>3857</v>
      </c>
      <c r="B69" s="697"/>
      <c r="C69" s="702"/>
      <c r="D69" s="702"/>
      <c r="E69" s="702"/>
      <c r="F69" s="703"/>
      <c r="G69" s="703"/>
      <c r="H69" s="702"/>
      <c r="I69" s="702"/>
      <c r="J69" s="1063"/>
      <c r="K69" s="1064"/>
      <c r="L69" s="1065"/>
      <c r="M69" s="1063"/>
      <c r="N69" s="2979"/>
      <c r="O69" s="2979"/>
      <c r="P69" s="2979"/>
      <c r="Q69" s="2949"/>
      <c r="R69" s="2935"/>
      <c r="S69" s="2935"/>
      <c r="T69" s="2935"/>
      <c r="U69" s="2935"/>
      <c r="V69" s="2935"/>
      <c r="W69" s="2935"/>
      <c r="X69" s="2935"/>
      <c r="Y69" s="2935"/>
      <c r="Z69" s="2935"/>
      <c r="AA69" s="2935"/>
      <c r="AB69" s="2935"/>
      <c r="AC69" s="2935"/>
    </row>
    <row r="70" spans="1:29" s="464" customFormat="1" ht="15">
      <c r="A70" s="2161" t="s">
        <v>3858</v>
      </c>
      <c r="B70" s="1260"/>
      <c r="C70" s="1332" t="str">
        <f>YEAR(C68)&amp;"-"&amp;ROUNDUP(MONTH(C68)/3,0)</f>
        <v>2021-1</v>
      </c>
      <c r="D70" s="1332" t="str">
        <f>YEAR(D68)&amp;"-"&amp;ROUNDUP(MONTH(D68)/3,0)</f>
        <v>2020-4</v>
      </c>
      <c r="E70" s="1332" t="str">
        <f t="shared" ref="E70:O70" si="19">YEAR(E68)&amp;"-"&amp;ROUNDUP(MONTH(E68)/3,0)</f>
        <v>2020-3</v>
      </c>
      <c r="F70" s="1332" t="str">
        <f t="shared" si="19"/>
        <v>2020-2</v>
      </c>
      <c r="G70" s="1332" t="str">
        <f t="shared" si="19"/>
        <v>2020-1</v>
      </c>
      <c r="H70" s="1332" t="str">
        <f t="shared" si="19"/>
        <v>2019-4</v>
      </c>
      <c r="I70" s="1332" t="str">
        <f t="shared" si="19"/>
        <v>2019-3</v>
      </c>
      <c r="J70" s="1332" t="str">
        <f t="shared" si="19"/>
        <v>2019-2</v>
      </c>
      <c r="K70" s="1332" t="str">
        <f t="shared" si="19"/>
        <v>2019-1</v>
      </c>
      <c r="L70" s="1332" t="str">
        <f t="shared" si="19"/>
        <v>2018-4</v>
      </c>
      <c r="M70" s="1332" t="str">
        <f t="shared" si="19"/>
        <v>2018-3</v>
      </c>
      <c r="N70" s="1332" t="str">
        <f t="shared" si="19"/>
        <v>2018-2</v>
      </c>
      <c r="O70" s="1332" t="str">
        <f t="shared" si="19"/>
        <v>2018-1</v>
      </c>
      <c r="P70" s="2986"/>
      <c r="Q70" s="2951"/>
      <c r="R70" s="2951"/>
      <c r="S70" s="2951"/>
      <c r="T70" s="2951"/>
      <c r="U70" s="2951"/>
      <c r="V70" s="2951"/>
      <c r="W70" s="2951"/>
      <c r="X70" s="2951"/>
      <c r="Y70" s="2951"/>
      <c r="Z70" s="2951"/>
      <c r="AA70" s="2951"/>
      <c r="AB70" s="2951"/>
      <c r="AC70" s="2951"/>
    </row>
    <row r="71" spans="1:29" s="113" customFormat="1" ht="30" customHeight="1">
      <c r="A71" s="3160" t="s">
        <v>3818</v>
      </c>
      <c r="B71" s="294" t="str">
        <f>"北京市平均增长率"&amp;TEXT(SUMIF(基准地价修正!N21:N25,A71,基准地价修正!P21:P25),"0.00%")</f>
        <v>北京市平均增长率1.93%</v>
      </c>
      <c r="C71" s="559">
        <v>100</v>
      </c>
      <c r="D71" s="551">
        <f>C71-$C$72</f>
        <v>99.8</v>
      </c>
      <c r="E71" s="551">
        <f t="shared" ref="E71:M71" si="20">D71-$C$72</f>
        <v>99.6</v>
      </c>
      <c r="F71" s="551">
        <f t="shared" si="20"/>
        <v>99.399999999999991</v>
      </c>
      <c r="G71" s="551">
        <f t="shared" si="20"/>
        <v>99.199999999999989</v>
      </c>
      <c r="H71" s="551">
        <f t="shared" si="20"/>
        <v>98.999999999999986</v>
      </c>
      <c r="I71" s="551">
        <f t="shared" si="20"/>
        <v>98.799999999999983</v>
      </c>
      <c r="J71" s="551">
        <f t="shared" si="20"/>
        <v>98.59999999999998</v>
      </c>
      <c r="K71" s="551">
        <f t="shared" si="20"/>
        <v>98.399999999999977</v>
      </c>
      <c r="L71" s="551">
        <f t="shared" si="20"/>
        <v>98.199999999999974</v>
      </c>
      <c r="M71" s="1329">
        <f t="shared" si="20"/>
        <v>97.999999999999972</v>
      </c>
      <c r="N71" s="1329">
        <f t="shared" ref="N71" si="21">M71-$C$72</f>
        <v>97.799999999999969</v>
      </c>
      <c r="O71" s="1329">
        <f t="shared" ref="O71" si="22">N71-$C$72</f>
        <v>97.599999999999966</v>
      </c>
      <c r="P71" s="2949"/>
      <c r="Q71" s="2870"/>
      <c r="R71" s="2870"/>
      <c r="S71" s="2870"/>
      <c r="T71" s="2870"/>
      <c r="U71" s="2870"/>
      <c r="V71" s="2870"/>
      <c r="W71" s="2870"/>
      <c r="X71" s="2870"/>
      <c r="Y71" s="2870"/>
      <c r="Z71" s="2870"/>
      <c r="AA71" s="2870"/>
      <c r="AB71" s="2870"/>
      <c r="AC71" s="2870"/>
    </row>
    <row r="72" spans="1:29" s="113" customFormat="1" ht="15.75" thickBot="1">
      <c r="A72" s="471" t="s">
        <v>3859</v>
      </c>
      <c r="B72" s="472"/>
      <c r="C72" s="473">
        <v>0.2</v>
      </c>
      <c r="D72" s="474"/>
      <c r="E72" s="474"/>
      <c r="F72" s="474"/>
      <c r="G72" s="474"/>
      <c r="H72" s="474"/>
      <c r="I72" s="474"/>
      <c r="J72" s="474"/>
      <c r="K72" s="474"/>
      <c r="L72" s="474"/>
      <c r="M72" s="475"/>
      <c r="N72" s="474"/>
      <c r="O72" s="3161"/>
      <c r="P72" s="2949"/>
      <c r="Q72" s="2949"/>
      <c r="R72" s="2870"/>
      <c r="S72" s="2870"/>
      <c r="T72" s="2870"/>
      <c r="U72" s="2870"/>
      <c r="V72" s="2870"/>
      <c r="W72" s="2870"/>
      <c r="X72" s="2870"/>
      <c r="Y72" s="2870"/>
      <c r="Z72" s="2870"/>
      <c r="AA72" s="2870"/>
      <c r="AB72" s="2870"/>
      <c r="AC72" s="2870"/>
    </row>
    <row r="73" spans="1:29" s="113" customFormat="1" ht="15">
      <c r="A73" s="477" t="s">
        <v>3830</v>
      </c>
      <c r="B73" s="466"/>
      <c r="C73" s="478" t="s">
        <v>3860</v>
      </c>
      <c r="D73" s="479"/>
      <c r="E73" s="479"/>
      <c r="F73" s="479"/>
      <c r="G73" s="479"/>
      <c r="H73" s="479"/>
      <c r="I73" s="479"/>
      <c r="J73" s="479"/>
      <c r="K73" s="479"/>
      <c r="L73" s="480"/>
      <c r="M73" s="481"/>
      <c r="N73" s="2962"/>
      <c r="O73" s="2962"/>
      <c r="P73" s="2987"/>
      <c r="Q73" s="2949"/>
      <c r="R73" s="2870"/>
      <c r="S73" s="2870"/>
      <c r="T73" s="2870"/>
      <c r="U73" s="2870"/>
      <c r="V73" s="2870"/>
      <c r="W73" s="2870"/>
      <c r="X73" s="2870"/>
      <c r="Y73" s="2870"/>
      <c r="Z73" s="2870"/>
      <c r="AA73" s="2870"/>
      <c r="AB73" s="2870"/>
      <c r="AC73" s="2870"/>
    </row>
    <row r="74" spans="1:29" s="113" customFormat="1" ht="15.75" thickBot="1">
      <c r="A74" s="477"/>
      <c r="B74" s="466"/>
      <c r="C74" s="594">
        <v>100</v>
      </c>
      <c r="D74" s="468"/>
      <c r="E74" s="468"/>
      <c r="F74" s="468"/>
      <c r="G74" s="468"/>
      <c r="H74" s="468"/>
      <c r="I74" s="468"/>
      <c r="J74" s="468"/>
      <c r="K74" s="468"/>
      <c r="L74" s="468"/>
      <c r="M74" s="470"/>
      <c r="N74" s="2962"/>
      <c r="O74" s="2962"/>
      <c r="P74" s="2949"/>
      <c r="Q74" s="2949"/>
      <c r="R74" s="2870"/>
      <c r="S74" s="2870"/>
      <c r="T74" s="2870"/>
      <c r="U74" s="2870"/>
      <c r="V74" s="2870"/>
      <c r="W74" s="2870"/>
      <c r="X74" s="2870"/>
      <c r="Y74" s="2870"/>
      <c r="Z74" s="2870"/>
      <c r="AA74" s="2870"/>
      <c r="AB74" s="2870"/>
      <c r="AC74" s="2870"/>
    </row>
    <row r="75" spans="1:29">
      <c r="A75" s="483" t="s">
        <v>3832</v>
      </c>
      <c r="B75" s="484" t="s">
        <v>3788</v>
      </c>
      <c r="C75" s="486" t="s">
        <v>3819</v>
      </c>
      <c r="D75" s="486"/>
      <c r="E75" s="486"/>
      <c r="F75" s="486"/>
      <c r="G75" s="486"/>
      <c r="H75" s="486"/>
      <c r="I75" s="486"/>
      <c r="J75" s="486"/>
      <c r="K75" s="487"/>
      <c r="L75" s="488"/>
      <c r="M75" s="489"/>
      <c r="N75" s="2963"/>
      <c r="O75" s="2963"/>
      <c r="P75" s="2988"/>
      <c r="Q75" s="2949"/>
      <c r="R75" s="2935"/>
      <c r="S75" s="2935"/>
      <c r="T75" s="2935"/>
      <c r="U75" s="2935"/>
      <c r="V75" s="2935"/>
      <c r="W75" s="2935"/>
      <c r="X75" s="2935"/>
      <c r="Y75" s="2935"/>
      <c r="Z75" s="2935"/>
      <c r="AA75" s="2935"/>
      <c r="AB75" s="2935"/>
      <c r="AC75" s="2935"/>
    </row>
    <row r="76" spans="1:29" ht="15.75" thickBot="1">
      <c r="A76" s="490"/>
      <c r="B76" s="491"/>
      <c r="C76" s="492"/>
      <c r="D76" s="492"/>
      <c r="E76" s="492"/>
      <c r="F76" s="492"/>
      <c r="G76" s="492"/>
      <c r="H76" s="492"/>
      <c r="I76" s="492"/>
      <c r="J76" s="492"/>
      <c r="K76" s="492"/>
      <c r="L76" s="492"/>
      <c r="M76" s="493"/>
      <c r="N76" s="2964"/>
      <c r="O76" s="2964"/>
      <c r="P76" s="2988"/>
      <c r="Q76" s="2949"/>
      <c r="R76" s="2935"/>
      <c r="S76" s="2935"/>
      <c r="T76" s="2935"/>
      <c r="U76" s="2935"/>
      <c r="V76" s="2935"/>
      <c r="W76" s="2935"/>
      <c r="X76" s="2935"/>
      <c r="Y76" s="2935"/>
      <c r="Z76" s="2935"/>
      <c r="AA76" s="2935"/>
      <c r="AB76" s="2935"/>
      <c r="AC76" s="2935"/>
    </row>
    <row r="77" spans="1:29" ht="27.75" thickTop="1">
      <c r="A77" s="490"/>
      <c r="B77" s="494" t="s">
        <v>3791</v>
      </c>
      <c r="C77" s="495"/>
      <c r="D77" s="495"/>
      <c r="E77" s="495"/>
      <c r="F77" s="495"/>
      <c r="G77" s="495"/>
      <c r="H77" s="495"/>
      <c r="I77" s="495"/>
      <c r="J77" s="495"/>
      <c r="K77" s="496"/>
      <c r="L77" s="497"/>
      <c r="M77" s="498"/>
      <c r="N77" s="2963"/>
      <c r="O77" s="2963"/>
      <c r="P77" s="2988"/>
      <c r="Q77" s="2949"/>
      <c r="R77" s="2935"/>
      <c r="S77" s="2935"/>
      <c r="T77" s="2935"/>
      <c r="U77" s="2935"/>
      <c r="V77" s="2935"/>
      <c r="W77" s="2935"/>
      <c r="X77" s="2935"/>
      <c r="Y77" s="2935"/>
      <c r="Z77" s="2935"/>
      <c r="AA77" s="2935"/>
      <c r="AB77" s="2935"/>
      <c r="AC77" s="2935"/>
    </row>
    <row r="78" spans="1:29" ht="15.75" thickBot="1">
      <c r="A78" s="490"/>
      <c r="B78" s="499"/>
      <c r="C78" s="500"/>
      <c r="D78" s="500"/>
      <c r="E78" s="500"/>
      <c r="F78" s="500"/>
      <c r="G78" s="500"/>
      <c r="H78" s="500"/>
      <c r="I78" s="500"/>
      <c r="J78" s="500"/>
      <c r="K78" s="500"/>
      <c r="L78" s="500"/>
      <c r="M78" s="501"/>
      <c r="N78" s="2964"/>
      <c r="O78" s="2964"/>
      <c r="P78" s="2988"/>
      <c r="Q78" s="2949"/>
      <c r="R78" s="2935"/>
      <c r="S78" s="2935"/>
      <c r="T78" s="2935"/>
      <c r="U78" s="2935"/>
      <c r="V78" s="2935"/>
      <c r="W78" s="2935"/>
      <c r="X78" s="2935"/>
      <c r="Y78" s="2935"/>
      <c r="Z78" s="2935"/>
      <c r="AA78" s="2935"/>
      <c r="AB78" s="2935"/>
      <c r="AC78" s="2935"/>
    </row>
    <row r="79" spans="1:29" ht="15.75" thickTop="1">
      <c r="A79" s="490"/>
      <c r="B79" s="502" t="s">
        <v>3792</v>
      </c>
      <c r="C79" s="503" t="str">
        <f>C80&amp;"（含）"&amp;"-"&amp;D80</f>
        <v>0（含）-1</v>
      </c>
      <c r="D79" s="503" t="str">
        <f t="shared" ref="D79:L79" si="23">D80&amp;"（含）"&amp;"-"&amp;E80</f>
        <v>1（含）-2</v>
      </c>
      <c r="E79" s="503" t="str">
        <f t="shared" si="23"/>
        <v>2（含）-3</v>
      </c>
      <c r="F79" s="503" t="str">
        <f t="shared" si="23"/>
        <v>3（含）-4</v>
      </c>
      <c r="G79" s="503" t="str">
        <f t="shared" si="23"/>
        <v>4（含）-5</v>
      </c>
      <c r="H79" s="503" t="str">
        <f t="shared" si="23"/>
        <v>5（含）-6</v>
      </c>
      <c r="I79" s="503" t="str">
        <f t="shared" si="23"/>
        <v>6（含）-7</v>
      </c>
      <c r="J79" s="503" t="str">
        <f t="shared" si="23"/>
        <v>7（含）-8</v>
      </c>
      <c r="K79" s="503" t="str">
        <f t="shared" si="23"/>
        <v>8（含）-</v>
      </c>
      <c r="L79" s="503" t="str">
        <f t="shared" si="23"/>
        <v>（含）-</v>
      </c>
      <c r="M79" s="406" t="str">
        <f>M80&amp;"（含）"&amp;"-"&amp;P80</f>
        <v>（含）-</v>
      </c>
      <c r="N79" s="2964"/>
      <c r="O79" s="2964"/>
      <c r="P79" s="2988"/>
      <c r="Q79" s="2949"/>
      <c r="R79" s="2935"/>
      <c r="S79" s="2935"/>
      <c r="T79" s="2935"/>
      <c r="U79" s="2935"/>
      <c r="V79" s="2935"/>
      <c r="W79" s="2935"/>
      <c r="X79" s="2935"/>
      <c r="Y79" s="2935"/>
      <c r="Z79" s="2935"/>
      <c r="AA79" s="2935"/>
      <c r="AB79" s="2935"/>
      <c r="AC79" s="2935"/>
    </row>
    <row r="80" spans="1:29" ht="15">
      <c r="A80" s="490"/>
      <c r="B80" s="504"/>
      <c r="C80" s="505">
        <v>0</v>
      </c>
      <c r="D80" s="505">
        <v>1</v>
      </c>
      <c r="E80" s="505">
        <v>2</v>
      </c>
      <c r="F80" s="505">
        <v>3</v>
      </c>
      <c r="G80" s="505">
        <v>4</v>
      </c>
      <c r="H80" s="505">
        <v>5</v>
      </c>
      <c r="I80" s="505">
        <v>6</v>
      </c>
      <c r="J80" s="505">
        <v>7</v>
      </c>
      <c r="K80" s="505">
        <v>8</v>
      </c>
      <c r="L80" s="507"/>
      <c r="M80" s="508"/>
      <c r="N80" s="2963"/>
      <c r="O80" s="2963"/>
      <c r="P80" s="2988"/>
      <c r="Q80" s="2949"/>
      <c r="R80" s="2935"/>
      <c r="S80" s="2935"/>
      <c r="T80" s="2935"/>
      <c r="U80" s="2935"/>
      <c r="V80" s="2935"/>
      <c r="W80" s="2935"/>
      <c r="X80" s="2935"/>
      <c r="Y80" s="2935"/>
      <c r="Z80" s="2935"/>
      <c r="AA80" s="2935"/>
      <c r="AB80" s="2935"/>
      <c r="AC80" s="2935"/>
    </row>
    <row r="81" spans="1:29" ht="15.75" thickBot="1">
      <c r="A81" s="490"/>
      <c r="B81" s="491"/>
      <c r="C81" s="500">
        <v>100</v>
      </c>
      <c r="D81" s="500">
        <f t="shared" ref="D81:M81" si="24">IF($B$46="单位面积地价",C81+$K11,C81-$K11)</f>
        <v>98</v>
      </c>
      <c r="E81" s="500">
        <f t="shared" si="24"/>
        <v>96</v>
      </c>
      <c r="F81" s="500">
        <f t="shared" si="24"/>
        <v>94</v>
      </c>
      <c r="G81" s="500">
        <f t="shared" si="24"/>
        <v>92</v>
      </c>
      <c r="H81" s="500">
        <f t="shared" si="24"/>
        <v>90</v>
      </c>
      <c r="I81" s="500">
        <f t="shared" si="24"/>
        <v>88</v>
      </c>
      <c r="J81" s="500">
        <f t="shared" si="24"/>
        <v>86</v>
      </c>
      <c r="K81" s="500">
        <f t="shared" si="24"/>
        <v>84</v>
      </c>
      <c r="L81" s="500">
        <f t="shared" si="24"/>
        <v>82</v>
      </c>
      <c r="M81" s="500">
        <f t="shared" si="24"/>
        <v>80</v>
      </c>
      <c r="N81" s="2964"/>
      <c r="O81" s="2964"/>
      <c r="P81" s="2988"/>
      <c r="Q81" s="2949"/>
      <c r="R81" s="2935"/>
      <c r="S81" s="2935"/>
      <c r="T81" s="2935"/>
      <c r="U81" s="2935"/>
      <c r="V81" s="2935"/>
      <c r="W81" s="2935"/>
      <c r="X81" s="2935"/>
      <c r="Y81" s="2935"/>
      <c r="Z81" s="2935"/>
      <c r="AA81" s="2935"/>
      <c r="AB81" s="2935"/>
      <c r="AC81" s="2935"/>
    </row>
    <row r="82" spans="1:29" s="429" customFormat="1" ht="15.75" thickTop="1">
      <c r="A82" s="509"/>
      <c r="B82" s="494" t="str">
        <f>B12</f>
        <v>自持</v>
      </c>
      <c r="C82" s="510" t="s">
        <v>3779</v>
      </c>
      <c r="D82" s="510" t="s">
        <v>3780</v>
      </c>
      <c r="E82" s="510"/>
      <c r="F82" s="510"/>
      <c r="G82" s="510"/>
      <c r="H82" s="511"/>
      <c r="I82" s="511"/>
      <c r="J82" s="511"/>
      <c r="K82" s="511"/>
      <c r="L82" s="512"/>
      <c r="M82" s="513"/>
      <c r="N82" s="2965"/>
      <c r="O82" s="2965"/>
      <c r="P82" s="2989"/>
      <c r="Q82" s="2956"/>
      <c r="R82" s="2957"/>
      <c r="S82" s="2957"/>
      <c r="T82" s="2957"/>
      <c r="U82" s="2957"/>
      <c r="V82" s="2957"/>
      <c r="W82" s="2957"/>
      <c r="X82" s="2957"/>
      <c r="Y82" s="2957"/>
      <c r="Z82" s="2957"/>
      <c r="AA82" s="2957"/>
      <c r="AB82" s="2957"/>
      <c r="AC82" s="2957"/>
    </row>
    <row r="83" spans="1:29" s="429" customFormat="1" ht="15.75" thickBot="1">
      <c r="A83" s="509"/>
      <c r="B83" s="499"/>
      <c r="C83" s="516">
        <v>100</v>
      </c>
      <c r="D83" s="492">
        <v>75</v>
      </c>
      <c r="E83" s="492"/>
      <c r="F83" s="492"/>
      <c r="G83" s="492"/>
      <c r="H83" s="492"/>
      <c r="I83" s="492"/>
      <c r="J83" s="492"/>
      <c r="K83" s="492"/>
      <c r="L83" s="492"/>
      <c r="M83" s="493"/>
      <c r="N83" s="2964"/>
      <c r="O83" s="2964"/>
      <c r="P83" s="2989"/>
      <c r="Q83" s="2956"/>
      <c r="R83" s="2957"/>
      <c r="S83" s="2957"/>
      <c r="T83" s="2957"/>
      <c r="U83" s="2957"/>
      <c r="V83" s="2957"/>
      <c r="W83" s="2957"/>
      <c r="X83" s="2957"/>
      <c r="Y83" s="2957"/>
      <c r="Z83" s="2957"/>
      <c r="AA83" s="2957"/>
      <c r="AB83" s="2957"/>
      <c r="AC83" s="2957"/>
    </row>
    <row r="84" spans="1:29" s="429" customFormat="1" ht="15.75" thickTop="1">
      <c r="A84" s="509"/>
      <c r="B84" s="494">
        <f>B13</f>
        <v>0</v>
      </c>
      <c r="C84" s="510"/>
      <c r="D84" s="510"/>
      <c r="E84" s="510"/>
      <c r="F84" s="510"/>
      <c r="G84" s="510"/>
      <c r="H84" s="511"/>
      <c r="I84" s="511"/>
      <c r="J84" s="511"/>
      <c r="K84" s="511"/>
      <c r="L84" s="512"/>
      <c r="M84" s="513"/>
      <c r="N84" s="2965"/>
      <c r="O84" s="2965"/>
      <c r="P84" s="2933"/>
      <c r="Q84" s="2959"/>
      <c r="R84" s="2957"/>
      <c r="S84" s="2957"/>
      <c r="T84" s="2957"/>
      <c r="U84" s="2957"/>
      <c r="V84" s="2957"/>
      <c r="W84" s="2957"/>
      <c r="X84" s="2957"/>
      <c r="Y84" s="2957"/>
      <c r="Z84" s="2957"/>
      <c r="AA84" s="2957"/>
      <c r="AB84" s="2957"/>
      <c r="AC84" s="2957"/>
    </row>
    <row r="85" spans="1:29" s="429" customFormat="1" ht="15.75" thickBot="1">
      <c r="A85" s="509"/>
      <c r="B85" s="499"/>
      <c r="C85" s="516"/>
      <c r="D85" s="516"/>
      <c r="E85" s="516"/>
      <c r="F85" s="516"/>
      <c r="G85" s="516"/>
      <c r="H85" s="518"/>
      <c r="I85" s="518"/>
      <c r="J85" s="518"/>
      <c r="K85" s="518"/>
      <c r="L85" s="518"/>
      <c r="M85" s="519"/>
      <c r="N85" s="2965"/>
      <c r="O85" s="2965"/>
      <c r="P85" s="2989"/>
      <c r="Q85" s="2956"/>
      <c r="R85" s="2957"/>
      <c r="S85" s="2957"/>
      <c r="T85" s="2957"/>
      <c r="U85" s="2957"/>
      <c r="V85" s="2957"/>
      <c r="W85" s="2957"/>
      <c r="X85" s="2957"/>
      <c r="Y85" s="2957"/>
      <c r="Z85" s="2957"/>
      <c r="AA85" s="2957"/>
      <c r="AB85" s="2957"/>
      <c r="AC85" s="2957"/>
    </row>
    <row r="86" spans="1:29" s="429" customFormat="1" ht="15.75" thickTop="1">
      <c r="A86" s="509"/>
      <c r="B86" s="502">
        <f>B14</f>
        <v>0</v>
      </c>
      <c r="C86" s="479"/>
      <c r="D86" s="479"/>
      <c r="E86" s="479"/>
      <c r="F86" s="479"/>
      <c r="G86" s="479"/>
      <c r="H86" s="520"/>
      <c r="I86" s="520"/>
      <c r="J86" s="520"/>
      <c r="K86" s="520"/>
      <c r="L86" s="521"/>
      <c r="M86" s="522"/>
      <c r="N86" s="2965"/>
      <c r="O86" s="2965"/>
      <c r="P86" s="2993"/>
      <c r="Q86" s="2956"/>
      <c r="R86" s="2957"/>
      <c r="S86" s="2957"/>
      <c r="T86" s="2957"/>
      <c r="U86" s="2957"/>
      <c r="V86" s="2957"/>
      <c r="W86" s="2957"/>
      <c r="X86" s="2957"/>
      <c r="Y86" s="2957"/>
      <c r="Z86" s="2957"/>
      <c r="AA86" s="2957"/>
      <c r="AB86" s="2957"/>
      <c r="AC86" s="2957"/>
    </row>
    <row r="87" spans="1:29" s="429" customFormat="1" ht="15.75" thickBot="1">
      <c r="A87" s="524"/>
      <c r="B87" s="525"/>
      <c r="C87" s="526"/>
      <c r="D87" s="526"/>
      <c r="E87" s="526"/>
      <c r="F87" s="526"/>
      <c r="G87" s="526"/>
      <c r="H87" s="527"/>
      <c r="I87" s="527"/>
      <c r="J87" s="527"/>
      <c r="K87" s="527"/>
      <c r="L87" s="527"/>
      <c r="M87" s="528"/>
      <c r="N87" s="2965"/>
      <c r="O87" s="2965"/>
      <c r="P87" s="2989"/>
      <c r="Q87" s="2956"/>
      <c r="R87" s="2957"/>
      <c r="S87" s="2957"/>
      <c r="T87" s="2957"/>
      <c r="U87" s="2957"/>
      <c r="V87" s="2957"/>
      <c r="W87" s="2957"/>
      <c r="X87" s="2957"/>
      <c r="Y87" s="2957"/>
      <c r="Z87" s="2957"/>
      <c r="AA87" s="2957"/>
      <c r="AB87" s="2957"/>
      <c r="AC87" s="2957"/>
    </row>
    <row r="88" spans="1:29">
      <c r="A88" s="483" t="s">
        <v>3833</v>
      </c>
      <c r="B88" s="484" t="s">
        <v>3861</v>
      </c>
      <c r="C88" s="529" t="s">
        <v>3862</v>
      </c>
      <c r="D88" s="529" t="s">
        <v>3863</v>
      </c>
      <c r="E88" s="529" t="s">
        <v>3864</v>
      </c>
      <c r="F88" s="529" t="s">
        <v>3865</v>
      </c>
      <c r="G88" s="529" t="s">
        <v>3866</v>
      </c>
      <c r="H88" s="485"/>
      <c r="I88" s="485"/>
      <c r="J88" s="485"/>
      <c r="K88" s="530"/>
      <c r="L88" s="531"/>
      <c r="M88" s="532"/>
      <c r="N88" s="2963"/>
      <c r="O88" s="2963"/>
      <c r="P88" s="2990"/>
      <c r="Q88" s="2949"/>
      <c r="R88" s="2935"/>
      <c r="S88" s="2935"/>
      <c r="T88" s="2935"/>
      <c r="U88" s="2935"/>
      <c r="V88" s="2935"/>
      <c r="W88" s="2935"/>
      <c r="X88" s="2935"/>
      <c r="Y88" s="2935"/>
      <c r="Z88" s="2935"/>
      <c r="AA88" s="2935"/>
      <c r="AB88" s="2935"/>
      <c r="AC88" s="2935"/>
    </row>
    <row r="89" spans="1:29" ht="15.75" thickBot="1">
      <c r="A89" s="490"/>
      <c r="B89" s="499"/>
      <c r="C89" s="500">
        <v>100</v>
      </c>
      <c r="D89" s="500">
        <f>C89-$K15</f>
        <v>100</v>
      </c>
      <c r="E89" s="500">
        <f>D89-$K15</f>
        <v>100</v>
      </c>
      <c r="F89" s="500">
        <f>E89-$K15</f>
        <v>100</v>
      </c>
      <c r="G89" s="500">
        <f>F89-$K15</f>
        <v>100</v>
      </c>
      <c r="H89" s="500"/>
      <c r="I89" s="500"/>
      <c r="J89" s="500"/>
      <c r="K89" s="500"/>
      <c r="L89" s="500"/>
      <c r="M89" s="501"/>
      <c r="N89" s="2964"/>
      <c r="O89" s="2964"/>
      <c r="P89" s="2988"/>
      <c r="Q89" s="2949"/>
      <c r="R89" s="2935"/>
      <c r="S89" s="2935"/>
      <c r="T89" s="2935"/>
      <c r="U89" s="2935"/>
      <c r="V89" s="2935"/>
      <c r="W89" s="2935"/>
      <c r="X89" s="2935"/>
      <c r="Y89" s="2935"/>
      <c r="Z89" s="2935"/>
      <c r="AA89" s="2935"/>
      <c r="AB89" s="2935"/>
      <c r="AC89" s="2935"/>
    </row>
    <row r="90" spans="1:29" ht="15.75" thickTop="1">
      <c r="A90" s="490"/>
      <c r="B90" s="494" t="s">
        <v>3835</v>
      </c>
      <c r="C90" s="534" t="s">
        <v>3862</v>
      </c>
      <c r="D90" s="534" t="s">
        <v>3863</v>
      </c>
      <c r="E90" s="534" t="s">
        <v>3864</v>
      </c>
      <c r="F90" s="534" t="s">
        <v>3865</v>
      </c>
      <c r="G90" s="534" t="s">
        <v>3866</v>
      </c>
      <c r="H90" s="495"/>
      <c r="I90" s="495"/>
      <c r="J90" s="495"/>
      <c r="K90" s="496"/>
      <c r="L90" s="497"/>
      <c r="M90" s="498"/>
      <c r="N90" s="2963"/>
      <c r="O90" s="2963"/>
      <c r="P90" s="2988"/>
      <c r="Q90" s="2949"/>
      <c r="R90" s="2935"/>
      <c r="S90" s="2935"/>
      <c r="T90" s="2935"/>
      <c r="U90" s="2935"/>
      <c r="V90" s="2935"/>
      <c r="W90" s="2935"/>
      <c r="X90" s="2935"/>
      <c r="Y90" s="2935"/>
      <c r="Z90" s="2935"/>
      <c r="AA90" s="2935"/>
      <c r="AB90" s="2935"/>
      <c r="AC90" s="2935"/>
    </row>
    <row r="91" spans="1:29" ht="15.75" thickBot="1">
      <c r="A91" s="490"/>
      <c r="B91" s="499"/>
      <c r="C91" s="500">
        <v>100</v>
      </c>
      <c r="D91" s="500">
        <f>C91-$K17</f>
        <v>100</v>
      </c>
      <c r="E91" s="500">
        <f>D91-$K17</f>
        <v>100</v>
      </c>
      <c r="F91" s="500">
        <f>E91-$K17</f>
        <v>100</v>
      </c>
      <c r="G91" s="500">
        <f>F91-$K17</f>
        <v>100</v>
      </c>
      <c r="H91" s="500"/>
      <c r="I91" s="500"/>
      <c r="J91" s="500"/>
      <c r="K91" s="500"/>
      <c r="L91" s="500"/>
      <c r="M91" s="501"/>
      <c r="N91" s="2964"/>
      <c r="O91" s="2964"/>
      <c r="P91" s="2988"/>
      <c r="Q91" s="2949"/>
      <c r="R91" s="2935"/>
      <c r="S91" s="2935"/>
      <c r="T91" s="2935"/>
      <c r="U91" s="2935"/>
      <c r="V91" s="2935"/>
      <c r="W91" s="2935"/>
      <c r="X91" s="2935"/>
      <c r="Y91" s="2935"/>
      <c r="Z91" s="2935"/>
      <c r="AA91" s="2935"/>
      <c r="AB91" s="2935"/>
      <c r="AC91" s="2935"/>
    </row>
    <row r="92" spans="1:29" ht="15.75" thickTop="1">
      <c r="A92" s="490"/>
      <c r="B92" s="494" t="s">
        <v>3794</v>
      </c>
      <c r="C92" s="534" t="s">
        <v>3862</v>
      </c>
      <c r="D92" s="534" t="s">
        <v>3863</v>
      </c>
      <c r="E92" s="534" t="s">
        <v>3864</v>
      </c>
      <c r="F92" s="534" t="s">
        <v>3865</v>
      </c>
      <c r="G92" s="534" t="s">
        <v>3866</v>
      </c>
      <c r="H92" s="495"/>
      <c r="I92" s="495"/>
      <c r="J92" s="495"/>
      <c r="K92" s="496"/>
      <c r="L92" s="497"/>
      <c r="M92" s="498"/>
      <c r="N92" s="2963"/>
      <c r="O92" s="2963"/>
      <c r="P92" s="2988"/>
      <c r="Q92" s="2949"/>
      <c r="R92" s="2935"/>
      <c r="S92" s="2935"/>
      <c r="T92" s="2935"/>
      <c r="U92" s="2935"/>
      <c r="V92" s="2935"/>
      <c r="W92" s="2935"/>
      <c r="X92" s="2935"/>
      <c r="Y92" s="2935"/>
      <c r="Z92" s="2935"/>
      <c r="AA92" s="2935"/>
      <c r="AB92" s="2935"/>
      <c r="AC92" s="2935"/>
    </row>
    <row r="93" spans="1:29" ht="15.75" thickBot="1">
      <c r="A93" s="490"/>
      <c r="B93" s="499"/>
      <c r="C93" s="500">
        <v>100</v>
      </c>
      <c r="D93" s="500">
        <f>C93-$K19</f>
        <v>100</v>
      </c>
      <c r="E93" s="500">
        <f>D93-$K19</f>
        <v>100</v>
      </c>
      <c r="F93" s="500">
        <f>E93-$K19</f>
        <v>100</v>
      </c>
      <c r="G93" s="500">
        <f>F93-$K19</f>
        <v>100</v>
      </c>
      <c r="H93" s="500"/>
      <c r="I93" s="500"/>
      <c r="J93" s="500"/>
      <c r="K93" s="500"/>
      <c r="L93" s="500"/>
      <c r="M93" s="501"/>
      <c r="N93" s="2964"/>
      <c r="O93" s="2964"/>
      <c r="P93" s="2988"/>
      <c r="Q93" s="2949"/>
      <c r="R93" s="2935"/>
      <c r="S93" s="2935"/>
      <c r="T93" s="2935"/>
      <c r="U93" s="2935"/>
      <c r="V93" s="2935"/>
      <c r="W93" s="2935"/>
      <c r="X93" s="2935"/>
      <c r="Y93" s="2935"/>
      <c r="Z93" s="2935"/>
      <c r="AA93" s="2935"/>
      <c r="AB93" s="2935"/>
      <c r="AC93" s="2935"/>
    </row>
    <row r="94" spans="1:29" ht="15.75" thickTop="1">
      <c r="A94" s="490"/>
      <c r="B94" s="494" t="s">
        <v>3795</v>
      </c>
      <c r="C94" s="534" t="s">
        <v>3862</v>
      </c>
      <c r="D94" s="534" t="s">
        <v>3863</v>
      </c>
      <c r="E94" s="534" t="s">
        <v>3864</v>
      </c>
      <c r="F94" s="534" t="s">
        <v>3865</v>
      </c>
      <c r="G94" s="534" t="s">
        <v>3866</v>
      </c>
      <c r="H94" s="495"/>
      <c r="I94" s="495"/>
      <c r="J94" s="495"/>
      <c r="K94" s="496"/>
      <c r="L94" s="497"/>
      <c r="M94" s="498"/>
      <c r="N94" s="2963"/>
      <c r="O94" s="2963"/>
      <c r="P94" s="2988"/>
      <c r="Q94" s="2949"/>
      <c r="R94" s="2935"/>
      <c r="S94" s="2935"/>
      <c r="T94" s="2935"/>
      <c r="U94" s="2935"/>
      <c r="V94" s="2935"/>
      <c r="W94" s="2935"/>
      <c r="X94" s="2935"/>
      <c r="Y94" s="2935"/>
      <c r="Z94" s="2935"/>
      <c r="AA94" s="2935"/>
      <c r="AB94" s="2935"/>
      <c r="AC94" s="2935"/>
    </row>
    <row r="95" spans="1:29" ht="15.75" thickBot="1">
      <c r="A95" s="490"/>
      <c r="B95" s="499"/>
      <c r="C95" s="500">
        <v>100</v>
      </c>
      <c r="D95" s="500">
        <f>C95-$K21</f>
        <v>100</v>
      </c>
      <c r="E95" s="500">
        <f>D95-$K21</f>
        <v>100</v>
      </c>
      <c r="F95" s="500">
        <f>E95-$K21</f>
        <v>100</v>
      </c>
      <c r="G95" s="500">
        <f>F95-$K21</f>
        <v>100</v>
      </c>
      <c r="H95" s="500"/>
      <c r="I95" s="500"/>
      <c r="J95" s="500"/>
      <c r="K95" s="500"/>
      <c r="L95" s="500"/>
      <c r="M95" s="501"/>
      <c r="N95" s="2964"/>
      <c r="O95" s="2964"/>
      <c r="P95" s="2988"/>
      <c r="Q95" s="2949"/>
      <c r="R95" s="2935"/>
      <c r="S95" s="2935"/>
      <c r="T95" s="2935"/>
      <c r="U95" s="2935"/>
      <c r="V95" s="2935"/>
      <c r="W95" s="2935"/>
      <c r="X95" s="2935"/>
      <c r="Y95" s="2935"/>
      <c r="Z95" s="2935"/>
      <c r="AA95" s="2935"/>
      <c r="AB95" s="2935"/>
      <c r="AC95" s="2935"/>
    </row>
    <row r="96" spans="1:29" s="113" customFormat="1" ht="15.75" thickTop="1">
      <c r="A96" s="535"/>
      <c r="B96" s="494" t="s">
        <v>3796</v>
      </c>
      <c r="C96" s="534" t="s">
        <v>3862</v>
      </c>
      <c r="D96" s="534" t="s">
        <v>3863</v>
      </c>
      <c r="E96" s="534" t="s">
        <v>3864</v>
      </c>
      <c r="F96" s="534" t="s">
        <v>3865</v>
      </c>
      <c r="G96" s="534" t="s">
        <v>3866</v>
      </c>
      <c r="H96" s="534"/>
      <c r="I96" s="534"/>
      <c r="J96" s="534"/>
      <c r="K96" s="534"/>
      <c r="L96" s="652"/>
      <c r="M96" s="577"/>
      <c r="N96" s="2962"/>
      <c r="O96" s="2962"/>
      <c r="P96" s="2988"/>
      <c r="Q96" s="2949"/>
      <c r="R96" s="2870"/>
      <c r="S96" s="2870"/>
      <c r="T96" s="2870"/>
      <c r="U96" s="2870"/>
      <c r="V96" s="2870"/>
      <c r="W96" s="2870"/>
      <c r="X96" s="2870"/>
      <c r="Y96" s="2870"/>
      <c r="Z96" s="2870"/>
      <c r="AA96" s="2870"/>
      <c r="AB96" s="2870"/>
      <c r="AC96" s="2870"/>
    </row>
    <row r="97" spans="1:29" s="113" customFormat="1" ht="15.75" thickBot="1">
      <c r="A97" s="535"/>
      <c r="B97" s="499"/>
      <c r="C97" s="538">
        <v>100</v>
      </c>
      <c r="D97" s="500">
        <f>C97-$K23</f>
        <v>100</v>
      </c>
      <c r="E97" s="500">
        <f>D97-$K23</f>
        <v>100</v>
      </c>
      <c r="F97" s="500">
        <f>E97-$K23</f>
        <v>100</v>
      </c>
      <c r="G97" s="500">
        <f>F97-$K23</f>
        <v>100</v>
      </c>
      <c r="H97" s="500"/>
      <c r="I97" s="500"/>
      <c r="J97" s="500"/>
      <c r="K97" s="500"/>
      <c r="L97" s="500"/>
      <c r="M97" s="501"/>
      <c r="N97" s="2964"/>
      <c r="O97" s="2964"/>
      <c r="P97" s="2988"/>
      <c r="Q97" s="2949"/>
      <c r="R97" s="2870"/>
      <c r="S97" s="2870"/>
      <c r="T97" s="2870"/>
      <c r="U97" s="2870"/>
      <c r="V97" s="2870"/>
      <c r="W97" s="2870"/>
      <c r="X97" s="2870"/>
      <c r="Y97" s="2870"/>
      <c r="Z97" s="2870"/>
      <c r="AA97" s="2870"/>
      <c r="AB97" s="2870"/>
      <c r="AC97" s="2870"/>
    </row>
    <row r="98" spans="1:29" s="113" customFormat="1" ht="27.75" thickTop="1">
      <c r="A98" s="535"/>
      <c r="B98" s="494" t="s">
        <v>3797</v>
      </c>
      <c r="C98" s="529" t="s">
        <v>3862</v>
      </c>
      <c r="D98" s="529" t="s">
        <v>3863</v>
      </c>
      <c r="E98" s="529" t="s">
        <v>3864</v>
      </c>
      <c r="F98" s="529" t="s">
        <v>3865</v>
      </c>
      <c r="G98" s="529" t="s">
        <v>3866</v>
      </c>
      <c r="H98" s="534"/>
      <c r="I98" s="534"/>
      <c r="J98" s="534"/>
      <c r="K98" s="534"/>
      <c r="L98" s="534"/>
      <c r="M98" s="577"/>
      <c r="N98" s="2962"/>
      <c r="O98" s="2962"/>
      <c r="P98" s="2988"/>
      <c r="Q98" s="2949"/>
      <c r="R98" s="2870"/>
      <c r="S98" s="2870"/>
      <c r="T98" s="2870"/>
      <c r="U98" s="2870"/>
      <c r="V98" s="2870"/>
      <c r="W98" s="2870"/>
      <c r="X98" s="2870"/>
      <c r="Y98" s="2870"/>
      <c r="Z98" s="2870"/>
      <c r="AA98" s="2870"/>
      <c r="AB98" s="2870"/>
      <c r="AC98" s="2870"/>
    </row>
    <row r="99" spans="1:29" s="113" customFormat="1" ht="15.75" thickBot="1">
      <c r="A99" s="535"/>
      <c r="B99" s="499"/>
      <c r="C99" s="500">
        <v>100</v>
      </c>
      <c r="D99" s="500">
        <f>C99-$K25</f>
        <v>100</v>
      </c>
      <c r="E99" s="500">
        <f>D99-$K25</f>
        <v>100</v>
      </c>
      <c r="F99" s="500">
        <f>E99-$K25</f>
        <v>100</v>
      </c>
      <c r="G99" s="500">
        <f>F99-$K25</f>
        <v>100</v>
      </c>
      <c r="H99" s="500"/>
      <c r="I99" s="500"/>
      <c r="J99" s="500"/>
      <c r="K99" s="500"/>
      <c r="L99" s="500"/>
      <c r="M99" s="501"/>
      <c r="N99" s="2964"/>
      <c r="O99" s="2964"/>
      <c r="P99" s="2988"/>
      <c r="Q99" s="2949"/>
      <c r="R99" s="2870"/>
      <c r="S99" s="2870"/>
      <c r="T99" s="2870"/>
      <c r="U99" s="2870"/>
      <c r="V99" s="2870"/>
      <c r="W99" s="2870"/>
      <c r="X99" s="2870"/>
      <c r="Y99" s="2870"/>
      <c r="Z99" s="2870"/>
      <c r="AA99" s="2870"/>
      <c r="AB99" s="2870"/>
      <c r="AC99" s="2870"/>
    </row>
    <row r="100" spans="1:29" s="429" customFormat="1" ht="15.75" thickTop="1">
      <c r="A100" s="509"/>
      <c r="B100" s="494" t="s">
        <v>3798</v>
      </c>
      <c r="C100" s="529" t="s">
        <v>3862</v>
      </c>
      <c r="D100" s="529" t="s">
        <v>3863</v>
      </c>
      <c r="E100" s="529" t="s">
        <v>3864</v>
      </c>
      <c r="F100" s="529" t="s">
        <v>3865</v>
      </c>
      <c r="G100" s="529" t="s">
        <v>3866</v>
      </c>
      <c r="H100" s="556"/>
      <c r="I100" s="556"/>
      <c r="J100" s="556"/>
      <c r="K100" s="556"/>
      <c r="L100" s="557"/>
      <c r="M100" s="558"/>
      <c r="N100" s="2965"/>
      <c r="O100" s="2965"/>
      <c r="P100" s="2989"/>
      <c r="Q100" s="2956"/>
      <c r="R100" s="2957"/>
      <c r="S100" s="2957"/>
      <c r="T100" s="2957"/>
      <c r="U100" s="2957"/>
      <c r="V100" s="2957"/>
      <c r="W100" s="2957"/>
      <c r="X100" s="2957"/>
      <c r="Y100" s="2957"/>
      <c r="Z100" s="2957"/>
      <c r="AA100" s="2957"/>
      <c r="AB100" s="2957"/>
      <c r="AC100" s="2957"/>
    </row>
    <row r="101" spans="1:29" s="429" customFormat="1" ht="15.75" thickBot="1">
      <c r="A101" s="509"/>
      <c r="B101" s="499"/>
      <c r="C101" s="500">
        <v>100</v>
      </c>
      <c r="D101" s="500">
        <f>C101-$K27</f>
        <v>100</v>
      </c>
      <c r="E101" s="500">
        <f>D101-$K27</f>
        <v>100</v>
      </c>
      <c r="F101" s="500">
        <f>E101-$K27</f>
        <v>100</v>
      </c>
      <c r="G101" s="500">
        <f>F101-$K27</f>
        <v>100</v>
      </c>
      <c r="H101" s="563"/>
      <c r="I101" s="563"/>
      <c r="J101" s="563"/>
      <c r="K101" s="563"/>
      <c r="L101" s="563"/>
      <c r="M101" s="564"/>
      <c r="N101" s="2965"/>
      <c r="O101" s="2965"/>
      <c r="P101" s="2989"/>
      <c r="Q101" s="2956"/>
      <c r="R101" s="2957"/>
      <c r="S101" s="2957"/>
      <c r="T101" s="2957"/>
      <c r="U101" s="2957"/>
      <c r="V101" s="2957"/>
      <c r="W101" s="2957"/>
      <c r="X101" s="2957"/>
      <c r="Y101" s="2957"/>
      <c r="Z101" s="2957"/>
      <c r="AA101" s="2957"/>
      <c r="AB101" s="2957"/>
      <c r="AC101" s="2957"/>
    </row>
    <row r="102" spans="1:29" s="429" customFormat="1" ht="15.75" thickTop="1">
      <c r="A102" s="509"/>
      <c r="B102" s="502" t="s">
        <v>3799</v>
      </c>
      <c r="C102" s="615" t="s">
        <v>3867</v>
      </c>
      <c r="D102" s="615" t="s">
        <v>3868</v>
      </c>
      <c r="E102" s="615" t="s">
        <v>3869</v>
      </c>
      <c r="F102" s="615" t="s">
        <v>3870</v>
      </c>
      <c r="G102" s="615" t="s">
        <v>3871</v>
      </c>
      <c r="H102" s="556"/>
      <c r="I102" s="556"/>
      <c r="J102" s="556"/>
      <c r="K102" s="556"/>
      <c r="L102" s="556"/>
      <c r="M102" s="1285"/>
      <c r="N102" s="2965"/>
      <c r="O102" s="2965"/>
      <c r="P102" s="2989"/>
      <c r="Q102" s="2956"/>
      <c r="R102" s="2957"/>
      <c r="S102" s="2957"/>
      <c r="T102" s="2957"/>
      <c r="U102" s="2957"/>
      <c r="V102" s="2957"/>
      <c r="W102" s="2957"/>
      <c r="X102" s="2957"/>
      <c r="Y102" s="2957"/>
      <c r="Z102" s="2957"/>
      <c r="AA102" s="2957"/>
      <c r="AB102" s="2957"/>
      <c r="AC102" s="2957"/>
    </row>
    <row r="103" spans="1:29" s="429" customFormat="1" ht="15.75" thickBot="1">
      <c r="A103" s="509"/>
      <c r="B103" s="502"/>
      <c r="C103" s="500">
        <v>100</v>
      </c>
      <c r="D103" s="500">
        <f>C103-$K29</f>
        <v>99</v>
      </c>
      <c r="E103" s="500">
        <f>D103-$K29</f>
        <v>98</v>
      </c>
      <c r="F103" s="500">
        <f>E103-$K29</f>
        <v>97</v>
      </c>
      <c r="G103" s="500">
        <f>F103-$K29</f>
        <v>96</v>
      </c>
      <c r="H103" s="504"/>
      <c r="I103" s="504"/>
      <c r="J103" s="504"/>
      <c r="K103" s="504"/>
      <c r="L103" s="504"/>
      <c r="M103" s="1285"/>
      <c r="N103" s="2965"/>
      <c r="O103" s="2965"/>
      <c r="P103" s="2989"/>
      <c r="Q103" s="2956"/>
      <c r="R103" s="2957"/>
      <c r="S103" s="2957"/>
      <c r="T103" s="2957"/>
      <c r="U103" s="2957"/>
      <c r="V103" s="2957"/>
      <c r="W103" s="2957"/>
      <c r="X103" s="2957"/>
      <c r="Y103" s="2957"/>
      <c r="Z103" s="2957"/>
      <c r="AA103" s="2957"/>
      <c r="AB103" s="2957"/>
      <c r="AC103" s="2957"/>
    </row>
    <row r="104" spans="1:29" ht="15.75" thickTop="1">
      <c r="A104" s="490"/>
      <c r="B104" s="494" t="str">
        <f>B31</f>
        <v>临街状况</v>
      </c>
      <c r="C104" s="495" t="s">
        <v>3872</v>
      </c>
      <c r="D104" s="495" t="s">
        <v>3873</v>
      </c>
      <c r="E104" s="495" t="s">
        <v>3874</v>
      </c>
      <c r="F104" s="495" t="s">
        <v>3875</v>
      </c>
      <c r="G104" s="495"/>
      <c r="H104" s="495"/>
      <c r="I104" s="495"/>
      <c r="J104" s="495"/>
      <c r="K104" s="496"/>
      <c r="L104" s="497"/>
      <c r="M104" s="498"/>
      <c r="N104" s="2963"/>
      <c r="O104" s="2963"/>
      <c r="P104" s="2988"/>
      <c r="Q104" s="2949"/>
      <c r="R104" s="2935"/>
      <c r="S104" s="2935"/>
      <c r="T104" s="2935"/>
      <c r="U104" s="2935"/>
      <c r="V104" s="2935"/>
      <c r="W104" s="2935"/>
      <c r="X104" s="2935"/>
      <c r="Y104" s="2935"/>
      <c r="Z104" s="2935"/>
      <c r="AA104" s="2935"/>
      <c r="AB104" s="2935"/>
      <c r="AC104" s="2935"/>
    </row>
    <row r="105" spans="1:29" ht="15.75" thickBot="1">
      <c r="A105" s="490"/>
      <c r="B105" s="499"/>
      <c r="C105" s="500">
        <v>100</v>
      </c>
      <c r="D105" s="500">
        <f>C105-$K31</f>
        <v>100</v>
      </c>
      <c r="E105" s="500">
        <f t="shared" ref="E105:M105" si="25">D105-$K31</f>
        <v>100</v>
      </c>
      <c r="F105" s="500">
        <f t="shared" si="25"/>
        <v>100</v>
      </c>
      <c r="G105" s="500">
        <f t="shared" si="25"/>
        <v>100</v>
      </c>
      <c r="H105" s="500">
        <f t="shared" si="25"/>
        <v>100</v>
      </c>
      <c r="I105" s="500">
        <f t="shared" si="25"/>
        <v>100</v>
      </c>
      <c r="J105" s="500">
        <f t="shared" si="25"/>
        <v>100</v>
      </c>
      <c r="K105" s="500">
        <f t="shared" si="25"/>
        <v>100</v>
      </c>
      <c r="L105" s="500">
        <f t="shared" si="25"/>
        <v>100</v>
      </c>
      <c r="M105" s="500">
        <f t="shared" si="25"/>
        <v>100</v>
      </c>
      <c r="N105" s="2964"/>
      <c r="O105" s="2964"/>
      <c r="P105" s="2988"/>
      <c r="Q105" s="2949"/>
      <c r="R105" s="2935"/>
      <c r="S105" s="2935"/>
      <c r="T105" s="2935"/>
      <c r="U105" s="2935"/>
      <c r="V105" s="2935"/>
      <c r="W105" s="2935"/>
      <c r="X105" s="2935"/>
      <c r="Y105" s="2935"/>
      <c r="Z105" s="2935"/>
      <c r="AA105" s="2935"/>
      <c r="AB105" s="2935"/>
      <c r="AC105" s="2935"/>
    </row>
    <row r="106" spans="1:29" ht="17.25" customHeight="1" thickTop="1">
      <c r="A106" s="490"/>
      <c r="B106" s="494" t="s">
        <v>3836</v>
      </c>
      <c r="C106" s="3147" t="s">
        <v>3876</v>
      </c>
      <c r="D106" s="3147" t="s">
        <v>3877</v>
      </c>
      <c r="E106" s="3147" t="s">
        <v>3878</v>
      </c>
      <c r="F106" s="3147" t="s">
        <v>3879</v>
      </c>
      <c r="G106" s="3147" t="s">
        <v>3880</v>
      </c>
      <c r="H106" s="539"/>
      <c r="I106" s="539"/>
      <c r="J106" s="539"/>
      <c r="K106" s="540"/>
      <c r="L106" s="541"/>
      <c r="M106" s="542"/>
      <c r="N106" s="2963"/>
      <c r="O106" s="2963"/>
      <c r="P106" s="2988"/>
      <c r="Q106" s="2949"/>
      <c r="R106" s="2935"/>
      <c r="S106" s="2935"/>
      <c r="T106" s="2935"/>
      <c r="U106" s="2935"/>
      <c r="V106" s="2935"/>
      <c r="W106" s="2935"/>
      <c r="X106" s="2935"/>
      <c r="Y106" s="2935"/>
      <c r="Z106" s="2935"/>
      <c r="AA106" s="2935"/>
      <c r="AB106" s="2935"/>
      <c r="AC106" s="2935"/>
    </row>
    <row r="107" spans="1:29" ht="15.75" thickBot="1">
      <c r="A107" s="490"/>
      <c r="B107" s="499"/>
      <c r="C107" s="500">
        <v>100</v>
      </c>
      <c r="D107" s="500">
        <f>C107-$K32</f>
        <v>100</v>
      </c>
      <c r="E107" s="500">
        <f t="shared" ref="E107:M107" si="26">D107-$K32</f>
        <v>100</v>
      </c>
      <c r="F107" s="500">
        <f t="shared" si="26"/>
        <v>100</v>
      </c>
      <c r="G107" s="500">
        <f t="shared" si="26"/>
        <v>100</v>
      </c>
      <c r="H107" s="500">
        <f t="shared" si="26"/>
        <v>100</v>
      </c>
      <c r="I107" s="500">
        <f t="shared" si="26"/>
        <v>100</v>
      </c>
      <c r="J107" s="500">
        <f t="shared" si="26"/>
        <v>100</v>
      </c>
      <c r="K107" s="500">
        <f t="shared" si="26"/>
        <v>100</v>
      </c>
      <c r="L107" s="500">
        <f t="shared" si="26"/>
        <v>100</v>
      </c>
      <c r="M107" s="500">
        <f t="shared" si="26"/>
        <v>100</v>
      </c>
      <c r="N107" s="2964"/>
      <c r="O107" s="2964"/>
      <c r="P107" s="2988"/>
      <c r="Q107" s="2949"/>
      <c r="R107" s="2935"/>
      <c r="S107" s="2935"/>
      <c r="T107" s="2935"/>
      <c r="U107" s="2935"/>
      <c r="V107" s="2935"/>
      <c r="W107" s="2935"/>
      <c r="X107" s="2935"/>
      <c r="Y107" s="2935"/>
      <c r="Z107" s="2935"/>
      <c r="AA107" s="2935"/>
      <c r="AB107" s="2935"/>
      <c r="AC107" s="2935"/>
    </row>
    <row r="108" spans="1:29" ht="15.75" thickTop="1">
      <c r="A108" s="490"/>
      <c r="B108" s="494" t="s">
        <v>3801</v>
      </c>
      <c r="C108" s="539"/>
      <c r="D108" s="539"/>
      <c r="E108" s="539"/>
      <c r="F108" s="539"/>
      <c r="G108" s="539"/>
      <c r="H108" s="539"/>
      <c r="I108" s="539"/>
      <c r="J108" s="539"/>
      <c r="K108" s="540"/>
      <c r="L108" s="541"/>
      <c r="M108" s="542"/>
      <c r="N108" s="2963"/>
      <c r="O108" s="2963"/>
      <c r="P108" s="2988"/>
      <c r="Q108" s="2949"/>
      <c r="R108" s="2935"/>
      <c r="S108" s="2935"/>
      <c r="T108" s="2935"/>
      <c r="U108" s="2935"/>
      <c r="V108" s="2935"/>
      <c r="W108" s="2935"/>
      <c r="X108" s="2935"/>
      <c r="Y108" s="2935"/>
      <c r="Z108" s="2935"/>
      <c r="AA108" s="2935"/>
      <c r="AB108" s="2935"/>
      <c r="AC108" s="2935"/>
    </row>
    <row r="109" spans="1:29" ht="15.75" thickBot="1">
      <c r="A109" s="490"/>
      <c r="B109" s="499"/>
      <c r="C109" s="500">
        <v>100</v>
      </c>
      <c r="D109" s="500">
        <f>C109-$K34</f>
        <v>100</v>
      </c>
      <c r="E109" s="500">
        <f t="shared" ref="E109:M109" si="27">D109-$K34</f>
        <v>100</v>
      </c>
      <c r="F109" s="500">
        <f t="shared" si="27"/>
        <v>100</v>
      </c>
      <c r="G109" s="500">
        <f t="shared" si="27"/>
        <v>100</v>
      </c>
      <c r="H109" s="500">
        <f t="shared" si="27"/>
        <v>100</v>
      </c>
      <c r="I109" s="500">
        <f t="shared" si="27"/>
        <v>100</v>
      </c>
      <c r="J109" s="500">
        <f t="shared" si="27"/>
        <v>100</v>
      </c>
      <c r="K109" s="500">
        <f t="shared" si="27"/>
        <v>100</v>
      </c>
      <c r="L109" s="500">
        <f t="shared" si="27"/>
        <v>100</v>
      </c>
      <c r="M109" s="500">
        <f t="shared" si="27"/>
        <v>100</v>
      </c>
      <c r="N109" s="2964"/>
      <c r="O109" s="2964"/>
      <c r="P109" s="2988"/>
      <c r="Q109" s="2949"/>
      <c r="R109" s="2935"/>
      <c r="S109" s="2935"/>
      <c r="T109" s="2935"/>
      <c r="U109" s="2935"/>
      <c r="V109" s="2935"/>
      <c r="W109" s="2935"/>
      <c r="X109" s="2935"/>
      <c r="Y109" s="2935"/>
      <c r="Z109" s="2935"/>
      <c r="AA109" s="2935"/>
      <c r="AB109" s="2935"/>
      <c r="AC109" s="2935"/>
    </row>
    <row r="110" spans="1:29" ht="15.75" thickTop="1">
      <c r="A110" s="490"/>
      <c r="B110" s="502">
        <f>B35</f>
        <v>111</v>
      </c>
      <c r="C110" s="510"/>
      <c r="D110" s="510"/>
      <c r="E110" s="510"/>
      <c r="F110" s="510"/>
      <c r="G110" s="543"/>
      <c r="H110" s="543"/>
      <c r="I110" s="543"/>
      <c r="J110" s="543"/>
      <c r="K110" s="544"/>
      <c r="L110" s="545"/>
      <c r="M110" s="546"/>
      <c r="N110" s="2963"/>
      <c r="O110" s="2963"/>
      <c r="P110" s="2988"/>
      <c r="Q110" s="2949"/>
      <c r="R110" s="2935"/>
      <c r="S110" s="2935"/>
      <c r="T110" s="2935"/>
      <c r="U110" s="2935"/>
      <c r="V110" s="2935"/>
      <c r="W110" s="2935"/>
      <c r="X110" s="2935"/>
      <c r="Y110" s="2935"/>
      <c r="Z110" s="2935"/>
      <c r="AA110" s="2935"/>
      <c r="AB110" s="2935"/>
      <c r="AC110" s="2935"/>
    </row>
    <row r="111" spans="1:29" ht="15.75" thickBot="1">
      <c r="A111" s="490"/>
      <c r="B111" s="525"/>
      <c r="C111" s="516"/>
      <c r="D111" s="516"/>
      <c r="E111" s="516"/>
      <c r="F111" s="516"/>
      <c r="G111" s="547"/>
      <c r="H111" s="547"/>
      <c r="I111" s="547"/>
      <c r="J111" s="547"/>
      <c r="K111" s="547"/>
      <c r="L111" s="547"/>
      <c r="M111" s="548"/>
      <c r="N111" s="2964"/>
      <c r="O111" s="2964"/>
      <c r="P111" s="2988"/>
      <c r="Q111" s="2949"/>
      <c r="R111" s="2935"/>
      <c r="S111" s="2935"/>
      <c r="T111" s="2935"/>
      <c r="U111" s="2935"/>
      <c r="V111" s="2935"/>
      <c r="W111" s="2935"/>
      <c r="X111" s="2935"/>
      <c r="Y111" s="2935"/>
      <c r="Z111" s="2935"/>
      <c r="AA111" s="2935"/>
      <c r="AB111" s="2935"/>
      <c r="AC111" s="2935"/>
    </row>
    <row r="112" spans="1:29" ht="15" thickTop="1">
      <c r="A112" s="630"/>
      <c r="B112" s="494">
        <f>B36</f>
        <v>111</v>
      </c>
      <c r="C112" s="479"/>
      <c r="D112" s="479"/>
      <c r="E112" s="479"/>
      <c r="F112" s="479"/>
      <c r="G112" s="539"/>
      <c r="H112" s="539"/>
      <c r="I112" s="539"/>
      <c r="J112" s="539"/>
      <c r="K112" s="540"/>
      <c r="L112" s="541"/>
      <c r="M112" s="542"/>
      <c r="N112" s="2963"/>
      <c r="O112" s="2963"/>
      <c r="P112" s="2988"/>
      <c r="Q112" s="2949"/>
      <c r="R112" s="2935"/>
      <c r="S112" s="2935"/>
      <c r="T112" s="2935"/>
      <c r="U112" s="2935"/>
      <c r="V112" s="2935"/>
      <c r="W112" s="2935"/>
      <c r="X112" s="2935"/>
      <c r="Y112" s="2935"/>
      <c r="Z112" s="2935"/>
      <c r="AA112" s="2935"/>
      <c r="AB112" s="2935"/>
      <c r="AC112" s="2935"/>
    </row>
    <row r="113" spans="1:29" ht="15.75" thickBot="1">
      <c r="A113" s="490"/>
      <c r="B113" s="499"/>
      <c r="C113" s="526"/>
      <c r="D113" s="526"/>
      <c r="E113" s="526"/>
      <c r="F113" s="526"/>
      <c r="G113" s="492"/>
      <c r="H113" s="492"/>
      <c r="I113" s="492"/>
      <c r="J113" s="492"/>
      <c r="K113" s="492"/>
      <c r="L113" s="492"/>
      <c r="M113" s="493"/>
      <c r="N113" s="2964"/>
      <c r="O113" s="2964"/>
      <c r="P113" s="2988"/>
      <c r="Q113" s="2949"/>
      <c r="R113" s="2935"/>
      <c r="S113" s="2935"/>
      <c r="T113" s="2935"/>
      <c r="U113" s="2935"/>
      <c r="V113" s="2935"/>
      <c r="W113" s="2935"/>
      <c r="X113" s="2935"/>
      <c r="Y113" s="2935"/>
      <c r="Z113" s="2935"/>
      <c r="AA113" s="2935"/>
      <c r="AB113" s="2935"/>
      <c r="AC113" s="2935"/>
    </row>
    <row r="114" spans="1:29" s="429" customFormat="1" ht="15" thickTop="1">
      <c r="A114" s="549"/>
      <c r="B114" s="550">
        <f>B37</f>
        <v>111</v>
      </c>
      <c r="C114" s="551"/>
      <c r="D114" s="551"/>
      <c r="E114" s="551"/>
      <c r="F114" s="551"/>
      <c r="G114" s="551"/>
      <c r="H114" s="551"/>
      <c r="I114" s="551"/>
      <c r="J114" s="552"/>
      <c r="K114" s="552"/>
      <c r="L114" s="553"/>
      <c r="M114" s="554"/>
      <c r="N114" s="2965"/>
      <c r="O114" s="2965"/>
      <c r="P114" s="2989"/>
      <c r="Q114" s="2956"/>
      <c r="R114" s="2957"/>
      <c r="S114" s="2957"/>
      <c r="T114" s="2957"/>
      <c r="U114" s="2957"/>
      <c r="V114" s="2957"/>
      <c r="W114" s="2957"/>
      <c r="X114" s="2957"/>
      <c r="Y114" s="2957"/>
      <c r="Z114" s="2957"/>
      <c r="AA114" s="2957"/>
      <c r="AB114" s="2957"/>
      <c r="AC114" s="2957"/>
    </row>
    <row r="115" spans="1:29" s="429" customFormat="1" ht="15.75" thickBot="1">
      <c r="A115" s="509"/>
      <c r="B115" s="502"/>
      <c r="C115" s="468"/>
      <c r="D115" s="632"/>
      <c r="E115" s="632"/>
      <c r="F115" s="632"/>
      <c r="G115" s="632"/>
      <c r="H115" s="632"/>
      <c r="I115" s="632"/>
      <c r="J115" s="632"/>
      <c r="K115" s="632"/>
      <c r="L115" s="632"/>
      <c r="M115" s="653"/>
      <c r="N115" s="2964"/>
      <c r="O115" s="2964"/>
      <c r="P115" s="2989"/>
      <c r="Q115" s="2956"/>
      <c r="R115" s="2957"/>
      <c r="S115" s="2957"/>
      <c r="T115" s="2957"/>
      <c r="U115" s="2957"/>
      <c r="V115" s="2957"/>
      <c r="W115" s="2957"/>
      <c r="X115" s="2957"/>
      <c r="Y115" s="2957"/>
      <c r="Z115" s="2957"/>
      <c r="AA115" s="2957"/>
      <c r="AB115" s="2957"/>
      <c r="AC115" s="2957"/>
    </row>
    <row r="116" spans="1:29" ht="28.5">
      <c r="A116" s="483" t="s">
        <v>3838</v>
      </c>
      <c r="B116" s="484" t="s">
        <v>3839</v>
      </c>
      <c r="C116" s="485" t="str">
        <f>C117&amp;"(含)"&amp;"-"&amp;D117</f>
        <v>0(含)-50000</v>
      </c>
      <c r="D116" s="485" t="str">
        <f t="shared" ref="D116:M116" si="28">D117&amp;"(含)"&amp;"-"&amp;E117</f>
        <v>50000(含)-100000</v>
      </c>
      <c r="E116" s="485" t="str">
        <f t="shared" si="28"/>
        <v>100000(含)-150000</v>
      </c>
      <c r="F116" s="485" t="str">
        <f t="shared" si="28"/>
        <v>150000(含)-200000</v>
      </c>
      <c r="G116" s="485" t="str">
        <f t="shared" si="28"/>
        <v>200000(含)-250000</v>
      </c>
      <c r="H116" s="485" t="str">
        <f t="shared" si="28"/>
        <v>250000(含)-</v>
      </c>
      <c r="I116" s="485" t="str">
        <f t="shared" si="28"/>
        <v>(含)-</v>
      </c>
      <c r="J116" s="485" t="str">
        <f t="shared" si="28"/>
        <v>(含)-</v>
      </c>
      <c r="K116" s="485" t="str">
        <f t="shared" si="28"/>
        <v>(含)-</v>
      </c>
      <c r="L116" s="485" t="str">
        <f t="shared" si="28"/>
        <v>(含)-</v>
      </c>
      <c r="M116" s="485" t="str">
        <f t="shared" si="28"/>
        <v>(含)-</v>
      </c>
      <c r="N116" s="2963"/>
      <c r="O116" s="2963"/>
      <c r="P116" s="2988"/>
      <c r="Q116" s="2949"/>
      <c r="R116" s="2935"/>
      <c r="S116" s="2935"/>
      <c r="T116" s="2935"/>
      <c r="U116" s="2935"/>
      <c r="V116" s="2935"/>
      <c r="W116" s="2935"/>
      <c r="X116" s="2935"/>
      <c r="Y116" s="2935"/>
      <c r="Z116" s="2935"/>
      <c r="AA116" s="2935"/>
      <c r="AB116" s="2935"/>
      <c r="AC116" s="2935"/>
    </row>
    <row r="117" spans="1:29" ht="15">
      <c r="A117" s="490"/>
      <c r="B117" s="502"/>
      <c r="C117" s="551">
        <v>0</v>
      </c>
      <c r="D117" s="551">
        <f>C117+50000</f>
        <v>50000</v>
      </c>
      <c r="E117" s="551">
        <f t="shared" ref="E117:H117" si="29">D117+50000</f>
        <v>100000</v>
      </c>
      <c r="F117" s="551">
        <f t="shared" si="29"/>
        <v>150000</v>
      </c>
      <c r="G117" s="551">
        <f t="shared" si="29"/>
        <v>200000</v>
      </c>
      <c r="H117" s="551">
        <f t="shared" si="29"/>
        <v>250000</v>
      </c>
      <c r="I117" s="551"/>
      <c r="J117" s="552"/>
      <c r="K117" s="552"/>
      <c r="L117" s="553"/>
      <c r="M117" s="554"/>
      <c r="N117" s="2963"/>
      <c r="O117" s="2963"/>
      <c r="P117" s="2988"/>
      <c r="Q117" s="2949"/>
      <c r="R117" s="2935"/>
      <c r="S117" s="2935"/>
      <c r="T117" s="2935"/>
      <c r="U117" s="2935"/>
      <c r="V117" s="2935"/>
      <c r="W117" s="2935"/>
      <c r="X117" s="2935"/>
      <c r="Y117" s="2935"/>
      <c r="Z117" s="2935"/>
      <c r="AA117" s="2935"/>
      <c r="AB117" s="2935"/>
      <c r="AC117" s="2935"/>
    </row>
    <row r="118" spans="1:29" ht="15.75" thickBot="1">
      <c r="A118" s="490"/>
      <c r="B118" s="499"/>
      <c r="C118" s="526">
        <v>100</v>
      </c>
      <c r="D118" s="547">
        <f>C118+2</f>
        <v>102</v>
      </c>
      <c r="E118" s="547">
        <f t="shared" ref="E118:H118" si="30">D118+2</f>
        <v>104</v>
      </c>
      <c r="F118" s="547">
        <f t="shared" si="30"/>
        <v>106</v>
      </c>
      <c r="G118" s="547">
        <f t="shared" si="30"/>
        <v>108</v>
      </c>
      <c r="H118" s="547">
        <f t="shared" si="30"/>
        <v>110</v>
      </c>
      <c r="I118" s="547"/>
      <c r="J118" s="547"/>
      <c r="K118" s="547"/>
      <c r="L118" s="547"/>
      <c r="M118" s="548"/>
      <c r="N118" s="2964"/>
      <c r="O118" s="2964"/>
      <c r="P118" s="2988"/>
      <c r="Q118" s="2949"/>
      <c r="R118" s="2935"/>
      <c r="S118" s="2935"/>
      <c r="T118" s="2935"/>
      <c r="U118" s="2935"/>
      <c r="V118" s="2935"/>
      <c r="W118" s="2935"/>
      <c r="X118" s="2935"/>
      <c r="Y118" s="2935"/>
      <c r="Z118" s="2935"/>
      <c r="AA118" s="2935"/>
      <c r="AB118" s="2935"/>
      <c r="AC118" s="2935"/>
    </row>
    <row r="119" spans="1:29" ht="15" thickTop="1">
      <c r="A119" s="555"/>
      <c r="B119" s="494" t="s">
        <v>3840</v>
      </c>
      <c r="C119" s="3148" t="s">
        <v>3822</v>
      </c>
      <c r="D119" s="3148" t="s">
        <v>3881</v>
      </c>
      <c r="E119" s="3148" t="s">
        <v>3882</v>
      </c>
      <c r="F119" s="3148" t="s">
        <v>3883</v>
      </c>
      <c r="G119" s="539"/>
      <c r="H119" s="539"/>
      <c r="I119" s="539"/>
      <c r="J119" s="539"/>
      <c r="K119" s="540"/>
      <c r="L119" s="541"/>
      <c r="M119" s="542"/>
      <c r="N119" s="2963"/>
      <c r="O119" s="2963"/>
      <c r="P119" s="2988"/>
      <c r="Q119" s="2949"/>
      <c r="R119" s="2935"/>
      <c r="S119" s="2935"/>
      <c r="T119" s="2935"/>
      <c r="U119" s="2935"/>
      <c r="V119" s="2935"/>
      <c r="W119" s="2935"/>
      <c r="X119" s="2935"/>
      <c r="Y119" s="2935"/>
      <c r="Z119" s="2935"/>
      <c r="AA119" s="2935"/>
      <c r="AB119" s="2935"/>
      <c r="AC119" s="2935"/>
    </row>
    <row r="120" spans="1:29" ht="15.75" thickBot="1">
      <c r="A120" s="490"/>
      <c r="B120" s="499"/>
      <c r="C120" s="500">
        <v>100</v>
      </c>
      <c r="D120" s="500">
        <f t="shared" ref="D120:M120" si="31">C120-$K39</f>
        <v>98</v>
      </c>
      <c r="E120" s="500">
        <f t="shared" si="31"/>
        <v>96</v>
      </c>
      <c r="F120" s="500">
        <f t="shared" si="31"/>
        <v>94</v>
      </c>
      <c r="G120" s="500">
        <f t="shared" si="31"/>
        <v>92</v>
      </c>
      <c r="H120" s="500">
        <f t="shared" si="31"/>
        <v>90</v>
      </c>
      <c r="I120" s="500">
        <f t="shared" si="31"/>
        <v>88</v>
      </c>
      <c r="J120" s="500">
        <f t="shared" si="31"/>
        <v>86</v>
      </c>
      <c r="K120" s="500">
        <f t="shared" si="31"/>
        <v>84</v>
      </c>
      <c r="L120" s="500">
        <f t="shared" si="31"/>
        <v>82</v>
      </c>
      <c r="M120" s="501">
        <f t="shared" si="31"/>
        <v>80</v>
      </c>
      <c r="N120" s="2964"/>
      <c r="O120" s="2964"/>
      <c r="P120" s="2988"/>
      <c r="Q120" s="2949"/>
      <c r="R120" s="2935"/>
      <c r="S120" s="2935"/>
      <c r="T120" s="2935"/>
      <c r="U120" s="2935"/>
      <c r="V120" s="2935"/>
      <c r="W120" s="2935"/>
      <c r="X120" s="2935"/>
      <c r="Y120" s="2935"/>
      <c r="Z120" s="2935"/>
      <c r="AA120" s="2935"/>
      <c r="AB120" s="2935"/>
      <c r="AC120" s="2935"/>
    </row>
    <row r="121" spans="1:29" ht="15" thickTop="1">
      <c r="A121" s="555"/>
      <c r="B121" s="494" t="s">
        <v>3802</v>
      </c>
      <c r="C121" s="3147" t="s">
        <v>3884</v>
      </c>
      <c r="D121" s="3147" t="s">
        <v>3885</v>
      </c>
      <c r="E121" s="3147" t="s">
        <v>3886</v>
      </c>
      <c r="F121" s="3148" t="s">
        <v>3887</v>
      </c>
      <c r="G121" s="3148" t="s">
        <v>3888</v>
      </c>
      <c r="H121" s="539"/>
      <c r="I121" s="539"/>
      <c r="J121" s="539"/>
      <c r="K121" s="540"/>
      <c r="L121" s="541"/>
      <c r="M121" s="542"/>
      <c r="N121" s="2963"/>
      <c r="O121" s="2963"/>
      <c r="P121" s="2988"/>
      <c r="Q121" s="2949"/>
      <c r="R121" s="2935"/>
      <c r="S121" s="2935"/>
      <c r="T121" s="2935"/>
      <c r="U121" s="2935"/>
      <c r="V121" s="2935"/>
      <c r="W121" s="2935"/>
      <c r="X121" s="2935"/>
      <c r="Y121" s="2935"/>
      <c r="Z121" s="2935"/>
      <c r="AA121" s="2935"/>
      <c r="AB121" s="2935"/>
      <c r="AC121" s="2935"/>
    </row>
    <row r="122" spans="1:29" ht="15.75" thickBot="1">
      <c r="A122" s="490"/>
      <c r="B122" s="499"/>
      <c r="C122" s="500">
        <v>100</v>
      </c>
      <c r="D122" s="500">
        <f t="shared" ref="D122:M122" si="32">C122-$K40</f>
        <v>98</v>
      </c>
      <c r="E122" s="500">
        <f t="shared" si="32"/>
        <v>96</v>
      </c>
      <c r="F122" s="500">
        <f t="shared" si="32"/>
        <v>94</v>
      </c>
      <c r="G122" s="500">
        <f t="shared" si="32"/>
        <v>92</v>
      </c>
      <c r="H122" s="500">
        <f t="shared" si="32"/>
        <v>90</v>
      </c>
      <c r="I122" s="500">
        <f t="shared" si="32"/>
        <v>88</v>
      </c>
      <c r="J122" s="500">
        <f t="shared" si="32"/>
        <v>86</v>
      </c>
      <c r="K122" s="500">
        <f t="shared" si="32"/>
        <v>84</v>
      </c>
      <c r="L122" s="500">
        <f t="shared" si="32"/>
        <v>82</v>
      </c>
      <c r="M122" s="501">
        <f t="shared" si="32"/>
        <v>80</v>
      </c>
      <c r="N122" s="2964"/>
      <c r="O122" s="2964"/>
      <c r="P122" s="2988"/>
      <c r="Q122" s="2949"/>
      <c r="R122" s="2935"/>
      <c r="S122" s="2935"/>
      <c r="T122" s="2935"/>
      <c r="U122" s="2935"/>
      <c r="V122" s="2935"/>
      <c r="W122" s="2935"/>
      <c r="X122" s="2935"/>
      <c r="Y122" s="2935"/>
      <c r="Z122" s="2935"/>
      <c r="AA122" s="2935"/>
      <c r="AB122" s="2935"/>
      <c r="AC122" s="2935"/>
    </row>
    <row r="123" spans="1:29" s="429" customFormat="1" ht="15" thickTop="1">
      <c r="A123" s="549"/>
      <c r="B123" s="494" t="s">
        <v>3803</v>
      </c>
      <c r="C123" s="510" t="s">
        <v>3546</v>
      </c>
      <c r="D123" s="510" t="s">
        <v>3547</v>
      </c>
      <c r="E123" s="510" t="s">
        <v>3548</v>
      </c>
      <c r="F123" s="510" t="s">
        <v>3549</v>
      </c>
      <c r="G123" s="510" t="s">
        <v>3550</v>
      </c>
      <c r="H123" s="539"/>
      <c r="I123" s="539"/>
      <c r="J123" s="539"/>
      <c r="K123" s="540"/>
      <c r="L123" s="541"/>
      <c r="M123" s="542"/>
      <c r="N123" s="2965"/>
      <c r="O123" s="2965"/>
      <c r="P123" s="2989"/>
      <c r="Q123" s="2956"/>
      <c r="R123" s="2957"/>
      <c r="S123" s="2957"/>
      <c r="T123" s="2957"/>
      <c r="U123" s="2957"/>
      <c r="V123" s="2957"/>
      <c r="W123" s="2957"/>
      <c r="X123" s="2957"/>
      <c r="Y123" s="2957"/>
      <c r="Z123" s="2957"/>
      <c r="AA123" s="2957"/>
      <c r="AB123" s="2957"/>
      <c r="AC123" s="2957"/>
    </row>
    <row r="124" spans="1:29" s="429" customFormat="1" ht="15.75" thickBot="1">
      <c r="A124" s="509"/>
      <c r="B124" s="499"/>
      <c r="C124" s="500">
        <v>100</v>
      </c>
      <c r="D124" s="500">
        <f>C124-$K41</f>
        <v>99</v>
      </c>
      <c r="E124" s="500">
        <f t="shared" ref="E124:M124" si="33">D124-$K41</f>
        <v>98</v>
      </c>
      <c r="F124" s="500">
        <f t="shared" si="33"/>
        <v>97</v>
      </c>
      <c r="G124" s="500">
        <f t="shared" si="33"/>
        <v>96</v>
      </c>
      <c r="H124" s="500">
        <f t="shared" si="33"/>
        <v>95</v>
      </c>
      <c r="I124" s="500">
        <f t="shared" si="33"/>
        <v>94</v>
      </c>
      <c r="J124" s="500">
        <f t="shared" si="33"/>
        <v>93</v>
      </c>
      <c r="K124" s="500">
        <f t="shared" si="33"/>
        <v>92</v>
      </c>
      <c r="L124" s="500">
        <f t="shared" si="33"/>
        <v>91</v>
      </c>
      <c r="M124" s="501">
        <f t="shared" si="33"/>
        <v>90</v>
      </c>
      <c r="N124" s="2965"/>
      <c r="O124" s="2965"/>
      <c r="P124" s="2989"/>
      <c r="Q124" s="2956"/>
      <c r="R124" s="2957"/>
      <c r="S124" s="2957"/>
      <c r="T124" s="2957"/>
      <c r="U124" s="2957"/>
      <c r="V124" s="2957"/>
      <c r="W124" s="2957"/>
      <c r="X124" s="2957"/>
      <c r="Y124" s="2957"/>
      <c r="Z124" s="2957"/>
      <c r="AA124" s="2957"/>
      <c r="AB124" s="2957"/>
      <c r="AC124" s="2957"/>
    </row>
    <row r="125" spans="1:29" ht="15" thickTop="1">
      <c r="A125" s="555"/>
      <c r="B125" s="494" t="s">
        <v>3804</v>
      </c>
      <c r="C125" s="3147" t="s">
        <v>3889</v>
      </c>
      <c r="D125" s="3147" t="s">
        <v>3890</v>
      </c>
      <c r="E125" s="3148" t="s">
        <v>3891</v>
      </c>
      <c r="F125" s="3148" t="s">
        <v>3892</v>
      </c>
      <c r="G125" s="3148" t="s">
        <v>3893</v>
      </c>
      <c r="H125" s="539"/>
      <c r="I125" s="539"/>
      <c r="J125" s="539"/>
      <c r="K125" s="540"/>
      <c r="L125" s="541"/>
      <c r="M125" s="542"/>
      <c r="N125" s="2963"/>
      <c r="O125" s="2963"/>
      <c r="P125" s="2988"/>
      <c r="Q125" s="2949"/>
      <c r="R125" s="2935"/>
      <c r="S125" s="2935"/>
      <c r="T125" s="2935"/>
      <c r="U125" s="2935"/>
      <c r="V125" s="2935"/>
      <c r="W125" s="2935"/>
      <c r="X125" s="2935"/>
      <c r="Y125" s="2935"/>
      <c r="Z125" s="2935"/>
      <c r="AA125" s="2935"/>
      <c r="AB125" s="2935"/>
      <c r="AC125" s="2935"/>
    </row>
    <row r="126" spans="1:29" ht="15.75" thickBot="1">
      <c r="A126" s="490"/>
      <c r="B126" s="499"/>
      <c r="C126" s="500">
        <v>100</v>
      </c>
      <c r="D126" s="500">
        <f t="shared" ref="D126:M126" si="34">C126-$K42</f>
        <v>100</v>
      </c>
      <c r="E126" s="500">
        <f t="shared" si="34"/>
        <v>100</v>
      </c>
      <c r="F126" s="500">
        <f t="shared" si="34"/>
        <v>100</v>
      </c>
      <c r="G126" s="500">
        <f t="shared" si="34"/>
        <v>100</v>
      </c>
      <c r="H126" s="500">
        <f t="shared" si="34"/>
        <v>100</v>
      </c>
      <c r="I126" s="500">
        <f t="shared" si="34"/>
        <v>100</v>
      </c>
      <c r="J126" s="500">
        <f t="shared" si="34"/>
        <v>100</v>
      </c>
      <c r="K126" s="500">
        <f t="shared" si="34"/>
        <v>100</v>
      </c>
      <c r="L126" s="500">
        <f t="shared" si="34"/>
        <v>100</v>
      </c>
      <c r="M126" s="501">
        <f t="shared" si="34"/>
        <v>100</v>
      </c>
      <c r="N126" s="2964"/>
      <c r="O126" s="2964"/>
      <c r="P126" s="2988"/>
      <c r="Q126" s="2949"/>
      <c r="R126" s="2935"/>
      <c r="S126" s="2935"/>
      <c r="T126" s="2935"/>
      <c r="U126" s="2935"/>
      <c r="V126" s="2935"/>
      <c r="W126" s="2935"/>
      <c r="X126" s="2935"/>
      <c r="Y126" s="2935"/>
      <c r="Z126" s="2935"/>
      <c r="AA126" s="2935"/>
      <c r="AB126" s="2935"/>
      <c r="AC126" s="2935"/>
    </row>
    <row r="127" spans="1:29" ht="15" thickTop="1">
      <c r="A127" s="555"/>
      <c r="B127" s="494">
        <f>B43</f>
        <v>111</v>
      </c>
      <c r="C127" s="510"/>
      <c r="D127" s="510"/>
      <c r="E127" s="510"/>
      <c r="F127" s="510"/>
      <c r="G127" s="510"/>
      <c r="H127" s="539"/>
      <c r="I127" s="539"/>
      <c r="J127" s="539"/>
      <c r="K127" s="540"/>
      <c r="L127" s="541"/>
      <c r="M127" s="542"/>
      <c r="N127" s="2963"/>
      <c r="O127" s="2963"/>
      <c r="P127" s="2988"/>
      <c r="Q127" s="2949"/>
      <c r="R127" s="2935"/>
      <c r="S127" s="2935"/>
      <c r="T127" s="2935"/>
      <c r="U127" s="2935"/>
      <c r="V127" s="2935"/>
      <c r="W127" s="2935"/>
      <c r="X127" s="2935"/>
      <c r="Y127" s="2935"/>
      <c r="Z127" s="2935"/>
      <c r="AA127" s="2935"/>
      <c r="AB127" s="2935"/>
      <c r="AC127" s="2935"/>
    </row>
    <row r="128" spans="1:29" ht="15.75" thickBot="1">
      <c r="A128" s="490"/>
      <c r="B128" s="499"/>
      <c r="C128" s="516"/>
      <c r="D128" s="516"/>
      <c r="E128" s="516"/>
      <c r="F128" s="516"/>
      <c r="G128" s="492"/>
      <c r="H128" s="492"/>
      <c r="I128" s="492"/>
      <c r="J128" s="492"/>
      <c r="K128" s="492"/>
      <c r="L128" s="492"/>
      <c r="M128" s="493"/>
      <c r="N128" s="2964"/>
      <c r="O128" s="2964"/>
      <c r="P128" s="2988"/>
      <c r="Q128" s="2949"/>
      <c r="R128" s="2935"/>
      <c r="S128" s="2935"/>
      <c r="T128" s="2935"/>
      <c r="U128" s="2935"/>
      <c r="V128" s="2935"/>
      <c r="W128" s="2935"/>
      <c r="X128" s="2935"/>
      <c r="Y128" s="2935"/>
      <c r="Z128" s="2935"/>
      <c r="AA128" s="2935"/>
      <c r="AB128" s="2935"/>
      <c r="AC128" s="2935"/>
    </row>
    <row r="129" spans="1:29" ht="15" thickTop="1">
      <c r="A129" s="555"/>
      <c r="B129" s="494">
        <f>B44</f>
        <v>111</v>
      </c>
      <c r="C129" s="479"/>
      <c r="D129" s="479"/>
      <c r="E129" s="479"/>
      <c r="F129" s="479"/>
      <c r="G129" s="539"/>
      <c r="H129" s="539"/>
      <c r="I129" s="539"/>
      <c r="J129" s="539"/>
      <c r="K129" s="540"/>
      <c r="L129" s="541"/>
      <c r="M129" s="542"/>
      <c r="N129" s="2963"/>
      <c r="O129" s="2963"/>
      <c r="P129" s="2988"/>
      <c r="Q129" s="2949"/>
      <c r="R129" s="2935"/>
      <c r="S129" s="2935"/>
      <c r="T129" s="2935"/>
      <c r="U129" s="2935"/>
      <c r="V129" s="2935"/>
      <c r="W129" s="2935"/>
      <c r="X129" s="2935"/>
      <c r="Y129" s="2935"/>
      <c r="Z129" s="2935"/>
      <c r="AA129" s="2935"/>
      <c r="AB129" s="2935"/>
      <c r="AC129" s="2935"/>
    </row>
    <row r="130" spans="1:29" ht="15.75" thickBot="1">
      <c r="A130" s="490"/>
      <c r="B130" s="499"/>
      <c r="C130" s="526"/>
      <c r="D130" s="526"/>
      <c r="E130" s="526"/>
      <c r="F130" s="526"/>
      <c r="G130" s="492"/>
      <c r="H130" s="492"/>
      <c r="I130" s="492"/>
      <c r="J130" s="492"/>
      <c r="K130" s="492"/>
      <c r="L130" s="492"/>
      <c r="M130" s="493"/>
      <c r="N130" s="2964"/>
      <c r="O130" s="2964"/>
      <c r="P130" s="2988"/>
      <c r="Q130" s="2949"/>
      <c r="R130" s="2935"/>
      <c r="S130" s="2935"/>
      <c r="T130" s="2935"/>
      <c r="U130" s="2935"/>
      <c r="V130" s="2935"/>
      <c r="W130" s="2935"/>
      <c r="X130" s="2935"/>
      <c r="Y130" s="2935"/>
      <c r="Z130" s="2935"/>
      <c r="AA130" s="2935"/>
      <c r="AB130" s="2935"/>
      <c r="AC130" s="2935"/>
    </row>
    <row r="131" spans="1:29" s="429" customFormat="1" ht="15" thickTop="1">
      <c r="A131" s="549"/>
      <c r="B131" s="494">
        <f>B45</f>
        <v>111</v>
      </c>
      <c r="C131" s="479"/>
      <c r="D131" s="479"/>
      <c r="E131" s="479"/>
      <c r="F131" s="479"/>
      <c r="G131" s="511"/>
      <c r="H131" s="511"/>
      <c r="I131" s="511"/>
      <c r="J131" s="511"/>
      <c r="K131" s="511"/>
      <c r="L131" s="512"/>
      <c r="M131" s="513"/>
      <c r="N131" s="2965"/>
      <c r="O131" s="2965"/>
      <c r="P131" s="2989"/>
      <c r="Q131" s="2956"/>
      <c r="R131" s="2957"/>
      <c r="S131" s="2957"/>
      <c r="T131" s="2957"/>
      <c r="U131" s="2957"/>
      <c r="V131" s="2957"/>
      <c r="W131" s="2957"/>
      <c r="X131" s="2957"/>
      <c r="Y131" s="2957"/>
      <c r="Z131" s="2957"/>
      <c r="AA131" s="2957"/>
      <c r="AB131" s="2957"/>
      <c r="AC131" s="2957"/>
    </row>
    <row r="132" spans="1:29" s="429" customFormat="1" ht="15.75" thickBot="1">
      <c r="A132" s="524"/>
      <c r="B132" s="654"/>
      <c r="C132" s="526"/>
      <c r="D132" s="526"/>
      <c r="E132" s="526"/>
      <c r="F132" s="526"/>
      <c r="G132" s="547"/>
      <c r="H132" s="547"/>
      <c r="I132" s="547"/>
      <c r="J132" s="547"/>
      <c r="K132" s="547"/>
      <c r="L132" s="547"/>
      <c r="M132" s="548"/>
      <c r="N132" s="2965"/>
      <c r="O132" s="2965"/>
      <c r="P132" s="2989"/>
      <c r="Q132" s="2956"/>
      <c r="R132" s="2957"/>
      <c r="S132" s="2957"/>
      <c r="T132" s="2957"/>
      <c r="U132" s="2957"/>
      <c r="V132" s="2957"/>
      <c r="W132" s="2957"/>
      <c r="X132" s="2957"/>
      <c r="Y132" s="2957"/>
      <c r="Z132" s="2957"/>
      <c r="AA132" s="2957"/>
      <c r="AB132" s="2957"/>
      <c r="AC132" s="2957"/>
    </row>
    <row r="145" spans="11:12">
      <c r="K145" s="362"/>
      <c r="L145" s="362"/>
    </row>
    <row r="147" spans="11:12">
      <c r="K147" s="362"/>
      <c r="L147" s="362"/>
    </row>
    <row r="148" spans="11:12">
      <c r="K148" s="362"/>
      <c r="L148" s="362"/>
    </row>
  </sheetData>
  <sheetProtection password="CEE9" sheet="1" objects="1" scenarios="1" formatCells="0" formatColumns="0" formatRows="0"/>
  <mergeCells count="42">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5"/>
    <mergeCell ref="Y15:Y35"/>
    <mergeCell ref="P36:P45"/>
    <mergeCell ref="Y36:Y45"/>
    <mergeCell ref="P46:Q46"/>
    <mergeCell ref="R46:S46"/>
    <mergeCell ref="T46:U46"/>
    <mergeCell ref="V46:W46"/>
    <mergeCell ref="V47:W47"/>
    <mergeCell ref="P48:Q48"/>
    <mergeCell ref="R48:W48"/>
    <mergeCell ref="G55:H56"/>
    <mergeCell ref="G57:G60"/>
    <mergeCell ref="P47:Q47"/>
    <mergeCell ref="R47:S47"/>
    <mergeCell ref="T47:U47"/>
  </mergeCells>
  <phoneticPr fontId="3" type="noConversion"/>
  <conditionalFormatting sqref="F51 H51 J51">
    <cfRule type="containsText" dxfId="165" priority="18" stopIfTrue="1" operator="containsText" text="超过">
      <formula>NOT(ISERROR(SEARCH("超过",F51)))</formula>
    </cfRule>
  </conditionalFormatting>
  <conditionalFormatting sqref="J53">
    <cfRule type="containsText" dxfId="164" priority="17" stopIfTrue="1" operator="containsText" text="超过">
      <formula>NOT(ISERROR(SEARCH("超过",J53)))</formula>
    </cfRule>
  </conditionalFormatting>
  <conditionalFormatting sqref="H53">
    <cfRule type="containsText" dxfId="163" priority="16" stopIfTrue="1" operator="containsText" text="超过">
      <formula>NOT(ISERROR(SEARCH("超过",H53)))</formula>
    </cfRule>
  </conditionalFormatting>
  <conditionalFormatting sqref="F53">
    <cfRule type="containsText" dxfId="162" priority="15" stopIfTrue="1" operator="containsText" text="超过">
      <formula>NOT(ISERROR(SEARCH("超过",F53)))</formula>
    </cfRule>
  </conditionalFormatting>
  <conditionalFormatting sqref="F52 H52 J52">
    <cfRule type="containsText" dxfId="161" priority="14" stopIfTrue="1" operator="containsText" text="超过">
      <formula>NOT(ISERROR(SEARCH("超过",F52)))</formula>
    </cfRule>
  </conditionalFormatting>
  <conditionalFormatting sqref="E51">
    <cfRule type="expression" dxfId="160" priority="13" stopIfTrue="1">
      <formula>$F$51="超过30%"</formula>
    </cfRule>
  </conditionalFormatting>
  <conditionalFormatting sqref="G53">
    <cfRule type="expression" dxfId="159" priority="12" stopIfTrue="1">
      <formula>$H$53="超过30%"</formula>
    </cfRule>
  </conditionalFormatting>
  <conditionalFormatting sqref="E52">
    <cfRule type="expression" dxfId="158" priority="11" stopIfTrue="1">
      <formula>$F$52="超过20%"</formula>
    </cfRule>
  </conditionalFormatting>
  <conditionalFormatting sqref="E53">
    <cfRule type="expression" dxfId="157" priority="10" stopIfTrue="1">
      <formula>$F$53="超过30%"</formula>
    </cfRule>
  </conditionalFormatting>
  <conditionalFormatting sqref="G51">
    <cfRule type="expression" dxfId="156" priority="9" stopIfTrue="1">
      <formula>$H$53+$H$51="超过30%"</formula>
    </cfRule>
  </conditionalFormatting>
  <conditionalFormatting sqref="G52">
    <cfRule type="expression" dxfId="155" priority="8" stopIfTrue="1">
      <formula>$H$52="超过20%"</formula>
    </cfRule>
  </conditionalFormatting>
  <conditionalFormatting sqref="I51">
    <cfRule type="expression" dxfId="154" priority="7" stopIfTrue="1">
      <formula>$J$51="超过30%"</formula>
    </cfRule>
  </conditionalFormatting>
  <conditionalFormatting sqref="I52">
    <cfRule type="expression" dxfId="153" priority="6" stopIfTrue="1">
      <formula>$J$52="超过20%"</formula>
    </cfRule>
  </conditionalFormatting>
  <conditionalFormatting sqref="I53">
    <cfRule type="expression" dxfId="152" priority="5" stopIfTrue="1">
      <formula>$J$53="超过30%"</formula>
    </cfRule>
  </conditionalFormatting>
  <conditionalFormatting sqref="F47">
    <cfRule type="expression" dxfId="151" priority="4">
      <formula>$D$47="简单平均"</formula>
    </cfRule>
  </conditionalFormatting>
  <conditionalFormatting sqref="H47">
    <cfRule type="expression" dxfId="150" priority="3">
      <formula>$D$47="简单平均"</formula>
    </cfRule>
  </conditionalFormatting>
  <conditionalFormatting sqref="J47">
    <cfRule type="expression" dxfId="149" priority="2">
      <formula>$D$47="简单平均"</formula>
    </cfRule>
  </conditionalFormatting>
  <conditionalFormatting sqref="F7:F45 H7:H45 J7:J45">
    <cfRule type="cellIs" dxfId="148" priority="1" operator="notEqual">
      <formula>100</formula>
    </cfRule>
  </conditionalFormatting>
  <dataValidations count="25">
    <dataValidation type="list" allowBlank="1" showInputMessage="1" showErrorMessage="1" sqref="C25">
      <formula1>住宅朝向</formula1>
    </dataValidation>
    <dataValidation type="list" allowBlank="1" showInputMessage="1" showErrorMessage="1" sqref="E28 C28 G28 I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C26 E26 G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G62">
      <formula1>"商业,办公,住宅,工业"</formula1>
    </dataValidation>
    <dataValidation type="list" allowBlank="1" showInputMessage="1" showErrorMessage="1" sqref="G63">
      <formula1>"住宅,工业"</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 type="list" allowBlank="1" showInputMessage="1" showErrorMessage="1" sqref="D47">
      <formula1>"简单平均,加权平均"</formula1>
    </dataValidation>
  </dataValidations>
  <pageMargins left="0.70866141732283472" right="0.70866141732283472" top="1.0629921259842521" bottom="0.94488188976377963" header="0.31496062992125984" footer="0.31496062992125984"/>
  <pageSetup paperSize="9" scale="34" orientation="portrait"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A7" zoomScale="85" zoomScaleNormal="80" zoomScaleSheetLayoutView="85" workbookViewId="0">
      <selection activeCell="Q17" sqref="Q17"/>
    </sheetView>
  </sheetViews>
  <sheetFormatPr defaultColWidth="12" defaultRowHeight="12.75"/>
  <cols>
    <col min="1" max="1" width="9.75" style="2235" customWidth="1"/>
    <col min="2" max="2" width="19.25" style="2337" customWidth="1"/>
    <col min="3" max="4" width="12" style="2169"/>
    <col min="5" max="5" width="14.625" style="2169" customWidth="1"/>
    <col min="6" max="8" width="12" style="2169"/>
    <col min="9" max="9" width="12.25" style="2169" bestFit="1" customWidth="1"/>
    <col min="10" max="10" width="12" style="2169"/>
    <col min="11" max="11" width="8.125" style="2230" customWidth="1"/>
    <col min="12" max="12" width="12" style="2169"/>
    <col min="13" max="13" width="8.5" style="2169" customWidth="1"/>
    <col min="14" max="14" width="9.75" style="2169" customWidth="1"/>
    <col min="15" max="25" width="12" style="2169"/>
    <col min="26" max="26" width="9.375" style="2235" customWidth="1"/>
    <col min="27" max="32" width="9.375" style="1273" customWidth="1"/>
    <col min="33" max="36" width="9.375" style="2235" customWidth="1"/>
    <col min="37" max="38" width="9.375" style="2169" customWidth="1"/>
    <col min="39" max="16384" width="12" style="2169"/>
  </cols>
  <sheetData>
    <row r="1" spans="1:36" ht="28.5">
      <c r="A1" s="202" t="s">
        <v>2609</v>
      </c>
      <c r="B1" s="203"/>
      <c r="C1" s="207" t="s">
        <v>2610</v>
      </c>
      <c r="D1" s="348">
        <f>SUM(D29:D30,D33:D39)</f>
        <v>29610.970000000008</v>
      </c>
      <c r="E1" s="2166"/>
      <c r="F1" s="2166"/>
      <c r="G1" s="2166"/>
      <c r="H1" s="2166"/>
      <c r="I1" s="2166"/>
      <c r="J1" s="2166"/>
      <c r="K1" s="1271"/>
      <c r="L1" s="2167" t="s">
        <v>2611</v>
      </c>
      <c r="M1" s="991">
        <f>SUMPRODUCT((区片价!B5:B9=I2)*(区片价!C3:F3=E2)*(区片价!C5:F9))</f>
        <v>0</v>
      </c>
      <c r="N1" s="994">
        <f>SUMPRODUCT((因素修正幅度!B5:B9=I2)*(因素修正幅度!C3:F3=E2)*(因素修正幅度!C5:F9))</f>
        <v>0</v>
      </c>
      <c r="O1" s="2168"/>
      <c r="P1" s="2168"/>
      <c r="Q1" s="1271"/>
      <c r="R1" s="1362" t="s">
        <v>2612</v>
      </c>
      <c r="S1" s="1362" t="s">
        <v>2613</v>
      </c>
      <c r="T1" s="1362" t="s">
        <v>2614</v>
      </c>
      <c r="U1" s="1362" t="s">
        <v>2615</v>
      </c>
      <c r="V1" s="1362" t="s">
        <v>2616</v>
      </c>
      <c r="W1" s="1366"/>
      <c r="X1" s="1366"/>
      <c r="Y1" s="1366"/>
      <c r="Z1" s="1366"/>
      <c r="AA1" s="1366"/>
      <c r="AB1" s="1366"/>
      <c r="AC1" s="1367"/>
      <c r="AD1" s="1368"/>
      <c r="AE1" s="1368"/>
      <c r="AF1" s="1368"/>
      <c r="AG1" s="1368"/>
      <c r="AH1" s="1368"/>
      <c r="AI1" s="1368"/>
      <c r="AJ1" s="1369"/>
    </row>
    <row r="2" spans="1:36" ht="15.75">
      <c r="A2" s="207" t="s">
        <v>2617</v>
      </c>
      <c r="B2" s="210" t="e">
        <f ca="1">C26</f>
        <v>#DIV/0!</v>
      </c>
      <c r="C2" s="2170" t="s">
        <v>2618</v>
      </c>
      <c r="D2" s="2171" t="s">
        <v>2619</v>
      </c>
      <c r="E2" s="2172" t="s">
        <v>3043</v>
      </c>
      <c r="F2" s="2171" t="s">
        <v>2620</v>
      </c>
      <c r="G2" s="2173">
        <f>IF(E2="商业",项目基本情况!B37,IF(E2="办公",项目基本情况!C37,IF(E2="住宅",项目基本情况!D37,项目基本情况!E37)))</f>
        <v>0</v>
      </c>
      <c r="H2" s="2171" t="s">
        <v>2621</v>
      </c>
      <c r="I2" s="2173">
        <f>IF(E2="商业",项目基本情况!B38,IF(E2="办公",项目基本情况!C38,IF(E2="住宅",项目基本情况!D38,项目基本情况!E38)))</f>
        <v>0</v>
      </c>
      <c r="J2" s="2174"/>
      <c r="K2" s="1271"/>
      <c r="L2" s="2175" t="s">
        <v>2622</v>
      </c>
      <c r="M2" s="992">
        <f>SUMPRODUCT((区片价!B10:B28=I2)*(区片价!C3:F3=E2)*(区片价!C10:F28))</f>
        <v>0</v>
      </c>
      <c r="N2" s="994">
        <f>SUMPRODUCT((因素修正幅度!B10:B28=I2)*(因素修正幅度!C3:F3=E2)*(因素修正幅度!C10:F28))</f>
        <v>0</v>
      </c>
      <c r="O2" s="1271"/>
      <c r="P2" s="1271"/>
      <c r="Q2" s="1271"/>
      <c r="R2" s="1362">
        <v>1</v>
      </c>
      <c r="S2" s="1362" t="e">
        <f>ROUND(IF(G3&gt;1,IF(R2&lt;7,SUMPRODUCT((B93:B98=R2)*(C92:N92=G2)*(C93:N98)),SUMIF(C92:N92,G2,C100:N100)),IF(R2&lt;7,SUMPRODUCT((B102:B107=R2)*(C92:N92=G2)*(C102:N107)),SUMIF(C92:N92,G2,C109:N109))),4)</f>
        <v>#DIV/0!</v>
      </c>
      <c r="T2" s="1362" t="e">
        <f ca="1">ROUND($C$5*$C$18*$C$19*$C$20*S2*$C$24,0)</f>
        <v>#DIV/0!</v>
      </c>
      <c r="U2" s="1363"/>
      <c r="V2" s="1362" t="e">
        <f ca="1">ROUND(T2*U2/10000,0)</f>
        <v>#DIV/0!</v>
      </c>
      <c r="W2" s="1366"/>
      <c r="X2" s="1366"/>
      <c r="Y2" s="1366"/>
      <c r="Z2" s="1366"/>
      <c r="AA2" s="1366"/>
      <c r="AB2" s="1366"/>
      <c r="AC2" s="1367"/>
      <c r="AD2" s="1368"/>
      <c r="AE2" s="1368"/>
      <c r="AF2" s="1368"/>
      <c r="AG2" s="1368"/>
      <c r="AH2" s="1368"/>
      <c r="AI2" s="1368"/>
      <c r="AJ2" s="1369"/>
    </row>
    <row r="3" spans="1:36" ht="25.5">
      <c r="A3" s="209" t="s">
        <v>2623</v>
      </c>
      <c r="B3" s="210" t="e">
        <f ca="1">ROUND(B2*10000/D1,0)</f>
        <v>#DIV/0!</v>
      </c>
      <c r="C3" s="2170" t="s">
        <v>2624</v>
      </c>
      <c r="D3" s="2171" t="s">
        <v>2625</v>
      </c>
      <c r="E3" s="2176" t="s">
        <v>3593</v>
      </c>
      <c r="F3" s="2177" t="s">
        <v>2626</v>
      </c>
      <c r="G3" s="852" t="e">
        <f>IF(F3="宗地容积率",'数据-汇总表'!I4,IF(F3="估价对象容积率",'数据-汇总表'!I6,'数据-汇总表'!I7))</f>
        <v>#DIV/0!</v>
      </c>
      <c r="H3" s="175" t="s">
        <v>2627</v>
      </c>
      <c r="I3" s="878"/>
      <c r="J3" s="2174" t="s">
        <v>2628</v>
      </c>
      <c r="K3" s="1271"/>
      <c r="L3" s="2175" t="s">
        <v>2629</v>
      </c>
      <c r="M3" s="992">
        <f>SUMPRODUCT((区片价!B29:B48=I2)*(区片价!C3:F3=E2)*(区片价!C29:F48))</f>
        <v>0</v>
      </c>
      <c r="N3" s="994">
        <f>SUMPRODUCT((因素修正幅度!B29:B48=I2)*(因素修正幅度!C3:F3=E2)*(因素修正幅度!C29:F48))</f>
        <v>0</v>
      </c>
      <c r="O3" s="1271"/>
      <c r="P3" s="1271"/>
      <c r="Q3" s="1271"/>
      <c r="R3" s="1362">
        <v>2</v>
      </c>
      <c r="S3" s="1362" t="e">
        <f>ROUND(IF(G3&gt;1,IF(R3&lt;7,SUMPRODUCT((B93:B98=R3)*(C92:N92=G2)*(C93:N98)),SUMIF(C92:N92,G2,C100:N100)),IF(R3&lt;7,SUMPRODUCT((B102:B107=R3)*(C92:N92=G2)*(C102:N107)),SUMIF(C92:N92,G2,C109:N109))),4)</f>
        <v>#DIV/0!</v>
      </c>
      <c r="T3" s="1362" t="e">
        <f t="shared" ref="T3:T16" ca="1" si="0">ROUND($C$5*$C$18*$C$19*$C$20*S3*$C$24,0)</f>
        <v>#DIV/0!</v>
      </c>
      <c r="U3" s="1363"/>
      <c r="V3" s="1362" t="e">
        <f t="shared" ref="V3:V16" ca="1" si="1">ROUND(T3*U3/10000,0)</f>
        <v>#DIV/0!</v>
      </c>
      <c r="W3" s="1366"/>
      <c r="X3" s="1366"/>
      <c r="Y3" s="1366"/>
      <c r="Z3" s="1366"/>
      <c r="AA3" s="1366"/>
      <c r="AB3" s="1366"/>
      <c r="AC3" s="1367"/>
      <c r="AD3" s="1368"/>
      <c r="AE3" s="1368"/>
      <c r="AF3" s="1368"/>
      <c r="AG3" s="1368"/>
      <c r="AH3" s="1368"/>
      <c r="AI3" s="1368"/>
      <c r="AJ3" s="1369"/>
    </row>
    <row r="4" spans="1:36" ht="15.75">
      <c r="A4" s="3399"/>
      <c r="B4" s="3400"/>
      <c r="C4" s="3400"/>
      <c r="D4" s="3401"/>
      <c r="E4" s="3401"/>
      <c r="F4" s="3401"/>
      <c r="G4" s="3401"/>
      <c r="H4" s="3401"/>
      <c r="I4" s="3401"/>
      <c r="J4" s="3402"/>
      <c r="K4" s="1271"/>
      <c r="L4" s="2175" t="s">
        <v>2630</v>
      </c>
      <c r="M4" s="992">
        <f>SUMPRODUCT((区片价!B49:B75=I2)*(区片价!C3:F3=E2)*(区片价!C49:F75))</f>
        <v>0</v>
      </c>
      <c r="N4" s="994">
        <f>SUMPRODUCT((因素修正幅度!B49:B75=I2)*(因素修正幅度!C3:F3=E2)*(因素修正幅度!C49:F75))</f>
        <v>0</v>
      </c>
      <c r="O4" s="1271"/>
      <c r="P4" s="1271"/>
      <c r="Q4" s="1271"/>
      <c r="R4" s="1362">
        <v>3</v>
      </c>
      <c r="S4" s="1362" t="e">
        <f>ROUND(IF(G3&gt;1,IF(R4&lt;7,SUMPRODUCT((B93:B98=R4)*(C92:N92=G2)*(C93:N98)),SUMIF(C92:N92,G2,C100:N100)),IF(R4&lt;7,SUMPRODUCT((B102:B107=R4)*(C92:N92=G2)*(C102:N107)),SUMIF(C92:N92,G2,C109:N109))),4)</f>
        <v>#DIV/0!</v>
      </c>
      <c r="T4" s="1362" t="e">
        <f t="shared" ca="1" si="0"/>
        <v>#DIV/0!</v>
      </c>
      <c r="U4" s="1363"/>
      <c r="V4" s="1362" t="e">
        <f t="shared" ca="1" si="1"/>
        <v>#DIV/0!</v>
      </c>
      <c r="W4" s="1366"/>
      <c r="X4" s="1366"/>
      <c r="Y4" s="1366"/>
      <c r="Z4" s="1366"/>
      <c r="AA4" s="1366"/>
      <c r="AB4" s="1366"/>
      <c r="AC4" s="1367"/>
      <c r="AD4" s="1368"/>
      <c r="AE4" s="1368"/>
      <c r="AF4" s="1368"/>
      <c r="AG4" s="1368"/>
      <c r="AH4" s="1368"/>
      <c r="AI4" s="1368"/>
      <c r="AJ4" s="1369"/>
    </row>
    <row r="5" spans="1:36" s="2187" customFormat="1" ht="15.75" thickBot="1">
      <c r="A5" s="2178" t="s">
        <v>807</v>
      </c>
      <c r="B5" s="2179" t="s">
        <v>2631</v>
      </c>
      <c r="C5" s="853">
        <f>ROUND(IF(E2="商业",C6*C7+C16,(IF(E2="住宅",C6*C12+C16,C6+C16))),0)</f>
        <v>0</v>
      </c>
      <c r="D5" s="1513">
        <f>ROUND(C6+C16,0)</f>
        <v>0</v>
      </c>
      <c r="E5" s="1513"/>
      <c r="F5" s="2180"/>
      <c r="G5" s="2181"/>
      <c r="H5" s="2181"/>
      <c r="I5" s="2181"/>
      <c r="J5" s="2182"/>
      <c r="K5" s="2183"/>
      <c r="L5" s="2175" t="s">
        <v>2632</v>
      </c>
      <c r="M5" s="992">
        <f>SUMPRODUCT((区片价!B76:B109=I2)*(区片价!C3:F3=E2)*(区片价!C76:F109))</f>
        <v>0</v>
      </c>
      <c r="N5" s="994">
        <f>SUMPRODUCT((因素修正幅度!B76:B109=I2)*(因素修正幅度!C3:F3=E2)*(因素修正幅度!C76:F109))</f>
        <v>0</v>
      </c>
      <c r="O5" s="1271"/>
      <c r="P5" s="1271"/>
      <c r="Q5" s="1271"/>
      <c r="R5" s="1362">
        <v>4</v>
      </c>
      <c r="S5" s="1362" t="e">
        <f>ROUND(IF(G3&gt;1,IF(R5&lt;7,SUMPRODUCT((B93:B98=R5)*(C92:N92=G2)*(C93:N98)),SUMIF(C92:N92,G2,C100:N100)),IF(R5&lt;7,SUMPRODUCT((B102:B107=R5)*(C92:N92=G2)*(C102:N107)),SUMIF(C92:N92,G2,C109:N109))),4)</f>
        <v>#DIV/0!</v>
      </c>
      <c r="T5" s="1362" t="e">
        <f t="shared" ca="1" si="0"/>
        <v>#DIV/0!</v>
      </c>
      <c r="U5" s="1363"/>
      <c r="V5" s="1362" t="e">
        <f t="shared" ca="1" si="1"/>
        <v>#DIV/0!</v>
      </c>
      <c r="W5" s="1366"/>
      <c r="X5" s="1366"/>
      <c r="Y5" s="1366"/>
      <c r="Z5" s="1366"/>
      <c r="AA5" s="1366"/>
      <c r="AB5" s="1366"/>
      <c r="AC5" s="2184"/>
      <c r="AD5" s="2185"/>
      <c r="AE5" s="2185"/>
      <c r="AF5" s="2185"/>
      <c r="AG5" s="2185"/>
      <c r="AH5" s="2185"/>
      <c r="AI5" s="2185"/>
      <c r="AJ5" s="2186"/>
    </row>
    <row r="6" spans="1:36" ht="15.75" thickBot="1">
      <c r="A6" s="2188" t="s">
        <v>2633</v>
      </c>
      <c r="B6" s="2189" t="s">
        <v>2634</v>
      </c>
      <c r="C6" s="854">
        <f>SUMIF(L1:L12,G2,M1:M12)</f>
        <v>0</v>
      </c>
      <c r="D6" s="2190" t="s">
        <v>2635</v>
      </c>
      <c r="E6" s="2191"/>
      <c r="F6" s="2191"/>
      <c r="G6" s="2192"/>
      <c r="H6" s="2192"/>
      <c r="I6" s="2192"/>
      <c r="J6" s="2193"/>
      <c r="K6" s="1558"/>
      <c r="L6" s="2175" t="s">
        <v>2636</v>
      </c>
      <c r="M6" s="992">
        <f>SUMPRODUCT((区片价!B110:B157=I2)*(区片价!C3:F3=E2)*(区片价!C110:F157))</f>
        <v>0</v>
      </c>
      <c r="N6" s="994">
        <f>SUMPRODUCT((因素修正幅度!B110:B157=I2)*(因素修正幅度!C3:F3=E2)*(因素修正幅度!C110:F157))</f>
        <v>0</v>
      </c>
      <c r="O6" s="1271"/>
      <c r="P6" s="1271"/>
      <c r="Q6" s="1271"/>
      <c r="R6" s="1362">
        <v>5</v>
      </c>
      <c r="S6" s="1362" t="e">
        <f>ROUND(IF(G3&gt;1,IF(R6&lt;7,SUMPRODUCT((B93:B98=R6)*(C92:N92=G2)*(C93:N98)),SUMIF(C92:N92,G2,C100:N100)),IF(R6&lt;7,SUMPRODUCT((B102:B107=R6)*(C92:N92=G2)*(C102:N107)),SUMIF(C92:N92,G2,C109:N109))),4)</f>
        <v>#DIV/0!</v>
      </c>
      <c r="T6" s="1362" t="e">
        <f t="shared" ca="1" si="0"/>
        <v>#DIV/0!</v>
      </c>
      <c r="U6" s="1363"/>
      <c r="V6" s="1362" t="e">
        <f t="shared" ca="1" si="1"/>
        <v>#DIV/0!</v>
      </c>
      <c r="W6" s="1366"/>
      <c r="X6" s="1366"/>
      <c r="Y6" s="1366"/>
      <c r="Z6" s="1366"/>
      <c r="AA6" s="1366"/>
      <c r="AB6" s="1366"/>
      <c r="AC6" s="2184"/>
      <c r="AD6" s="2185"/>
      <c r="AE6" s="2185"/>
      <c r="AF6" s="2185"/>
      <c r="AG6" s="2185"/>
      <c r="AH6" s="2185"/>
      <c r="AI6" s="2185"/>
      <c r="AJ6" s="2186"/>
    </row>
    <row r="7" spans="1:36" ht="24">
      <c r="A7" s="3403" t="str">
        <f>IF(E2="商业",IF(C8="不临58条商业街","",2),"")</f>
        <v/>
      </c>
      <c r="B7" s="2194" t="s">
        <v>2637</v>
      </c>
      <c r="C7" s="855" t="e">
        <f>IF(C8="不临58条商业街",1,ROUND(1+(1.6*E8+1.2*E9+0.8*E10+0.4*E11)*C9,4))</f>
        <v>#DIV/0!</v>
      </c>
      <c r="D7" s="2195" t="s">
        <v>2638</v>
      </c>
      <c r="E7" s="879"/>
      <c r="F7" s="2196"/>
      <c r="G7" s="2197"/>
      <c r="H7" s="2197"/>
      <c r="I7" s="2197"/>
      <c r="J7" s="2198"/>
      <c r="K7" s="1558"/>
      <c r="L7" s="2175" t="s">
        <v>2639</v>
      </c>
      <c r="M7" s="992">
        <f>SUMPRODUCT((区片价!B158:B205=I2)*(区片价!C3:F3=E2)*(区片价!C158:F205))</f>
        <v>0</v>
      </c>
      <c r="N7" s="994">
        <f>SUMPRODUCT((因素修正幅度!B158:B205=I2)*(因素修正幅度!C3:F3=E2)*(因素修正幅度!C158:F205))</f>
        <v>0</v>
      </c>
      <c r="O7" s="1271"/>
      <c r="P7" s="1271"/>
      <c r="Q7" s="1271"/>
      <c r="R7" s="1362">
        <v>6</v>
      </c>
      <c r="S7" s="1362" t="e">
        <f>ROUND(IF(G3&gt;1,IF(R7&lt;7,SUMPRODUCT((B93:B98=R7)*(C92:N92=G2)*(C93:N98)),SUMIF(C92:N92,G2,C100:N100)),IF(R7&lt;7,SUMPRODUCT((B102:B107=R7)*(C92:N92=G2)*(C102:N107)),SUMIF(C92:N92,G2,C109:N109))),4)</f>
        <v>#DIV/0!</v>
      </c>
      <c r="T7" s="1362" t="e">
        <f t="shared" ca="1" si="0"/>
        <v>#DIV/0!</v>
      </c>
      <c r="U7" s="1363"/>
      <c r="V7" s="1362" t="e">
        <f t="shared" ca="1" si="1"/>
        <v>#DIV/0!</v>
      </c>
      <c r="W7" s="1532" t="s">
        <v>2640</v>
      </c>
      <c r="X7" s="1364">
        <f>G2</f>
        <v>0</v>
      </c>
      <c r="Y7" s="1364" t="s">
        <v>2641</v>
      </c>
      <c r="Z7" s="1365" t="e">
        <f>G3</f>
        <v>#DIV/0!</v>
      </c>
      <c r="AA7" s="1366"/>
      <c r="AB7" s="1366"/>
      <c r="AC7" s="1367"/>
      <c r="AD7" s="1368"/>
      <c r="AE7" s="1368"/>
      <c r="AF7" s="1368"/>
      <c r="AG7" s="1368"/>
      <c r="AH7" s="1368"/>
      <c r="AI7" s="1368"/>
      <c r="AJ7" s="1369"/>
    </row>
    <row r="8" spans="1:36" ht="15">
      <c r="A8" s="3404"/>
      <c r="B8" s="175" t="s">
        <v>2642</v>
      </c>
      <c r="C8" s="2199"/>
      <c r="D8" s="856" t="s">
        <v>139</v>
      </c>
      <c r="E8" s="857" t="e">
        <f>ROUND(C11/E7,4)</f>
        <v>#DIV/0!</v>
      </c>
      <c r="F8" s="2200" t="s">
        <v>2643</v>
      </c>
      <c r="G8" s="2201"/>
      <c r="H8" s="2201"/>
      <c r="I8" s="2201"/>
      <c r="J8" s="2202"/>
      <c r="K8" s="1271"/>
      <c r="L8" s="2175" t="s">
        <v>2644</v>
      </c>
      <c r="M8" s="992">
        <f>SUMPRODUCT((区片价!B206:B244=I2)*(区片价!C3:F3=E2)*(区片价!C206:F244))</f>
        <v>0</v>
      </c>
      <c r="N8" s="994">
        <f>SUMPRODUCT((因素修正幅度!B206:B244=I2)*(因素修正幅度!C3:F3=E2)*(因素修正幅度!C206:F244))</f>
        <v>0</v>
      </c>
      <c r="O8" s="1271"/>
      <c r="P8" s="1271"/>
      <c r="Q8" s="1271"/>
      <c r="R8" s="1362">
        <v>7</v>
      </c>
      <c r="S8" s="1363"/>
      <c r="T8" s="1362" t="e">
        <f t="shared" ca="1" si="0"/>
        <v>#DIV/0!</v>
      </c>
      <c r="U8" s="1363"/>
      <c r="V8" s="1362" t="e">
        <f t="shared" ca="1" si="1"/>
        <v>#DIV/0!</v>
      </c>
      <c r="W8" s="3396" t="s">
        <v>2645</v>
      </c>
      <c r="X8" s="3397"/>
      <c r="Y8" s="1370" t="s">
        <v>2646</v>
      </c>
      <c r="Z8" s="1370" t="s">
        <v>2647</v>
      </c>
      <c r="AA8" s="1370" t="s">
        <v>2648</v>
      </c>
      <c r="AB8" s="1370" t="s">
        <v>2649</v>
      </c>
      <c r="AC8" s="1370" t="s">
        <v>2650</v>
      </c>
      <c r="AD8" s="1370" t="s">
        <v>2651</v>
      </c>
      <c r="AE8" s="1370" t="s">
        <v>2652</v>
      </c>
      <c r="AF8" s="1370" t="s">
        <v>2653</v>
      </c>
      <c r="AG8" s="1370" t="s">
        <v>2654</v>
      </c>
      <c r="AH8" s="1370" t="s">
        <v>2655</v>
      </c>
      <c r="AI8" s="1370" t="s">
        <v>2656</v>
      </c>
      <c r="AJ8" s="1370" t="s">
        <v>2657</v>
      </c>
    </row>
    <row r="9" spans="1:36" ht="15">
      <c r="A9" s="3404"/>
      <c r="B9" s="175" t="s">
        <v>2658</v>
      </c>
      <c r="C9" s="858">
        <f>SUMIF(修正!C59:C119,C8,修正!E59:E119)</f>
        <v>0</v>
      </c>
      <c r="D9" s="176" t="s">
        <v>140</v>
      </c>
      <c r="E9" s="176" t="e">
        <f>ROUND(C11/E7,4)</f>
        <v>#DIV/0!</v>
      </c>
      <c r="F9" s="2200" t="s">
        <v>2659</v>
      </c>
      <c r="G9" s="2201"/>
      <c r="H9" s="2201"/>
      <c r="I9" s="2201"/>
      <c r="J9" s="2202"/>
      <c r="K9" s="1271"/>
      <c r="L9" s="2175" t="s">
        <v>2660</v>
      </c>
      <c r="M9" s="992">
        <f>SUMPRODUCT((区片价!B245:B289=I2)*(区片价!C3:F3=E2)*(区片价!C245:F289))</f>
        <v>0</v>
      </c>
      <c r="N9" s="994">
        <f>SUMPRODUCT((因素修正幅度!B245:B289=I2)*(因素修正幅度!C3:F3=E2)*(因素修正幅度!C245:F289))</f>
        <v>0</v>
      </c>
      <c r="O9" s="1271"/>
      <c r="P9" s="1271"/>
      <c r="Q9" s="1271"/>
      <c r="R9" s="1362">
        <v>8</v>
      </c>
      <c r="S9" s="1363"/>
      <c r="T9" s="1362" t="e">
        <f t="shared" ca="1" si="0"/>
        <v>#DIV/0!</v>
      </c>
      <c r="U9" s="1363"/>
      <c r="V9" s="1362" t="e">
        <f t="shared" ca="1" si="1"/>
        <v>#DIV/0!</v>
      </c>
      <c r="W9" s="3398" t="s">
        <v>2661</v>
      </c>
      <c r="X9" s="1371" t="s">
        <v>2662</v>
      </c>
      <c r="Y9" s="1498"/>
      <c r="Z9" s="1372">
        <f>$Y$9</f>
        <v>0</v>
      </c>
      <c r="AA9" s="1372">
        <f t="shared" ref="AA9:AJ9" si="2">$Y$9</f>
        <v>0</v>
      </c>
      <c r="AB9" s="1372">
        <f t="shared" si="2"/>
        <v>0</v>
      </c>
      <c r="AC9" s="1372">
        <f t="shared" si="2"/>
        <v>0</v>
      </c>
      <c r="AD9" s="1372">
        <f t="shared" si="2"/>
        <v>0</v>
      </c>
      <c r="AE9" s="1372">
        <f t="shared" si="2"/>
        <v>0</v>
      </c>
      <c r="AF9" s="1372">
        <f t="shared" si="2"/>
        <v>0</v>
      </c>
      <c r="AG9" s="1372">
        <f t="shared" si="2"/>
        <v>0</v>
      </c>
      <c r="AH9" s="1372">
        <f t="shared" si="2"/>
        <v>0</v>
      </c>
      <c r="AI9" s="1372">
        <f t="shared" si="2"/>
        <v>0</v>
      </c>
      <c r="AJ9" s="1372">
        <f t="shared" si="2"/>
        <v>0</v>
      </c>
    </row>
    <row r="10" spans="1:36" ht="15">
      <c r="A10" s="3404"/>
      <c r="B10" s="175" t="s">
        <v>2663</v>
      </c>
      <c r="C10" s="176">
        <f>SUMIF(修正!C59:C119,C8,修正!F59:F119)</f>
        <v>0</v>
      </c>
      <c r="D10" s="176" t="s">
        <v>141</v>
      </c>
      <c r="E10" s="176" t="e">
        <f>ROUND(C11/E7,4)</f>
        <v>#DIV/0!</v>
      </c>
      <c r="F10" s="2200" t="s">
        <v>2664</v>
      </c>
      <c r="G10" s="2201"/>
      <c r="H10" s="2201"/>
      <c r="I10" s="2201"/>
      <c r="J10" s="2202"/>
      <c r="K10" s="1271"/>
      <c r="L10" s="2175" t="s">
        <v>2665</v>
      </c>
      <c r="M10" s="992">
        <f>SUMPRODUCT((区片价!B290:B316=I2)*(区片价!C3:F3=E2)*(区片价!C290:F316))</f>
        <v>0</v>
      </c>
      <c r="N10" s="994">
        <f>SUMPRODUCT((因素修正幅度!B290:B316=I2)*(因素修正幅度!C3:F3=E2)*(因素修正幅度!C290:F316))</f>
        <v>0</v>
      </c>
      <c r="O10" s="1271"/>
      <c r="P10" s="1271"/>
      <c r="Q10" s="1271"/>
      <c r="R10" s="1362">
        <v>9</v>
      </c>
      <c r="S10" s="1363"/>
      <c r="T10" s="1362" t="e">
        <f t="shared" ca="1" si="0"/>
        <v>#DIV/0!</v>
      </c>
      <c r="U10" s="1363"/>
      <c r="V10" s="1362" t="e">
        <f t="shared" ca="1" si="1"/>
        <v>#DIV/0!</v>
      </c>
      <c r="W10" s="3398"/>
      <c r="X10" s="1371">
        <v>7</v>
      </c>
      <c r="Y10" s="1373">
        <f>(-0.163*(Y9^2)-0.59*Y9+7617)*(10^(-4))</f>
        <v>0.76170000000000004</v>
      </c>
      <c r="Z10" s="1373">
        <f>(-0.163*(Z9^2)-0.59*Z9+7617)*(10^(-4))</f>
        <v>0.76170000000000004</v>
      </c>
      <c r="AA10" s="1373">
        <f>(-0.161*(AA9^2)-7.509*AA9+6533)*(10^(-4))</f>
        <v>0.65329999999999999</v>
      </c>
      <c r="AB10" s="1373">
        <f>(-0.161*(AB9^2)-7.509*AB9+6533)*(10^(-4))</f>
        <v>0.65329999999999999</v>
      </c>
      <c r="AC10" s="1373">
        <f>(-0.161*(AC9^2)-7.509*AC9+6533)*(10^(-4))</f>
        <v>0.65329999999999999</v>
      </c>
      <c r="AD10" s="1373">
        <f>(-0.161*(AD9^2)-7.509*AD9+6533)*(10^(-4))</f>
        <v>0.65329999999999999</v>
      </c>
      <c r="AE10" s="1373">
        <f>(-0.161*(AE9^2)-7.509*AE9+6533)*(10^(-4))</f>
        <v>0.65329999999999999</v>
      </c>
      <c r="AF10" s="1373">
        <f>(-0.214*(AF9^2)-21.991*AF9+4665)*(10^(-4))</f>
        <v>0.46650000000000003</v>
      </c>
      <c r="AG10" s="1373">
        <f>(-0.214*(AG9^2)-21.991*AG9+4665)*(10^(-4))</f>
        <v>0.46650000000000003</v>
      </c>
      <c r="AH10" s="1373">
        <f>(-0.214*(AH9^2)-21.991*AH9+4665)*(10^(-4))</f>
        <v>0.46650000000000003</v>
      </c>
      <c r="AI10" s="1373">
        <f>(-0.214*(AI9^2)-21.991*AI9+4665)*(10^(-4))</f>
        <v>0.46650000000000003</v>
      </c>
      <c r="AJ10" s="1373">
        <f>(-0.214*(AJ9^2)-21.991*AJ9+4665)*(10^(-4))</f>
        <v>0.46650000000000003</v>
      </c>
    </row>
    <row r="11" spans="1:36" ht="15.75" thickBot="1">
      <c r="A11" s="3404"/>
      <c r="B11" s="2203" t="s">
        <v>2666</v>
      </c>
      <c r="C11" s="859">
        <f>C10/4</f>
        <v>0</v>
      </c>
      <c r="D11" s="859" t="s">
        <v>142</v>
      </c>
      <c r="E11" s="859" t="e">
        <f>ROUND(C11/E7,4)</f>
        <v>#DIV/0!</v>
      </c>
      <c r="F11" s="2204" t="s">
        <v>2667</v>
      </c>
      <c r="G11" s="2205"/>
      <c r="H11" s="2205"/>
      <c r="I11" s="2205"/>
      <c r="J11" s="2206"/>
      <c r="K11" s="1271"/>
      <c r="L11" s="2175" t="s">
        <v>2668</v>
      </c>
      <c r="M11" s="992">
        <f>SUMPRODUCT((区片价!B317:B337=I2)*(区片价!C3:F3=E2)*(区片价!C317:F337))</f>
        <v>0</v>
      </c>
      <c r="N11" s="994">
        <f>SUMPRODUCT((因素修正幅度!B317:B337=I2)*(因素修正幅度!C3:F3=E2)*(因素修正幅度!C317:F337))</f>
        <v>0</v>
      </c>
      <c r="O11" s="1271"/>
      <c r="P11" s="1271"/>
      <c r="Q11" s="1271"/>
      <c r="R11" s="1362">
        <v>10</v>
      </c>
      <c r="S11" s="1363"/>
      <c r="T11" s="1362" t="e">
        <f t="shared" ca="1" si="0"/>
        <v>#DIV/0!</v>
      </c>
      <c r="U11" s="1363"/>
      <c r="V11" s="1362" t="e">
        <f t="shared" ca="1" si="1"/>
        <v>#DIV/0!</v>
      </c>
      <c r="W11" s="3398" t="s">
        <v>2669</v>
      </c>
      <c r="X11" s="1374" t="s">
        <v>2670</v>
      </c>
      <c r="Y11" s="1375" t="e">
        <f>$G$3</f>
        <v>#DIV/0!</v>
      </c>
      <c r="Z11" s="1375" t="e">
        <f t="shared" ref="Z11:AJ11" si="3">$G$3</f>
        <v>#DIV/0!</v>
      </c>
      <c r="AA11" s="1375" t="e">
        <f t="shared" si="3"/>
        <v>#DIV/0!</v>
      </c>
      <c r="AB11" s="1375" t="e">
        <f t="shared" si="3"/>
        <v>#DIV/0!</v>
      </c>
      <c r="AC11" s="1375" t="e">
        <f t="shared" si="3"/>
        <v>#DIV/0!</v>
      </c>
      <c r="AD11" s="1375" t="e">
        <f t="shared" si="3"/>
        <v>#DIV/0!</v>
      </c>
      <c r="AE11" s="1375" t="e">
        <f t="shared" si="3"/>
        <v>#DIV/0!</v>
      </c>
      <c r="AF11" s="1375" t="e">
        <f t="shared" si="3"/>
        <v>#DIV/0!</v>
      </c>
      <c r="AG11" s="1375" t="e">
        <f t="shared" si="3"/>
        <v>#DIV/0!</v>
      </c>
      <c r="AH11" s="1375" t="e">
        <f t="shared" si="3"/>
        <v>#DIV/0!</v>
      </c>
      <c r="AI11" s="1375" t="e">
        <f t="shared" si="3"/>
        <v>#DIV/0!</v>
      </c>
      <c r="AJ11" s="1375" t="e">
        <f t="shared" si="3"/>
        <v>#DIV/0!</v>
      </c>
    </row>
    <row r="12" spans="1:36" ht="25.5" thickBot="1">
      <c r="A12" s="3403" t="s">
        <v>2671</v>
      </c>
      <c r="B12" s="2207" t="s">
        <v>2672</v>
      </c>
      <c r="C12" s="855">
        <f>ROUND(C15*D15*E15*F15*G15*H15*I15*J15,4)</f>
        <v>1.5972</v>
      </c>
      <c r="D12" s="2208" t="s">
        <v>2673</v>
      </c>
      <c r="E12" s="2209"/>
      <c r="F12" s="2209"/>
      <c r="G12" s="2210"/>
      <c r="H12" s="2210"/>
      <c r="I12" s="2210"/>
      <c r="J12" s="2211"/>
      <c r="K12" s="1271"/>
      <c r="L12" s="2212" t="s">
        <v>2674</v>
      </c>
      <c r="M12" s="993">
        <f>SUMPRODUCT((区片价!B338:B344=I2)*(区片价!C3:F3=E2)*(区片价!C338:F344))</f>
        <v>0</v>
      </c>
      <c r="N12" s="994">
        <f>SUMPRODUCT((因素修正幅度!B338:B344=I2)*(因素修正幅度!C3:F3=E2)*(因素修正幅度!C338:F344))</f>
        <v>0</v>
      </c>
      <c r="O12" s="1271"/>
      <c r="P12" s="1271"/>
      <c r="Q12" s="1271"/>
      <c r="R12" s="1362">
        <v>11</v>
      </c>
      <c r="S12" s="1363"/>
      <c r="T12" s="1362" t="e">
        <f t="shared" ca="1" si="0"/>
        <v>#DIV/0!</v>
      </c>
      <c r="U12" s="1363"/>
      <c r="V12" s="1362" t="e">
        <f t="shared" ca="1" si="1"/>
        <v>#DIV/0!</v>
      </c>
      <c r="W12" s="3398"/>
      <c r="X12" s="1376" t="s">
        <v>2675</v>
      </c>
      <c r="Y12" s="1372">
        <f t="shared" ref="Y12:AJ12" si="4">Y9</f>
        <v>0</v>
      </c>
      <c r="Z12" s="1372">
        <f t="shared" si="4"/>
        <v>0</v>
      </c>
      <c r="AA12" s="1372">
        <f t="shared" si="4"/>
        <v>0</v>
      </c>
      <c r="AB12" s="1372">
        <f t="shared" si="4"/>
        <v>0</v>
      </c>
      <c r="AC12" s="1372">
        <f t="shared" si="4"/>
        <v>0</v>
      </c>
      <c r="AD12" s="1372">
        <f t="shared" si="4"/>
        <v>0</v>
      </c>
      <c r="AE12" s="1372">
        <f t="shared" si="4"/>
        <v>0</v>
      </c>
      <c r="AF12" s="1372">
        <f t="shared" si="4"/>
        <v>0</v>
      </c>
      <c r="AG12" s="1372">
        <f t="shared" si="4"/>
        <v>0</v>
      </c>
      <c r="AH12" s="1372">
        <f t="shared" si="4"/>
        <v>0</v>
      </c>
      <c r="AI12" s="1372">
        <f t="shared" si="4"/>
        <v>0</v>
      </c>
      <c r="AJ12" s="1372">
        <f t="shared" si="4"/>
        <v>0</v>
      </c>
    </row>
    <row r="13" spans="1:36" ht="24">
      <c r="A13" s="3405"/>
      <c r="B13" s="2213" t="s">
        <v>2676</v>
      </c>
      <c r="C13" s="2214" t="s">
        <v>2677</v>
      </c>
      <c r="D13" s="1524" t="s">
        <v>2678</v>
      </c>
      <c r="E13" s="1524" t="s">
        <v>2679</v>
      </c>
      <c r="F13" s="30" t="s">
        <v>2680</v>
      </c>
      <c r="G13" s="2215" t="s">
        <v>2681</v>
      </c>
      <c r="H13" s="2215" t="s">
        <v>2681</v>
      </c>
      <c r="I13" s="2215" t="s">
        <v>2681</v>
      </c>
      <c r="J13" s="2216" t="s">
        <v>2681</v>
      </c>
      <c r="K13" s="1271"/>
      <c r="L13" s="1271"/>
      <c r="M13" s="1271"/>
      <c r="N13" s="1271"/>
      <c r="O13" s="1271"/>
      <c r="P13" s="1271"/>
      <c r="Q13" s="1271"/>
      <c r="R13" s="1362">
        <v>12</v>
      </c>
      <c r="S13" s="1363"/>
      <c r="T13" s="1362" t="e">
        <f t="shared" ca="1" si="0"/>
        <v>#DIV/0!</v>
      </c>
      <c r="U13" s="1363"/>
      <c r="V13" s="1362" t="e">
        <f t="shared" ca="1" si="1"/>
        <v>#DIV/0!</v>
      </c>
      <c r="W13" s="3398"/>
      <c r="X13" s="1376"/>
      <c r="Y13" s="1373" t="e">
        <f>(-0.163*(Y12^2)-0.59*Y12+7617)*(10^(-4))/Y11</f>
        <v>#DIV/0!</v>
      </c>
      <c r="Z13" s="1373" t="e">
        <f t="shared" ref="Z13:AJ13" si="5">(-0.163*(Z12^2)-0.59*Z12+7617)*(10^(-4))/Z11</f>
        <v>#DIV/0!</v>
      </c>
      <c r="AA13" s="1373" t="e">
        <f t="shared" si="5"/>
        <v>#DIV/0!</v>
      </c>
      <c r="AB13" s="1373" t="e">
        <f t="shared" si="5"/>
        <v>#DIV/0!</v>
      </c>
      <c r="AC13" s="1373" t="e">
        <f t="shared" si="5"/>
        <v>#DIV/0!</v>
      </c>
      <c r="AD13" s="1373" t="e">
        <f t="shared" si="5"/>
        <v>#DIV/0!</v>
      </c>
      <c r="AE13" s="1373" t="e">
        <f t="shared" si="5"/>
        <v>#DIV/0!</v>
      </c>
      <c r="AF13" s="1373" t="e">
        <f t="shared" si="5"/>
        <v>#DIV/0!</v>
      </c>
      <c r="AG13" s="1373" t="e">
        <f t="shared" si="5"/>
        <v>#DIV/0!</v>
      </c>
      <c r="AH13" s="1373" t="e">
        <f t="shared" si="5"/>
        <v>#DIV/0!</v>
      </c>
      <c r="AI13" s="1373" t="e">
        <f t="shared" si="5"/>
        <v>#DIV/0!</v>
      </c>
      <c r="AJ13" s="1373" t="e">
        <f t="shared" si="5"/>
        <v>#DIV/0!</v>
      </c>
    </row>
    <row r="14" spans="1:36" ht="15">
      <c r="A14" s="3405"/>
      <c r="B14" s="2217"/>
      <c r="C14" s="2218" t="s">
        <v>3594</v>
      </c>
      <c r="D14" s="2219" t="s">
        <v>3594</v>
      </c>
      <c r="E14" s="2219" t="s">
        <v>3594</v>
      </c>
      <c r="F14" s="2220" t="s">
        <v>3595</v>
      </c>
      <c r="G14" s="2221" t="s">
        <v>2682</v>
      </c>
      <c r="H14" s="2222"/>
      <c r="I14" s="2223"/>
      <c r="J14" s="2224"/>
      <c r="K14" s="1271"/>
      <c r="L14" s="1271"/>
      <c r="M14" s="1271"/>
      <c r="N14" s="1271"/>
      <c r="O14" s="1271"/>
      <c r="P14" s="1271"/>
      <c r="Q14" s="1271"/>
      <c r="R14" s="1362">
        <v>13</v>
      </c>
      <c r="S14" s="1363"/>
      <c r="T14" s="1362" t="e">
        <f t="shared" ca="1" si="0"/>
        <v>#DIV/0!</v>
      </c>
      <c r="U14" s="1363"/>
      <c r="V14" s="1362" t="e">
        <f t="shared" ca="1" si="1"/>
        <v>#DIV/0!</v>
      </c>
      <c r="W14" s="1366"/>
      <c r="X14" s="1366"/>
      <c r="Y14" s="1366"/>
      <c r="Z14" s="1366"/>
      <c r="AA14" s="1366"/>
      <c r="AB14" s="1366"/>
      <c r="AC14" s="1367"/>
      <c r="AD14" s="3000"/>
      <c r="AE14" s="3000"/>
      <c r="AF14" s="3000"/>
      <c r="AG14" s="3000"/>
      <c r="AH14" s="3000"/>
      <c r="AI14" s="3000"/>
      <c r="AJ14" s="3001"/>
    </row>
    <row r="15" spans="1:36" ht="15.75" thickBot="1">
      <c r="A15" s="3406"/>
      <c r="B15" s="2225" t="s">
        <v>2683</v>
      </c>
      <c r="C15" s="193">
        <f>IF(C14="有",1.1,1)</f>
        <v>1.1000000000000001</v>
      </c>
      <c r="D15" s="193">
        <f>IF(D14="有",1.1,1)</f>
        <v>1.1000000000000001</v>
      </c>
      <c r="E15" s="193">
        <f>IF(E14="有",1.1,1)</f>
        <v>1.1000000000000001</v>
      </c>
      <c r="F15" s="193">
        <f>IF(F14="500米范围内",1.2,IF(F14="500-1000米",1.1,1))</f>
        <v>1.2</v>
      </c>
      <c r="G15" s="880">
        <v>1</v>
      </c>
      <c r="H15" s="880">
        <v>1</v>
      </c>
      <c r="I15" s="880">
        <v>1</v>
      </c>
      <c r="J15" s="881">
        <v>1</v>
      </c>
      <c r="K15" s="1271"/>
      <c r="L15" s="2168"/>
      <c r="M15" s="2168"/>
      <c r="N15" s="2168"/>
      <c r="O15" s="2168"/>
      <c r="P15" s="2168"/>
      <c r="Q15" s="1271"/>
      <c r="R15" s="1362">
        <v>14</v>
      </c>
      <c r="S15" s="1363"/>
      <c r="T15" s="1362" t="e">
        <f t="shared" ca="1" si="0"/>
        <v>#DIV/0!</v>
      </c>
      <c r="U15" s="1363"/>
      <c r="V15" s="1362" t="e">
        <f t="shared" ca="1" si="1"/>
        <v>#DIV/0!</v>
      </c>
      <c r="W15" s="1366"/>
      <c r="X15" s="1366"/>
      <c r="Y15" s="1366"/>
      <c r="Z15" s="1366"/>
      <c r="AA15" s="1366"/>
      <c r="AB15" s="1366"/>
      <c r="AC15" s="1367"/>
      <c r="AD15" s="3000"/>
      <c r="AE15" s="3000"/>
      <c r="AF15" s="3000"/>
      <c r="AG15" s="3000"/>
      <c r="AH15" s="3000"/>
      <c r="AI15" s="3000"/>
      <c r="AJ15" s="3001"/>
    </row>
    <row r="16" spans="1:36" ht="24.6" customHeight="1">
      <c r="A16" s="3403" t="s">
        <v>2688</v>
      </c>
      <c r="B16" s="2194" t="s">
        <v>2689</v>
      </c>
      <c r="C16" s="2355">
        <f>ROUND(IF(F17="与级别开发程度一致",0,(G17-E17)/C17),0)</f>
        <v>0</v>
      </c>
      <c r="D16" s="3419" t="s">
        <v>2693</v>
      </c>
      <c r="E16" s="3420"/>
      <c r="F16" s="3419" t="s">
        <v>2690</v>
      </c>
      <c r="G16" s="3420"/>
      <c r="H16" s="2226" t="s">
        <v>3051</v>
      </c>
      <c r="I16" s="2226" t="s">
        <v>3052</v>
      </c>
      <c r="J16" s="2359" t="s">
        <v>3053</v>
      </c>
      <c r="K16" s="2226" t="s">
        <v>3054</v>
      </c>
      <c r="L16" s="2226" t="s">
        <v>3055</v>
      </c>
      <c r="M16" s="2226" t="s">
        <v>3056</v>
      </c>
      <c r="N16" s="2226" t="s">
        <v>3057</v>
      </c>
      <c r="O16" s="2227" t="s">
        <v>3596</v>
      </c>
      <c r="P16" s="2168"/>
      <c r="Q16" s="1271"/>
      <c r="R16" s="1362">
        <v>15</v>
      </c>
      <c r="S16" s="1363"/>
      <c r="T16" s="1362" t="e">
        <f t="shared" ca="1" si="0"/>
        <v>#DIV/0!</v>
      </c>
      <c r="U16" s="1363"/>
      <c r="V16" s="1362" t="e">
        <f t="shared" ca="1" si="1"/>
        <v>#DIV/0!</v>
      </c>
      <c r="W16" s="1366"/>
      <c r="X16" s="1366"/>
      <c r="Y16" s="1366"/>
      <c r="Z16" s="1366"/>
      <c r="AA16" s="1366"/>
      <c r="AB16" s="1366"/>
      <c r="AC16" s="1367"/>
      <c r="AD16" s="3000"/>
      <c r="AE16" s="3000"/>
      <c r="AF16" s="3000"/>
      <c r="AG16" s="3000"/>
      <c r="AH16" s="3000"/>
      <c r="AI16" s="3000"/>
      <c r="AJ16" s="3001"/>
    </row>
    <row r="17" spans="1:37" ht="26.25" thickBot="1">
      <c r="A17" s="3407"/>
      <c r="B17" s="2366" t="s">
        <v>2692</v>
      </c>
      <c r="C17" s="2367">
        <f>SUMPRODUCT((修正!A2:A5=E2)*(修正!B1:M1=G2)*(修正!B2:M5))</f>
        <v>0</v>
      </c>
      <c r="D17" s="193" t="str">
        <f>IF(OR(G2="八级",G2="九级",G2="十级",G2="十一级",G2="十二级"),"五通一平","七通一平")</f>
        <v>七通一平</v>
      </c>
      <c r="E17" s="2356">
        <f>SUMPRODUCT((修正!B1:M1=G2)*(修正!B15:M15))</f>
        <v>0</v>
      </c>
      <c r="F17" s="2357" t="s">
        <v>3597</v>
      </c>
      <c r="G17" s="2358">
        <f>SUM(H17:O17)</f>
        <v>0</v>
      </c>
      <c r="H17" s="2367">
        <f>SUMPRODUCT((七通一平=H16)*(修正!B1:M1=G2)*(修正!B6:M14))</f>
        <v>0</v>
      </c>
      <c r="I17" s="2367">
        <f>SUMPRODUCT((七通一平=I16)*(修正!B1:M1=G2)*(修正!B6:M14))</f>
        <v>0</v>
      </c>
      <c r="J17" s="2368">
        <f>SUMPRODUCT((七通一平=J16)*(修正!B1:M1=G2)*(修正!B6:M14))</f>
        <v>0</v>
      </c>
      <c r="K17" s="2367">
        <f>SUMPRODUCT((七通一平=K16)*(修正!B1:M1=G2)*(修正!B6:M14))</f>
        <v>0</v>
      </c>
      <c r="L17" s="2367">
        <f>SUMPRODUCT((七通一平=L16)*(修正!B1:M1=G2)*(修正!B6:M14))</f>
        <v>0</v>
      </c>
      <c r="M17" s="2367">
        <f>SUMPRODUCT((七通一平=M16)*(修正!B1:M1=G2)*(修正!B6:M14))</f>
        <v>0</v>
      </c>
      <c r="N17" s="2367">
        <f>SUMPRODUCT((七通一平=N16)*(修正!B1:M1=G2)*(修正!B6:M14))</f>
        <v>0</v>
      </c>
      <c r="O17" s="2369">
        <f>SUMPRODUCT((七通一平=O16)*(修正!B1:M1=G2)*(修正!B6:M14))</f>
        <v>0</v>
      </c>
      <c r="P17" s="2168"/>
      <c r="Q17" s="1271"/>
      <c r="R17" s="1271"/>
      <c r="S17" s="1271"/>
      <c r="T17" s="1271"/>
      <c r="U17" s="1271"/>
      <c r="V17" s="1271"/>
      <c r="W17" s="1271"/>
      <c r="X17" s="1271"/>
      <c r="Y17" s="1271"/>
      <c r="Z17" s="1272"/>
      <c r="AA17" s="1272"/>
      <c r="AB17" s="1272"/>
      <c r="AC17" s="1272"/>
      <c r="AD17" s="1272"/>
      <c r="AE17" s="1271"/>
      <c r="AF17" s="1271"/>
      <c r="AG17" s="2168"/>
      <c r="AH17" s="2168"/>
      <c r="AI17" s="2168"/>
      <c r="AJ17" s="2168"/>
    </row>
    <row r="18" spans="1:37" s="2187" customFormat="1" ht="15.75" thickBot="1">
      <c r="A18" s="2360" t="s">
        <v>808</v>
      </c>
      <c r="B18" s="2361" t="s">
        <v>2695</v>
      </c>
      <c r="C18" s="2362">
        <f>SUMIF(修正!C18:C39,E3,修正!E18:E39)</f>
        <v>1.5</v>
      </c>
      <c r="D18" s="2363"/>
      <c r="E18" s="2364"/>
      <c r="F18" s="2364"/>
      <c r="G18" s="2364"/>
      <c r="H18" s="2364"/>
      <c r="I18" s="2364"/>
      <c r="J18" s="2365"/>
      <c r="K18" s="1278"/>
      <c r="L18" s="2999"/>
      <c r="M18" s="2999"/>
      <c r="N18" s="2999"/>
      <c r="O18" s="1276"/>
      <c r="P18" s="1276"/>
      <c r="Q18" s="1277"/>
      <c r="R18" s="1277"/>
      <c r="S18" s="1277"/>
      <c r="T18" s="1272"/>
      <c r="U18" s="1272"/>
      <c r="V18" s="1272"/>
      <c r="W18" s="1271"/>
      <c r="X18" s="1271"/>
      <c r="Y18" s="1271"/>
      <c r="Z18" s="1278"/>
      <c r="AA18" s="1278"/>
      <c r="AB18" s="1278"/>
      <c r="AC18" s="1278"/>
      <c r="AD18" s="1278"/>
      <c r="AE18" s="1272"/>
      <c r="AF18" s="1272"/>
      <c r="AG18" s="2325"/>
      <c r="AH18" s="2325"/>
      <c r="AI18" s="2325"/>
      <c r="AJ18" s="2999"/>
    </row>
    <row r="19" spans="1:37" s="2187" customFormat="1" ht="29.25" thickBot="1">
      <c r="A19" s="2231" t="s">
        <v>809</v>
      </c>
      <c r="B19" s="2232" t="s">
        <v>2696</v>
      </c>
      <c r="C19" s="860">
        <f>ROUND(IF(H19="按公示增长率计算",SUMPRODUCT((地价!A3:A33=YEAR(G19)&amp;"-"&amp;ROUNDUP(MONTH(G19)/3,0))*(地价!X2:AB2=E2)*(地价!X3:AB33)),IF(H19="地价指数",M20/M19,(1+I19)^O19)),4)</f>
        <v>1.3965000000000001</v>
      </c>
      <c r="D19" s="2236" t="s">
        <v>2697</v>
      </c>
      <c r="E19" s="861">
        <v>41640</v>
      </c>
      <c r="F19" s="2236" t="s">
        <v>2698</v>
      </c>
      <c r="G19" s="862">
        <f>'数据-取费表'!B2</f>
        <v>44280</v>
      </c>
      <c r="H19" s="2237" t="s">
        <v>3598</v>
      </c>
      <c r="I19" s="863">
        <f>IF(H19="季度增幅（自定义）",SUMIF(N21:N24,E2,O21:O24),"")</f>
        <v>1.2E-2</v>
      </c>
      <c r="J19" s="2234"/>
      <c r="K19" s="1278"/>
      <c r="L19" s="2238" t="s">
        <v>2699</v>
      </c>
      <c r="M19" s="1486">
        <f>ROUND(SUMIF(地价!B2:F2,E2,地价!B33:F33),0)</f>
        <v>423</v>
      </c>
      <c r="N19" s="2239" t="s">
        <v>2700</v>
      </c>
      <c r="O19" s="864">
        <f>ROUNDDOWN(DATEDIF(E19,G19,"M")/3,0)</f>
        <v>28</v>
      </c>
      <c r="P19" s="1275"/>
      <c r="Q19" s="1277"/>
      <c r="R19" s="1277"/>
      <c r="S19" s="1277"/>
      <c r="T19" s="1272"/>
      <c r="U19" s="1272"/>
      <c r="V19" s="1272"/>
      <c r="W19" s="1271"/>
      <c r="X19" s="1271"/>
      <c r="Y19" s="1271"/>
      <c r="Z19" s="1278"/>
      <c r="AA19" s="1278"/>
      <c r="AB19" s="1278"/>
      <c r="AC19" s="1278"/>
      <c r="AD19" s="1278"/>
      <c r="AE19" s="1278"/>
      <c r="AF19" s="1277"/>
      <c r="AG19" s="3002"/>
      <c r="AH19" s="2325"/>
      <c r="AI19" s="3003"/>
      <c r="AJ19" s="3003"/>
      <c r="AK19" s="2240"/>
    </row>
    <row r="20" spans="1:37" s="2187" customFormat="1" ht="27.75" thickBot="1">
      <c r="A20" s="2241" t="s">
        <v>810</v>
      </c>
      <c r="B20" s="2242" t="s">
        <v>2701</v>
      </c>
      <c r="C20" s="865" t="e">
        <f ca="1">ROUND(POWER(1+G20,J20-I20)*(POWER(1+G20,I20)-1)/(POWER(1+G20,J20)-1),4)</f>
        <v>#DIV/0!</v>
      </c>
      <c r="D20" s="2243" t="s">
        <v>2702</v>
      </c>
      <c r="E20" s="1495">
        <f ca="1">存贷款利率!D4/100</f>
        <v>4.3499999999999997E-2</v>
      </c>
      <c r="F20" s="2243" t="s">
        <v>2694</v>
      </c>
      <c r="G20" s="870">
        <f ca="1">SUMIF(M26:P26,E2,M28:P28)</f>
        <v>0.05</v>
      </c>
      <c r="H20" s="2243" t="s">
        <v>2703</v>
      </c>
      <c r="I20" s="871" t="e">
        <f>SUMIF('数据-取费表'!C6:C15,E2,'数据-取费表'!F6:F15)/COUNTIF('数据-取费表'!C6:C15,E2)</f>
        <v>#DIV/0!</v>
      </c>
      <c r="J20" s="872">
        <f>IF(E2="住宅",70,IF(E2="商业",40,50))</f>
        <v>70</v>
      </c>
      <c r="K20" s="1278"/>
      <c r="L20" s="2244" t="s">
        <v>2704</v>
      </c>
      <c r="M20" s="1487">
        <f>ROUND(SUMPRODUCT((地价!A4:A33=YEAR(G19)&amp;"-"&amp;ROUNDUP(MONTH(G19)/3,0))*(地价!B2:F2=E2)*(地价!B4:F33)),0)</f>
        <v>711</v>
      </c>
      <c r="N20" s="2245" t="s">
        <v>2705</v>
      </c>
      <c r="O20" s="2246" t="s">
        <v>2706</v>
      </c>
      <c r="P20" s="2247" t="s">
        <v>2707</v>
      </c>
      <c r="Q20" s="2999"/>
      <c r="R20" s="1277"/>
      <c r="S20" s="1277"/>
      <c r="T20" s="1272"/>
      <c r="U20" s="1272"/>
      <c r="V20" s="1272"/>
      <c r="W20" s="1271"/>
      <c r="X20" s="1271"/>
      <c r="Y20" s="1271"/>
      <c r="Z20" s="1278"/>
      <c r="AA20" s="1278"/>
      <c r="AB20" s="1278"/>
      <c r="AC20" s="1278"/>
      <c r="AD20" s="1278"/>
      <c r="AE20" s="1278"/>
      <c r="AF20" s="1278"/>
      <c r="AG20" s="2999"/>
      <c r="AH20" s="2999"/>
      <c r="AI20" s="2999"/>
      <c r="AJ20" s="2999"/>
    </row>
    <row r="21" spans="1:37" s="2187" customFormat="1" ht="15">
      <c r="A21" s="2248" t="s">
        <v>811</v>
      </c>
      <c r="B21" s="2249" t="s">
        <v>3599</v>
      </c>
      <c r="C21" s="873" t="e">
        <f>IF(B21="容积率修正",IF(G3&lt;=10,D22,J22),C23)</f>
        <v>#DIV/0!</v>
      </c>
      <c r="D21" s="2250"/>
      <c r="E21" s="2250"/>
      <c r="F21" s="2250"/>
      <c r="G21" s="2250"/>
      <c r="H21" s="2250"/>
      <c r="I21" s="2250"/>
      <c r="J21" s="2251"/>
      <c r="K21" s="1278"/>
      <c r="L21" s="2999"/>
      <c r="M21" s="2999"/>
      <c r="N21" s="2252" t="s">
        <v>2708</v>
      </c>
      <c r="O21" s="1324"/>
      <c r="P21" s="1325">
        <f>SUMPRODUCT((地价!A3:A33=YEAR(G19)&amp;"-"&amp;ROUNDUP(MONTH(G19)/3,0))*(地价!AD2:AH2=N21)*(地价!AD3:AH33))</f>
        <v>1.12E-2</v>
      </c>
      <c r="Q21" s="2999"/>
      <c r="R21" s="1277"/>
      <c r="S21" s="1277"/>
      <c r="T21" s="1272"/>
      <c r="U21" s="1272"/>
      <c r="V21" s="1272"/>
      <c r="W21" s="1271"/>
      <c r="X21" s="1271"/>
      <c r="Y21" s="1271"/>
      <c r="Z21" s="1278"/>
      <c r="AA21" s="1278"/>
      <c r="AB21" s="1278"/>
      <c r="AC21" s="1278"/>
      <c r="AD21" s="1278"/>
      <c r="AE21" s="1278"/>
      <c r="AF21" s="1278"/>
      <c r="AG21" s="2999"/>
      <c r="AH21" s="2999"/>
      <c r="AI21" s="2999"/>
      <c r="AJ21" s="2999"/>
    </row>
    <row r="22" spans="1:37" s="2187" customFormat="1" ht="14.25">
      <c r="A22" s="2128" t="s">
        <v>2709</v>
      </c>
      <c r="B22" s="2253" t="s">
        <v>2710</v>
      </c>
      <c r="C22" s="1526" t="s">
        <v>2711</v>
      </c>
      <c r="D22" s="1526" t="e">
        <f>IF(E22=G22,F22,IF(G3&lt;=10,ROUND(F22+(H22-F22)*(G3-E22)/(G22-E22),4),"——"))</f>
        <v>#DIV/0!</v>
      </c>
      <c r="E22" s="852" t="e">
        <f>ROUNDDOWN(G3,1)</f>
        <v>#DIV/0!</v>
      </c>
      <c r="F22" s="1526" t="e">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#DIV/0!</v>
      </c>
      <c r="G22" s="852" t="e">
        <f>ROUNDUP(G3,1)</f>
        <v>#DIV/0!</v>
      </c>
      <c r="H22" s="1526" t="e">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#DIV/0!</v>
      </c>
      <c r="I22" s="1526" t="s">
        <v>155</v>
      </c>
      <c r="J22" s="874" t="e">
        <f>IF(G3&gt;10,D113,"——")</f>
        <v>#DIV/0!</v>
      </c>
      <c r="K22" s="1278"/>
      <c r="L22" s="2999"/>
      <c r="M22" s="2999"/>
      <c r="N22" s="2252" t="s">
        <v>2712</v>
      </c>
      <c r="O22" s="1324"/>
      <c r="P22" s="1325">
        <f>SUMPRODUCT((地价!A3:A33=YEAR(G19)&amp;"-"&amp;ROUNDUP(MONTH(G19)/3,0))*(地价!AD2:AH2=N22)*(地价!AD3:AH33))</f>
        <v>1.12E-2</v>
      </c>
      <c r="Q22" s="2999"/>
      <c r="R22" s="1277"/>
      <c r="S22" s="1277"/>
      <c r="T22" s="1272"/>
      <c r="U22" s="1272"/>
      <c r="V22" s="1272"/>
      <c r="W22" s="1271"/>
      <c r="X22" s="1271"/>
      <c r="Y22" s="1271"/>
      <c r="Z22" s="1278"/>
      <c r="AA22" s="1278"/>
      <c r="AB22" s="1278"/>
      <c r="AC22" s="1278"/>
      <c r="AD22" s="1278"/>
      <c r="AE22" s="1278"/>
      <c r="AF22" s="1278"/>
      <c r="AG22" s="2999"/>
      <c r="AH22" s="2999"/>
      <c r="AI22" s="2999"/>
      <c r="AJ22" s="2999"/>
    </row>
    <row r="23" spans="1:37" ht="27.75" thickBot="1">
      <c r="A23" s="2128" t="s">
        <v>2713</v>
      </c>
      <c r="B23" s="2254" t="s">
        <v>2714</v>
      </c>
      <c r="C23" s="947" t="e">
        <f>ROUND(IF(G3&gt;1,IF(I3&lt;7,SUMPRODUCT((B93:B98=I3)*(C92:N92=G2)*(C93:N98)),SUMIF(C92:N92,G2,C100:N100)),IF(I3&lt;7,SUMPRODUCT((B102:B107=I3)*(C92:N92=G2)*(C102:N107)),SUMIF(C92:N92,G2,C109:N109))),4)</f>
        <v>#DIV/0!</v>
      </c>
      <c r="D23" s="2222"/>
      <c r="E23" s="2222"/>
      <c r="F23" s="2255"/>
      <c r="G23" s="2256"/>
      <c r="H23" s="2257"/>
      <c r="I23" s="2258"/>
      <c r="J23" s="2259"/>
      <c r="K23" s="1271"/>
      <c r="L23" s="2168"/>
      <c r="M23" s="2168"/>
      <c r="N23" s="2252" t="s">
        <v>2715</v>
      </c>
      <c r="O23" s="1324">
        <v>1.2E-2</v>
      </c>
      <c r="P23" s="1325">
        <f>SUMPRODUCT((地价!A3:A33=YEAR(G19)&amp;"-"&amp;ROUNDUP(MONTH(G19)/3,0))*(地价!AD2:AH2=N23)*(地价!AD3:AH33))</f>
        <v>1.9300000000000001E-2</v>
      </c>
      <c r="Q23" s="2168"/>
      <c r="R23" s="1277"/>
      <c r="S23" s="1277"/>
      <c r="T23" s="1272"/>
      <c r="U23" s="1272"/>
      <c r="V23" s="1272"/>
      <c r="W23" s="1271"/>
      <c r="X23" s="1271"/>
      <c r="Y23" s="1271"/>
      <c r="Z23" s="1278"/>
      <c r="AA23" s="1278"/>
      <c r="AB23" s="1278"/>
      <c r="AC23" s="1278"/>
      <c r="AD23" s="1278"/>
      <c r="AE23" s="1272"/>
      <c r="AF23" s="1272"/>
      <c r="AG23" s="2325"/>
      <c r="AH23" s="2325"/>
      <c r="AI23" s="2325"/>
      <c r="AJ23" s="2325"/>
      <c r="AK23" s="2235"/>
    </row>
    <row r="24" spans="1:37" s="2187" customFormat="1" ht="15.75" thickBot="1">
      <c r="A24" s="2241" t="s">
        <v>812</v>
      </c>
      <c r="B24" s="2232" t="s">
        <v>2716</v>
      </c>
      <c r="C24" s="860">
        <f>SUMIF(A45:A88,E2,B45:B88)</f>
        <v>1.0289999999999999</v>
      </c>
      <c r="D24" s="2233"/>
      <c r="E24" s="2260"/>
      <c r="F24" s="2260"/>
      <c r="G24" s="2260"/>
      <c r="H24" s="2260"/>
      <c r="I24" s="2260"/>
      <c r="J24" s="2261"/>
      <c r="K24" s="1278"/>
      <c r="L24" s="2999"/>
      <c r="M24" s="2999"/>
      <c r="N24" s="2262" t="s">
        <v>2717</v>
      </c>
      <c r="O24" s="1326"/>
      <c r="P24" s="1327">
        <f>SUMPRODUCT((地价!A3:A33=YEAR(G19)&amp;"-"&amp;ROUNDUP(MONTH(G19)/3,0))*(地价!AD2:AH2=N24)*(地价!AD3:AH33))</f>
        <v>1.2800000000000001E-2</v>
      </c>
      <c r="Q24" s="2999"/>
      <c r="R24" s="1277"/>
      <c r="S24" s="1277"/>
      <c r="T24" s="1272"/>
      <c r="U24" s="1272"/>
      <c r="V24" s="1272"/>
      <c r="W24" s="1271"/>
      <c r="X24" s="1271"/>
      <c r="Y24" s="1271"/>
      <c r="Z24" s="1278"/>
      <c r="AA24" s="1278"/>
      <c r="AB24" s="1278"/>
      <c r="AC24" s="1278"/>
      <c r="AD24" s="1278"/>
      <c r="AE24" s="1278"/>
      <c r="AF24" s="1278"/>
      <c r="AG24" s="2999"/>
      <c r="AH24" s="2999"/>
      <c r="AI24" s="2999"/>
      <c r="AJ24" s="2999"/>
    </row>
    <row r="25" spans="1:37" ht="15.75" thickBot="1">
      <c r="A25" s="2241" t="s">
        <v>813</v>
      </c>
      <c r="B25" s="2263" t="s">
        <v>2718</v>
      </c>
      <c r="C25" s="866"/>
      <c r="D25" s="2197"/>
      <c r="E25" s="2197"/>
      <c r="F25" s="2264"/>
      <c r="G25" s="2197"/>
      <c r="H25" s="2197"/>
      <c r="I25" s="2197"/>
      <c r="J25" s="2198"/>
      <c r="K25" s="1271"/>
      <c r="L25" s="2168"/>
      <c r="M25" s="2168"/>
      <c r="N25" s="2994" t="s">
        <v>2719</v>
      </c>
      <c r="O25" s="2995"/>
      <c r="P25" s="2996">
        <f>SUMPRODUCT((地价!A3:A33=YEAR(G19)&amp;"-"&amp;ROUNDUP(MONTH(G19)/3,0))*(地价!AD2:AH2=N25)*(地价!AD3:AH33))</f>
        <v>1.7500000000000002E-2</v>
      </c>
      <c r="Q25" s="2168"/>
      <c r="R25" s="1277"/>
      <c r="S25" s="1277"/>
      <c r="T25" s="1272"/>
      <c r="U25" s="1272"/>
      <c r="V25" s="1272"/>
      <c r="W25" s="1271"/>
      <c r="X25" s="1271"/>
      <c r="Y25" s="1271"/>
      <c r="Z25" s="1278"/>
      <c r="AA25" s="1278"/>
      <c r="AB25" s="1278"/>
      <c r="AC25" s="1278"/>
      <c r="AD25" s="1278"/>
      <c r="AE25" s="1272"/>
      <c r="AF25" s="1272"/>
      <c r="AG25" s="2325"/>
      <c r="AH25" s="2325"/>
      <c r="AI25" s="2325"/>
      <c r="AJ25" s="2325"/>
    </row>
    <row r="26" spans="1:37" ht="15">
      <c r="A26" s="2265"/>
      <c r="B26" s="2253" t="s">
        <v>2720</v>
      </c>
      <c r="C26" s="2526" t="e">
        <f ca="1">IF(B21="容积率修正",E29+SUM(E33:E39),SUM(V2:V16)+SUM(E33:E39))</f>
        <v>#DIV/0!</v>
      </c>
      <c r="D26" s="2266"/>
      <c r="E26" s="2222"/>
      <c r="F26" s="2267"/>
      <c r="G26" s="2222"/>
      <c r="H26" s="2222"/>
      <c r="I26" s="2222"/>
      <c r="J26" s="2268"/>
      <c r="K26" s="1271"/>
      <c r="L26" s="2997" t="s">
        <v>2619</v>
      </c>
      <c r="M26" s="2195" t="s">
        <v>2684</v>
      </c>
      <c r="N26" s="2195" t="s">
        <v>2685</v>
      </c>
      <c r="O26" s="2195" t="s">
        <v>2686</v>
      </c>
      <c r="P26" s="2998" t="s">
        <v>2687</v>
      </c>
      <c r="Q26" s="2168"/>
      <c r="R26" s="1277"/>
      <c r="S26" s="1277"/>
      <c r="T26" s="1272"/>
      <c r="U26" s="1272"/>
      <c r="V26" s="1272"/>
      <c r="W26" s="1271"/>
      <c r="X26" s="1271"/>
      <c r="Y26" s="1271"/>
      <c r="Z26" s="1278"/>
      <c r="AA26" s="1278"/>
      <c r="AB26" s="1278"/>
      <c r="AC26" s="1278"/>
      <c r="AD26" s="1278"/>
      <c r="AE26" s="1272"/>
      <c r="AF26" s="1272"/>
      <c r="AG26" s="2325"/>
      <c r="AH26" s="2325"/>
      <c r="AI26" s="2325"/>
      <c r="AJ26" s="2325"/>
    </row>
    <row r="27" spans="1:37" ht="15.75" thickBot="1">
      <c r="A27" s="2265"/>
      <c r="B27" s="2269" t="s">
        <v>2721</v>
      </c>
      <c r="C27" s="867" t="e">
        <f ca="1">E30+SUM(I33:I39)</f>
        <v>#DIV/0!</v>
      </c>
      <c r="D27" s="2270"/>
      <c r="E27" s="2271"/>
      <c r="F27" s="2272"/>
      <c r="G27" s="2271"/>
      <c r="H27" s="2271"/>
      <c r="I27" s="2271"/>
      <c r="J27" s="2273"/>
      <c r="K27" s="1271"/>
      <c r="L27" s="2228" t="s">
        <v>2691</v>
      </c>
      <c r="M27" s="858">
        <v>0.25</v>
      </c>
      <c r="N27" s="858">
        <v>0.2</v>
      </c>
      <c r="O27" s="858">
        <v>0.15</v>
      </c>
      <c r="P27" s="1270">
        <v>0.1</v>
      </c>
      <c r="Q27" s="1277"/>
      <c r="R27" s="1277"/>
      <c r="S27" s="1277"/>
      <c r="T27" s="1272"/>
      <c r="U27" s="1272"/>
      <c r="V27" s="1272"/>
      <c r="W27" s="1271"/>
      <c r="X27" s="1271"/>
      <c r="Y27" s="1271"/>
      <c r="Z27" s="1278"/>
      <c r="AA27" s="1278"/>
      <c r="AB27" s="1278"/>
      <c r="AC27" s="1278"/>
      <c r="AD27" s="1278"/>
      <c r="AE27" s="1272"/>
      <c r="AF27" s="1272"/>
      <c r="AG27" s="2325"/>
      <c r="AH27" s="2325"/>
      <c r="AI27" s="2325"/>
      <c r="AJ27" s="2325"/>
    </row>
    <row r="28" spans="1:37" ht="15.75" thickBot="1">
      <c r="A28" s="2274"/>
      <c r="B28" s="2275" t="s">
        <v>2722</v>
      </c>
      <c r="C28" s="2276" t="s">
        <v>2723</v>
      </c>
      <c r="D28" s="2276" t="s">
        <v>2724</v>
      </c>
      <c r="E28" s="2277" t="s">
        <v>2725</v>
      </c>
      <c r="F28" s="2278"/>
      <c r="G28" s="2210"/>
      <c r="H28" s="2210"/>
      <c r="I28" s="2210"/>
      <c r="J28" s="2211"/>
      <c r="K28" s="1271"/>
      <c r="L28" s="2229" t="s">
        <v>2694</v>
      </c>
      <c r="M28" s="183">
        <f ca="1">ROUND($E$20*(1+M27),3)</f>
        <v>5.3999999999999999E-2</v>
      </c>
      <c r="N28" s="183">
        <f ca="1">ROUND($E$20*(1+N27),3)</f>
        <v>5.1999999999999998E-2</v>
      </c>
      <c r="O28" s="183">
        <f ca="1">ROUND($E$20*(1+O27),3)</f>
        <v>0.05</v>
      </c>
      <c r="P28" s="1274">
        <f ca="1">ROUND($E$20*(1+P27),3)</f>
        <v>4.8000000000000001E-2</v>
      </c>
      <c r="Q28" s="1277"/>
      <c r="R28" s="1277"/>
      <c r="S28" s="1277"/>
      <c r="T28" s="1272"/>
      <c r="U28" s="1272"/>
      <c r="V28" s="1272"/>
      <c r="W28" s="1271"/>
      <c r="X28" s="1271"/>
      <c r="Y28" s="1271"/>
      <c r="Z28" s="1278"/>
      <c r="AA28" s="1278"/>
      <c r="AB28" s="1278"/>
      <c r="AC28" s="1278"/>
      <c r="AD28" s="1278"/>
      <c r="AE28" s="1272"/>
      <c r="AF28" s="1272"/>
      <c r="AG28" s="2325"/>
      <c r="AH28" s="2325"/>
      <c r="AI28" s="2325"/>
      <c r="AJ28" s="2325"/>
    </row>
    <row r="29" spans="1:37" ht="22.5" customHeight="1">
      <c r="A29" s="2279"/>
      <c r="B29" s="2280" t="s">
        <v>2726</v>
      </c>
      <c r="C29" s="180" t="e">
        <f ca="1">ROUND(C5*C18*C19*C20*C21*C24,0)</f>
        <v>#DIV/0!</v>
      </c>
      <c r="D29" s="2281">
        <f>'数据-基础表'!I13</f>
        <v>29610.970000000008</v>
      </c>
      <c r="E29" s="876" t="e">
        <f ca="1">ROUND(C29*D29/10000,0)</f>
        <v>#DIV/0!</v>
      </c>
      <c r="F29" s="2282" t="s">
        <v>2727</v>
      </c>
      <c r="G29" s="2283"/>
      <c r="H29" s="2283"/>
      <c r="I29" s="2283"/>
      <c r="J29" s="2284"/>
      <c r="K29" s="1271"/>
      <c r="L29" s="1271"/>
      <c r="M29" s="1271"/>
      <c r="N29" s="1271"/>
      <c r="O29" s="1276"/>
      <c r="P29" s="1276"/>
      <c r="Q29" s="1277"/>
      <c r="R29" s="1277"/>
      <c r="S29" s="1277"/>
      <c r="T29" s="1272"/>
      <c r="U29" s="1272"/>
      <c r="V29" s="1272"/>
      <c r="W29" s="1271"/>
      <c r="X29" s="1271"/>
      <c r="Y29" s="1271"/>
      <c r="Z29" s="1278"/>
      <c r="AA29" s="1278"/>
      <c r="AB29" s="1278"/>
      <c r="AC29" s="1278"/>
      <c r="AD29" s="1278"/>
      <c r="AE29" s="1271"/>
      <c r="AF29" s="1271"/>
      <c r="AG29" s="2168"/>
      <c r="AH29" s="2168"/>
      <c r="AI29" s="2168"/>
      <c r="AJ29" s="2168"/>
    </row>
    <row r="30" spans="1:37" ht="25.5" thickBot="1">
      <c r="A30" s="2285"/>
      <c r="B30" s="2286" t="s">
        <v>2728</v>
      </c>
      <c r="C30" s="193" t="e">
        <f ca="1">ROUND(IF(E2="工业",C29*M39,C29*M38),0)</f>
        <v>#DIV/0!</v>
      </c>
      <c r="D30" s="2287"/>
      <c r="E30" s="876" t="e">
        <f ca="1">ROUND(C30*D30/10000,0)</f>
        <v>#DIV/0!</v>
      </c>
      <c r="F30" s="2288" t="s">
        <v>2729</v>
      </c>
      <c r="G30" s="2289"/>
      <c r="H30" s="2289"/>
      <c r="I30" s="2289"/>
      <c r="J30" s="2290"/>
      <c r="K30" s="1271"/>
      <c r="L30" s="1271"/>
      <c r="M30" s="1271"/>
      <c r="N30" s="1271"/>
      <c r="O30" s="1276"/>
      <c r="P30" s="1276"/>
      <c r="Q30" s="1277"/>
      <c r="R30" s="1277"/>
      <c r="S30" s="1277"/>
      <c r="T30" s="1272"/>
      <c r="U30" s="1272"/>
      <c r="V30" s="1272"/>
      <c r="W30" s="1271"/>
      <c r="X30" s="1271"/>
      <c r="Y30" s="1271"/>
      <c r="Z30" s="1278"/>
      <c r="AA30" s="1278"/>
      <c r="AB30" s="1278"/>
      <c r="AC30" s="1278"/>
      <c r="AD30" s="1278"/>
      <c r="AE30" s="1271"/>
      <c r="AF30" s="1271"/>
      <c r="AG30" s="2168"/>
      <c r="AH30" s="2168"/>
      <c r="AI30" s="2168"/>
      <c r="AJ30" s="2168"/>
    </row>
    <row r="31" spans="1:37" ht="14.25">
      <c r="A31" s="2291"/>
      <c r="B31" s="2292" t="s">
        <v>2730</v>
      </c>
      <c r="C31" s="2293" t="s">
        <v>2731</v>
      </c>
      <c r="D31" s="2210"/>
      <c r="E31" s="2293"/>
      <c r="F31" s="2293"/>
      <c r="G31" s="2208" t="s">
        <v>2732</v>
      </c>
      <c r="H31" s="2210"/>
      <c r="I31" s="2294"/>
      <c r="J31" s="2211"/>
      <c r="K31" s="1271"/>
      <c r="L31" s="1271"/>
      <c r="M31" s="1271"/>
      <c r="N31" s="1271"/>
      <c r="O31" s="1276"/>
      <c r="P31" s="1276"/>
      <c r="Q31" s="1277"/>
      <c r="R31" s="1277"/>
      <c r="S31" s="1277"/>
      <c r="T31" s="1272"/>
      <c r="U31" s="1272"/>
      <c r="V31" s="1272"/>
      <c r="W31" s="1271"/>
      <c r="X31" s="1271"/>
      <c r="Y31" s="1271"/>
      <c r="Z31" s="1278"/>
      <c r="AA31" s="1278"/>
      <c r="AB31" s="1278"/>
      <c r="AC31" s="1278"/>
      <c r="AD31" s="1278"/>
      <c r="AE31" s="1271"/>
      <c r="AF31" s="1271"/>
      <c r="AG31" s="2168"/>
      <c r="AH31" s="2168"/>
      <c r="AI31" s="2168"/>
      <c r="AJ31" s="2168"/>
    </row>
    <row r="32" spans="1:37" ht="24">
      <c r="A32" s="2279"/>
      <c r="B32" s="2295"/>
      <c r="C32" s="457" t="s">
        <v>2723</v>
      </c>
      <c r="D32" s="454" t="s">
        <v>2724</v>
      </c>
      <c r="E32" s="454" t="s">
        <v>2725</v>
      </c>
      <c r="F32" s="348" t="s">
        <v>2733</v>
      </c>
      <c r="G32" s="2296" t="s">
        <v>2723</v>
      </c>
      <c r="H32" s="2296" t="s">
        <v>2724</v>
      </c>
      <c r="I32" s="2296" t="s">
        <v>2725</v>
      </c>
      <c r="J32" s="249"/>
      <c r="K32" s="1271"/>
      <c r="L32" s="1271"/>
      <c r="M32" s="1271"/>
      <c r="N32" s="1271"/>
      <c r="O32" s="1276"/>
      <c r="P32" s="1276"/>
      <c r="Q32" s="1277"/>
      <c r="R32" s="1277"/>
      <c r="S32" s="1277"/>
      <c r="T32" s="1272"/>
      <c r="U32" s="1272"/>
      <c r="V32" s="1272"/>
      <c r="W32" s="1271"/>
      <c r="X32" s="1271"/>
      <c r="Y32" s="1271"/>
      <c r="Z32" s="1278"/>
      <c r="AA32" s="1278"/>
      <c r="AB32" s="1278"/>
      <c r="AC32" s="1278"/>
      <c r="AD32" s="1278"/>
      <c r="AE32" s="1271"/>
      <c r="AF32" s="1271"/>
      <c r="AG32" s="2168"/>
      <c r="AH32" s="2168"/>
      <c r="AI32" s="2168"/>
      <c r="AJ32" s="2168"/>
    </row>
    <row r="33" spans="1:37" ht="36" customHeight="1">
      <c r="A33" s="3416"/>
      <c r="B33" s="2297" t="s">
        <v>2734</v>
      </c>
      <c r="C33" s="180" t="e">
        <f ca="1">ROUND(D5*C19*C20*C24*F33,0)</f>
        <v>#DIV/0!</v>
      </c>
      <c r="D33" s="2281"/>
      <c r="E33" s="176" t="e">
        <f ca="1">ROUND(C33*D33/10000,0)</f>
        <v>#DIV/0!</v>
      </c>
      <c r="F33" s="176">
        <f>SUMIF(修正!A45:A56,G2,修正!B45:B56)</f>
        <v>0</v>
      </c>
      <c r="G33" s="176" t="e">
        <f t="shared" ref="G33" ca="1" si="6">ROUND(IF(E2="工业",C33*$M$39,C33*$M$38),0)</f>
        <v>#DIV/0!</v>
      </c>
      <c r="H33" s="176">
        <f>D33</f>
        <v>0</v>
      </c>
      <c r="I33" s="176" t="e">
        <f ca="1">ROUND(G33*H33/10000,0)</f>
        <v>#DIV/0!</v>
      </c>
      <c r="J33" s="3421" t="s">
        <v>3037</v>
      </c>
      <c r="K33" s="1271"/>
      <c r="L33" s="1271"/>
      <c r="M33" s="1271"/>
      <c r="N33" s="1271"/>
      <c r="O33" s="1276"/>
      <c r="P33" s="1276"/>
      <c r="Q33" s="1277"/>
      <c r="R33" s="1277"/>
      <c r="S33" s="1277"/>
      <c r="T33" s="1272"/>
      <c r="U33" s="1272"/>
      <c r="V33" s="1272"/>
      <c r="W33" s="1271"/>
      <c r="X33" s="1271"/>
      <c r="Y33" s="1271"/>
      <c r="Z33" s="1278"/>
      <c r="AA33" s="1278"/>
      <c r="AB33" s="1278"/>
      <c r="AC33" s="1278"/>
      <c r="AD33" s="1278"/>
      <c r="AE33" s="1272"/>
      <c r="AF33" s="1272"/>
      <c r="AG33" s="2325"/>
      <c r="AH33" s="2325"/>
      <c r="AI33" s="2325"/>
      <c r="AJ33" s="2325"/>
    </row>
    <row r="34" spans="1:37" ht="14.25">
      <c r="A34" s="3417"/>
      <c r="B34" s="2214" t="s">
        <v>2735</v>
      </c>
      <c r="C34" s="180" t="e">
        <f ca="1">ROUND(D5*C19*C20*C24*F34,0)</f>
        <v>#DIV/0!</v>
      </c>
      <c r="D34" s="2281"/>
      <c r="E34" s="176" t="e">
        <f t="shared" ref="E34:E39" ca="1" si="7">ROUND(C34*D34/10000,0)</f>
        <v>#DIV/0!</v>
      </c>
      <c r="F34" s="176">
        <f>SUMIF(修正!A45:A56,G2,修正!C45:C56)</f>
        <v>0</v>
      </c>
      <c r="G34" s="176" t="e">
        <f ca="1">ROUND(IF(E2="工业",C34*$M$39,C34*$M$38),0)</f>
        <v>#DIV/0!</v>
      </c>
      <c r="H34" s="176">
        <f t="shared" ref="H34:H39" si="8">D34</f>
        <v>0</v>
      </c>
      <c r="I34" s="176" t="e">
        <f t="shared" ref="I34:I39" ca="1" si="9">ROUND(G34*H34/10000,0)</f>
        <v>#DIV/0!</v>
      </c>
      <c r="J34" s="3417"/>
      <c r="K34" s="1271"/>
      <c r="L34" s="1271"/>
      <c r="M34" s="1271"/>
      <c r="N34" s="1271"/>
      <c r="O34" s="1276"/>
      <c r="P34" s="1276"/>
      <c r="Q34" s="1277"/>
      <c r="R34" s="1277"/>
      <c r="S34" s="1277"/>
      <c r="T34" s="1272"/>
      <c r="U34" s="1272"/>
      <c r="V34" s="1272"/>
      <c r="W34" s="1271"/>
      <c r="X34" s="1271"/>
      <c r="Y34" s="1271"/>
      <c r="Z34" s="1278"/>
      <c r="AA34" s="1278"/>
      <c r="AB34" s="1278"/>
      <c r="AC34" s="1278"/>
      <c r="AD34" s="1278"/>
      <c r="AE34" s="1272"/>
      <c r="AF34" s="1272"/>
      <c r="AG34" s="2325"/>
      <c r="AH34" s="2325"/>
      <c r="AI34" s="2325"/>
      <c r="AJ34" s="2325"/>
    </row>
    <row r="35" spans="1:37">
      <c r="A35" s="3417"/>
      <c r="B35" s="2214" t="s">
        <v>2736</v>
      </c>
      <c r="C35" s="180" t="e">
        <f ca="1">ROUND(D5*C19*C20*C24*F35,0)</f>
        <v>#DIV/0!</v>
      </c>
      <c r="D35" s="2281"/>
      <c r="E35" s="176" t="e">
        <f t="shared" ca="1" si="7"/>
        <v>#DIV/0!</v>
      </c>
      <c r="F35" s="176">
        <f>SUMIF(修正!A45:A56,G2,修正!D45:D56)</f>
        <v>0</v>
      </c>
      <c r="G35" s="176" t="e">
        <f ca="1">ROUND(IF(E2="工业",C35*$M$39,C35*$M$38),0)</f>
        <v>#DIV/0!</v>
      </c>
      <c r="H35" s="176">
        <f t="shared" si="8"/>
        <v>0</v>
      </c>
      <c r="I35" s="176" t="e">
        <f t="shared" ca="1" si="9"/>
        <v>#DIV/0!</v>
      </c>
      <c r="J35" s="3417"/>
      <c r="K35" s="1271"/>
      <c r="L35" s="1271"/>
      <c r="M35" s="1271"/>
      <c r="N35" s="1271"/>
      <c r="O35" s="1271"/>
      <c r="P35" s="1271"/>
      <c r="Q35" s="1271"/>
      <c r="R35" s="1271"/>
      <c r="S35" s="1271"/>
      <c r="T35" s="1271"/>
      <c r="U35" s="1271"/>
      <c r="V35" s="1271"/>
      <c r="W35" s="1271"/>
      <c r="X35" s="1271"/>
      <c r="Y35" s="1271"/>
      <c r="Z35" s="1272"/>
      <c r="AA35" s="1272"/>
      <c r="AB35" s="1272"/>
      <c r="AC35" s="1272"/>
      <c r="AD35" s="1272"/>
      <c r="AE35" s="1272"/>
      <c r="AF35" s="1272"/>
      <c r="AG35" s="2325"/>
      <c r="AH35" s="2325"/>
      <c r="AI35" s="2325"/>
      <c r="AJ35" s="2325"/>
    </row>
    <row r="36" spans="1:37" ht="13.5" thickBot="1">
      <c r="A36" s="3418"/>
      <c r="B36" s="2214" t="s">
        <v>2737</v>
      </c>
      <c r="C36" s="180" t="e">
        <f ca="1">ROUND(D5*C19*C20*C24*F36,0)</f>
        <v>#DIV/0!</v>
      </c>
      <c r="D36" s="2281"/>
      <c r="E36" s="176" t="e">
        <f t="shared" ca="1" si="7"/>
        <v>#DIV/0!</v>
      </c>
      <c r="F36" s="176">
        <f>SUMIF(修正!A45:A56,G2,修正!E45:E56)</f>
        <v>0</v>
      </c>
      <c r="G36" s="176" t="e">
        <f ca="1">ROUND(IF(E2="工业",C36*$M$39,C36*$M$38),0)</f>
        <v>#DIV/0!</v>
      </c>
      <c r="H36" s="176">
        <f t="shared" si="8"/>
        <v>0</v>
      </c>
      <c r="I36" s="176" t="e">
        <f t="shared" ca="1" si="9"/>
        <v>#DIV/0!</v>
      </c>
      <c r="J36" s="3418"/>
      <c r="K36" s="1271"/>
      <c r="L36" s="2168"/>
      <c r="M36" s="2168"/>
      <c r="N36" s="1271"/>
      <c r="O36" s="1271"/>
      <c r="P36" s="1271"/>
      <c r="Q36" s="1271"/>
      <c r="R36" s="1271"/>
      <c r="S36" s="1271"/>
      <c r="T36" s="1271"/>
      <c r="U36" s="1271"/>
      <c r="V36" s="1271"/>
      <c r="W36" s="1271"/>
      <c r="X36" s="1271"/>
      <c r="Y36" s="1271"/>
      <c r="Z36" s="1272"/>
      <c r="AA36" s="1272"/>
      <c r="AB36" s="1272"/>
      <c r="AC36" s="1272"/>
      <c r="AD36" s="1272"/>
      <c r="AE36" s="1272"/>
      <c r="AF36" s="1272"/>
      <c r="AG36" s="2325"/>
      <c r="AH36" s="2325"/>
      <c r="AI36" s="2325"/>
      <c r="AJ36" s="2325"/>
    </row>
    <row r="37" spans="1:37">
      <c r="A37" s="2299"/>
      <c r="B37" s="2214" t="s">
        <v>2738</v>
      </c>
      <c r="C37" s="176" t="e">
        <f ca="1">ROUND(D5*C19*C20*C24*F37,0)</f>
        <v>#DIV/0!</v>
      </c>
      <c r="D37" s="2281"/>
      <c r="E37" s="176" t="e">
        <f t="shared" ca="1" si="7"/>
        <v>#DIV/0!</v>
      </c>
      <c r="F37" s="180">
        <f>SUMIF(修正!A45:A56,G2,修正!F45:F56)</f>
        <v>0</v>
      </c>
      <c r="G37" s="176" t="e">
        <f ca="1">ROUND(IF(E2="工业",C37*$M$39,C37*$M$38),0)</f>
        <v>#DIV/0!</v>
      </c>
      <c r="H37" s="176">
        <f t="shared" si="8"/>
        <v>0</v>
      </c>
      <c r="I37" s="176" t="e">
        <f t="shared" ca="1" si="9"/>
        <v>#DIV/0!</v>
      </c>
      <c r="J37" s="2298"/>
      <c r="K37" s="1271"/>
      <c r="L37" s="2300" t="s">
        <v>2739</v>
      </c>
      <c r="M37" s="2301"/>
      <c r="N37" s="1271"/>
      <c r="O37" s="1271"/>
      <c r="P37" s="1271"/>
      <c r="Q37" s="1271"/>
      <c r="R37" s="1271"/>
      <c r="S37" s="1271"/>
      <c r="T37" s="1271"/>
      <c r="U37" s="1271"/>
      <c r="V37" s="1271"/>
      <c r="W37" s="1271"/>
      <c r="X37" s="1271"/>
      <c r="Y37" s="1271"/>
      <c r="Z37" s="1272"/>
      <c r="AA37" s="1272"/>
      <c r="AB37" s="1272"/>
      <c r="AC37" s="1272"/>
      <c r="AD37" s="1272"/>
      <c r="AE37" s="1272"/>
      <c r="AF37" s="1272"/>
      <c r="AG37" s="2325"/>
      <c r="AH37" s="2325"/>
      <c r="AI37" s="2325"/>
      <c r="AJ37" s="2325"/>
    </row>
    <row r="38" spans="1:37">
      <c r="A38" s="2299"/>
      <c r="B38" s="2214" t="s">
        <v>2740</v>
      </c>
      <c r="C38" s="176">
        <f ca="1">ROUND(D5*C19*C41*C24*F38,0)</f>
        <v>0</v>
      </c>
      <c r="D38" s="2281">
        <f>'数据-汇总表'!G20</f>
        <v>0</v>
      </c>
      <c r="E38" s="176">
        <f t="shared" ca="1" si="7"/>
        <v>0</v>
      </c>
      <c r="F38" s="180">
        <f>SUMIF(修正!A45:A56,G2,修正!G45:G56)</f>
        <v>0</v>
      </c>
      <c r="G38" s="176">
        <f ca="1">ROUND(IF(E2="工业",C38*$M$39,C38*$M$38),0)</f>
        <v>0</v>
      </c>
      <c r="H38" s="176">
        <f t="shared" si="8"/>
        <v>0</v>
      </c>
      <c r="I38" s="176">
        <f t="shared" ca="1" si="9"/>
        <v>0</v>
      </c>
      <c r="J38" s="2298"/>
      <c r="K38" s="1271"/>
      <c r="L38" s="1595" t="s">
        <v>2741</v>
      </c>
      <c r="M38" s="2302">
        <v>0.25</v>
      </c>
      <c r="N38" s="1271"/>
      <c r="O38" s="1271"/>
      <c r="P38" s="1271"/>
      <c r="Q38" s="1271"/>
      <c r="R38" s="1271"/>
      <c r="S38" s="1271"/>
      <c r="T38" s="1271"/>
      <c r="U38" s="1271"/>
      <c r="V38" s="1271"/>
      <c r="W38" s="1271"/>
      <c r="X38" s="1271"/>
      <c r="Y38" s="1271"/>
      <c r="Z38" s="1272"/>
      <c r="AA38" s="1272"/>
      <c r="AB38" s="1272"/>
      <c r="AC38" s="1272"/>
      <c r="AD38" s="1272"/>
    </row>
    <row r="39" spans="1:37" ht="13.5" thickBot="1">
      <c r="A39" s="2285"/>
      <c r="B39" s="2303" t="s">
        <v>2742</v>
      </c>
      <c r="C39" s="193">
        <f ca="1">ROUND(D5*C19*C41*C24*F39,0)</f>
        <v>0</v>
      </c>
      <c r="D39" s="2287">
        <f>'数据-汇总表'!G21</f>
        <v>0</v>
      </c>
      <c r="E39" s="193">
        <f t="shared" ca="1" si="7"/>
        <v>0</v>
      </c>
      <c r="F39" s="868">
        <f>SUMIF(修正!A45:A56,G2,修正!H45:H56)</f>
        <v>0</v>
      </c>
      <c r="G39" s="193">
        <f ca="1">ROUND(IF(E2="工业",C39*$M$39,C39*$M$38),0)</f>
        <v>0</v>
      </c>
      <c r="H39" s="193">
        <f t="shared" si="8"/>
        <v>0</v>
      </c>
      <c r="I39" s="193">
        <f t="shared" ca="1" si="9"/>
        <v>0</v>
      </c>
      <c r="J39" s="2304"/>
      <c r="K39" s="1271"/>
      <c r="L39" s="2305" t="s">
        <v>2687</v>
      </c>
      <c r="M39" s="2306">
        <v>0.15</v>
      </c>
      <c r="N39" s="1271"/>
      <c r="O39" s="1271"/>
      <c r="P39" s="1271"/>
      <c r="Q39" s="1271"/>
      <c r="R39" s="1271"/>
      <c r="S39" s="1271"/>
      <c r="T39" s="1271"/>
      <c r="U39" s="1271"/>
      <c r="V39" s="1271"/>
      <c r="W39" s="1271"/>
      <c r="X39" s="1271"/>
      <c r="Y39" s="1271"/>
      <c r="Z39" s="1272"/>
      <c r="AA39" s="1272"/>
      <c r="AB39" s="1272"/>
      <c r="AC39" s="1272"/>
      <c r="AD39" s="1272"/>
    </row>
    <row r="40" spans="1:37" s="1271" customFormat="1">
      <c r="Z40" s="1272"/>
      <c r="AA40" s="1272"/>
      <c r="AB40" s="1272"/>
      <c r="AC40" s="1272"/>
      <c r="AD40" s="1272"/>
      <c r="AE40" s="1272"/>
      <c r="AF40" s="1272"/>
      <c r="AG40" s="1272"/>
      <c r="AH40" s="1272"/>
      <c r="AI40" s="1272"/>
      <c r="AJ40" s="1272"/>
    </row>
    <row r="41" spans="1:37" s="1271" customFormat="1">
      <c r="A41" s="1272"/>
      <c r="B41" s="2354" t="s">
        <v>2847</v>
      </c>
      <c r="C41" s="348">
        <f ca="1">ROUND(POWER(1+E41,H41-G41)*(POWER(1+E41,G41)-1)/(POWER(1+E41,H41)-1),4)</f>
        <v>1.0539000000000001</v>
      </c>
      <c r="D41" s="176" t="s">
        <v>2694</v>
      </c>
      <c r="E41" s="2353">
        <f ca="1">G20</f>
        <v>0.05</v>
      </c>
      <c r="F41" s="176" t="s">
        <v>2703</v>
      </c>
      <c r="G41" s="189">
        <v>67</v>
      </c>
      <c r="H41" s="176">
        <v>50</v>
      </c>
      <c r="Z41" s="1272"/>
      <c r="AA41" s="1272"/>
      <c r="AB41" s="1272"/>
      <c r="AC41" s="1272"/>
      <c r="AD41" s="1272"/>
      <c r="AE41" s="1272"/>
      <c r="AF41" s="1272"/>
      <c r="AG41" s="1272"/>
      <c r="AH41" s="1272"/>
      <c r="AI41" s="1272"/>
      <c r="AJ41" s="1272"/>
    </row>
    <row r="42" spans="1:37" s="1271" customFormat="1">
      <c r="A42" s="1272"/>
      <c r="B42" s="2307"/>
      <c r="Z42" s="1272"/>
      <c r="AA42" s="1272"/>
      <c r="AB42" s="1272"/>
      <c r="AC42" s="1272"/>
      <c r="AD42" s="1272"/>
      <c r="AE42" s="1272"/>
      <c r="AF42" s="1272"/>
      <c r="AG42" s="1272"/>
      <c r="AH42" s="1272"/>
      <c r="AI42" s="1272"/>
      <c r="AJ42" s="1272"/>
    </row>
    <row r="43" spans="1:37" s="1271" customFormat="1">
      <c r="A43" s="1272"/>
      <c r="B43" s="2307"/>
      <c r="Z43" s="1272"/>
      <c r="AA43" s="1272"/>
      <c r="AB43" s="1272"/>
      <c r="AC43" s="1272"/>
      <c r="AD43" s="1272"/>
      <c r="AE43" s="1272"/>
      <c r="AF43" s="1272"/>
      <c r="AG43" s="1272"/>
      <c r="AH43" s="1272"/>
      <c r="AI43" s="1272"/>
      <c r="AJ43" s="1272"/>
    </row>
    <row r="44" spans="1:37" s="1271" customFormat="1">
      <c r="A44" s="1272"/>
      <c r="B44" s="2307"/>
      <c r="Z44" s="1272"/>
      <c r="AA44" s="1272"/>
      <c r="AB44" s="1272"/>
      <c r="AC44" s="1272"/>
      <c r="AD44" s="1272"/>
      <c r="AE44" s="1272"/>
      <c r="AF44" s="1272"/>
      <c r="AG44" s="1272"/>
      <c r="AH44" s="1272"/>
      <c r="AI44" s="1272"/>
      <c r="AJ44" s="1272"/>
    </row>
    <row r="45" spans="1:37" s="1271" customFormat="1" ht="15.75" thickBot="1">
      <c r="A45" s="2308" t="s">
        <v>2743</v>
      </c>
      <c r="B45" s="2309"/>
      <c r="C45" s="7"/>
      <c r="D45" s="7"/>
      <c r="E45" s="7"/>
      <c r="F45" s="6"/>
      <c r="G45" s="6"/>
      <c r="H45" s="6"/>
      <c r="I45" s="1996"/>
      <c r="J45" s="1996"/>
      <c r="K45" s="1996"/>
      <c r="L45" s="1996"/>
      <c r="M45" s="1996"/>
      <c r="Z45" s="1272"/>
      <c r="AA45" s="1272"/>
      <c r="AB45" s="1272"/>
      <c r="AC45" s="1272"/>
      <c r="AD45" s="1272"/>
      <c r="AE45" s="1272"/>
      <c r="AF45" s="1272"/>
      <c r="AG45" s="1272"/>
      <c r="AH45" s="1272"/>
      <c r="AI45" s="1272"/>
      <c r="AJ45" s="1272"/>
    </row>
    <row r="46" spans="1:37" s="1271" customFormat="1" ht="15" hidden="1">
      <c r="A46" s="2310" t="s">
        <v>2744</v>
      </c>
      <c r="B46" s="2311">
        <f>1+E48</f>
        <v>1</v>
      </c>
      <c r="C46" s="2312"/>
      <c r="D46" s="750"/>
      <c r="E46" s="751"/>
      <c r="F46" s="2313"/>
      <c r="G46" s="6"/>
      <c r="H46" s="7"/>
      <c r="I46" s="1996"/>
      <c r="J46" s="1996"/>
      <c r="K46" s="1996"/>
      <c r="L46" s="1996"/>
      <c r="M46" s="1996"/>
      <c r="Z46" s="1272"/>
      <c r="AA46" s="1272"/>
      <c r="AB46" s="1272"/>
      <c r="AC46" s="1272"/>
      <c r="AD46" s="1272"/>
      <c r="AE46" s="1272"/>
      <c r="AF46" s="1272"/>
      <c r="AG46" s="1272"/>
      <c r="AH46" s="1272"/>
      <c r="AI46" s="1272"/>
      <c r="AJ46" s="1272"/>
    </row>
    <row r="47" spans="1:37" s="1271" customFormat="1" ht="24.75" hidden="1">
      <c r="A47" s="2314" t="s">
        <v>2745</v>
      </c>
      <c r="B47" s="1525" t="s">
        <v>2746</v>
      </c>
      <c r="C47" s="1525" t="s">
        <v>2747</v>
      </c>
      <c r="D47" s="1525" t="s">
        <v>2748</v>
      </c>
      <c r="E47" s="755" t="s">
        <v>2749</v>
      </c>
      <c r="F47" s="2315" t="s">
        <v>2750</v>
      </c>
      <c r="G47" s="1525" t="s">
        <v>754</v>
      </c>
      <c r="H47" s="2316" t="s">
        <v>2751</v>
      </c>
      <c r="I47" s="1525" t="s">
        <v>2752</v>
      </c>
      <c r="J47" s="559" t="s">
        <v>2412</v>
      </c>
      <c r="K47" s="559" t="s">
        <v>2413</v>
      </c>
      <c r="L47" s="559" t="s">
        <v>2414</v>
      </c>
      <c r="M47" s="559" t="s">
        <v>2415</v>
      </c>
      <c r="N47" s="559" t="s">
        <v>2416</v>
      </c>
      <c r="AA47" s="1272"/>
      <c r="AB47" s="1272"/>
      <c r="AC47" s="1272"/>
      <c r="AD47" s="1272"/>
      <c r="AE47" s="1272"/>
      <c r="AF47" s="1272"/>
      <c r="AG47" s="1272"/>
      <c r="AH47" s="1272"/>
      <c r="AI47" s="1272"/>
      <c r="AJ47" s="1272"/>
      <c r="AK47" s="1272"/>
    </row>
    <row r="48" spans="1:37" s="1271" customFormat="1" ht="24.75" hidden="1">
      <c r="A48" s="2314" t="s">
        <v>2753</v>
      </c>
      <c r="B48" s="2317">
        <f>估价对象房地状况!C4</f>
        <v>0</v>
      </c>
      <c r="C48" s="2219"/>
      <c r="D48" s="1187">
        <f t="shared" ref="D48:D56" si="10">SUMIF($J$47:$N$47,C48,J48:N48)</f>
        <v>0</v>
      </c>
      <c r="E48" s="757">
        <f>ROUND(SUM(D48:D56),4)</f>
        <v>0</v>
      </c>
      <c r="F48" s="1989" t="str">
        <f>IF(E2="商业",SUMIF(L1:L12,G2,N1:N12),"——")</f>
        <v>——</v>
      </c>
      <c r="G48" s="1185"/>
      <c r="H48" s="1189" t="str">
        <f t="shared" ref="H48:H56" si="11">IFERROR(ROUNDDOWN($F$48*I48/2,4),"——")</f>
        <v>——</v>
      </c>
      <c r="I48" s="756">
        <v>0.33</v>
      </c>
      <c r="J48" s="1186">
        <f t="shared" ref="J48:J56" si="12">K48+$G48</f>
        <v>0</v>
      </c>
      <c r="K48" s="1186">
        <f t="shared" ref="K48:K56" si="13">$L48+$G48</f>
        <v>0</v>
      </c>
      <c r="L48" s="1186">
        <v>0</v>
      </c>
      <c r="M48" s="1186">
        <f t="shared" ref="M48:N56" si="14">L48-$G48</f>
        <v>0</v>
      </c>
      <c r="N48" s="1186">
        <f t="shared" si="14"/>
        <v>0</v>
      </c>
      <c r="AA48" s="1272"/>
      <c r="AB48" s="1272"/>
      <c r="AC48" s="1272"/>
      <c r="AD48" s="1272"/>
      <c r="AE48" s="1272"/>
      <c r="AF48" s="1272"/>
      <c r="AG48" s="1272"/>
      <c r="AH48" s="1272"/>
      <c r="AI48" s="1272"/>
      <c r="AJ48" s="1272"/>
      <c r="AK48" s="1272"/>
    </row>
    <row r="49" spans="1:37" s="1271" customFormat="1" ht="14.25" hidden="1">
      <c r="A49" s="2314" t="s">
        <v>2754</v>
      </c>
      <c r="B49" s="2318">
        <f>估价对象房地状况!C18</f>
        <v>0</v>
      </c>
      <c r="C49" s="2219"/>
      <c r="D49" s="1187">
        <f t="shared" si="10"/>
        <v>0</v>
      </c>
      <c r="E49" s="758"/>
      <c r="F49" s="1989"/>
      <c r="G49" s="1185"/>
      <c r="H49" s="1189" t="str">
        <f t="shared" si="11"/>
        <v>——</v>
      </c>
      <c r="I49" s="756">
        <v>0.25</v>
      </c>
      <c r="J49" s="1186">
        <f t="shared" si="12"/>
        <v>0</v>
      </c>
      <c r="K49" s="1186">
        <f t="shared" si="13"/>
        <v>0</v>
      </c>
      <c r="L49" s="1186">
        <v>0</v>
      </c>
      <c r="M49" s="1186">
        <f t="shared" si="14"/>
        <v>0</v>
      </c>
      <c r="N49" s="1186">
        <f t="shared" si="14"/>
        <v>0</v>
      </c>
      <c r="AA49" s="1272"/>
      <c r="AB49" s="1272"/>
      <c r="AC49" s="1272"/>
      <c r="AD49" s="1272"/>
      <c r="AE49" s="1272"/>
      <c r="AF49" s="1272"/>
      <c r="AG49" s="1272"/>
      <c r="AH49" s="1272"/>
      <c r="AI49" s="1272"/>
      <c r="AJ49" s="1272"/>
      <c r="AK49" s="1272"/>
    </row>
    <row r="50" spans="1:37" s="1271" customFormat="1" ht="24" hidden="1">
      <c r="A50" s="2314" t="s">
        <v>2755</v>
      </c>
      <c r="B50" s="2318" t="str">
        <f>估价对象房地状况!C19</f>
        <v>一致</v>
      </c>
      <c r="C50" s="2219"/>
      <c r="D50" s="1187">
        <f t="shared" si="10"/>
        <v>0</v>
      </c>
      <c r="E50" s="758"/>
      <c r="F50" s="1989"/>
      <c r="G50" s="1185"/>
      <c r="H50" s="1189" t="str">
        <f t="shared" si="11"/>
        <v>——</v>
      </c>
      <c r="I50" s="756">
        <v>0.05</v>
      </c>
      <c r="J50" s="1186">
        <f t="shared" si="12"/>
        <v>0</v>
      </c>
      <c r="K50" s="1186">
        <f t="shared" si="13"/>
        <v>0</v>
      </c>
      <c r="L50" s="1186">
        <v>0</v>
      </c>
      <c r="M50" s="1186">
        <f t="shared" si="14"/>
        <v>0</v>
      </c>
      <c r="N50" s="1186">
        <f t="shared" si="14"/>
        <v>0</v>
      </c>
      <c r="AA50" s="1272"/>
      <c r="AB50" s="1272"/>
      <c r="AC50" s="1272"/>
      <c r="AD50" s="1272"/>
      <c r="AE50" s="1272"/>
      <c r="AF50" s="1272"/>
      <c r="AG50" s="1272"/>
      <c r="AH50" s="1272"/>
      <c r="AI50" s="1272"/>
      <c r="AJ50" s="1272"/>
      <c r="AK50" s="1272"/>
    </row>
    <row r="51" spans="1:37" s="1271" customFormat="1" ht="36.75" hidden="1">
      <c r="A51" s="2314" t="s">
        <v>2756</v>
      </c>
      <c r="B51" s="2319" t="s">
        <v>2757</v>
      </c>
      <c r="C51" s="2219"/>
      <c r="D51" s="1187">
        <f t="shared" si="10"/>
        <v>0</v>
      </c>
      <c r="E51" s="758"/>
      <c r="F51" s="1989"/>
      <c r="G51" s="1185"/>
      <c r="H51" s="1189" t="str">
        <f t="shared" si="11"/>
        <v>——</v>
      </c>
      <c r="I51" s="756">
        <v>0.05</v>
      </c>
      <c r="J51" s="1186">
        <f t="shared" si="12"/>
        <v>0</v>
      </c>
      <c r="K51" s="1186">
        <f t="shared" si="13"/>
        <v>0</v>
      </c>
      <c r="L51" s="1186">
        <v>0</v>
      </c>
      <c r="M51" s="1186">
        <f t="shared" si="14"/>
        <v>0</v>
      </c>
      <c r="N51" s="1186">
        <f t="shared" si="14"/>
        <v>0</v>
      </c>
      <c r="AA51" s="1272"/>
      <c r="AB51" s="1272"/>
      <c r="AC51" s="1272"/>
      <c r="AD51" s="1272"/>
      <c r="AE51" s="1272"/>
      <c r="AF51" s="1272"/>
      <c r="AG51" s="1272"/>
      <c r="AH51" s="1272"/>
      <c r="AI51" s="1272"/>
      <c r="AJ51" s="1272"/>
      <c r="AK51" s="1272"/>
    </row>
    <row r="52" spans="1:37" s="1271" customFormat="1" ht="24" hidden="1">
      <c r="A52" s="2314" t="s">
        <v>2758</v>
      </c>
      <c r="B52" s="2318">
        <f>估价对象房地状况!C24</f>
        <v>0</v>
      </c>
      <c r="C52" s="2219"/>
      <c r="D52" s="1187">
        <f t="shared" si="10"/>
        <v>0</v>
      </c>
      <c r="E52" s="758"/>
      <c r="F52" s="1989"/>
      <c r="G52" s="1185"/>
      <c r="H52" s="1189" t="str">
        <f t="shared" si="11"/>
        <v>——</v>
      </c>
      <c r="I52" s="756">
        <v>0.08</v>
      </c>
      <c r="J52" s="1186">
        <f t="shared" si="12"/>
        <v>0</v>
      </c>
      <c r="K52" s="1186">
        <f t="shared" si="13"/>
        <v>0</v>
      </c>
      <c r="L52" s="1186">
        <v>0</v>
      </c>
      <c r="M52" s="1186">
        <f t="shared" si="14"/>
        <v>0</v>
      </c>
      <c r="N52" s="1186">
        <f t="shared" si="14"/>
        <v>0</v>
      </c>
      <c r="AA52" s="1272"/>
      <c r="AB52" s="1272"/>
      <c r="AC52" s="1272"/>
      <c r="AD52" s="1272"/>
      <c r="AE52" s="1272"/>
      <c r="AF52" s="1272"/>
      <c r="AG52" s="1272"/>
      <c r="AH52" s="1272"/>
      <c r="AI52" s="1272"/>
      <c r="AJ52" s="1272"/>
      <c r="AK52" s="1272"/>
    </row>
    <row r="53" spans="1:37" s="1271" customFormat="1" ht="24" hidden="1">
      <c r="A53" s="2314" t="s">
        <v>2759</v>
      </c>
      <c r="B53" s="2320" t="s">
        <v>2760</v>
      </c>
      <c r="C53" s="2219"/>
      <c r="D53" s="1187">
        <f t="shared" si="10"/>
        <v>0</v>
      </c>
      <c r="E53" s="758"/>
      <c r="F53" s="1989"/>
      <c r="G53" s="1185"/>
      <c r="H53" s="1189" t="str">
        <f t="shared" si="11"/>
        <v>——</v>
      </c>
      <c r="I53" s="756">
        <v>0.03</v>
      </c>
      <c r="J53" s="1186">
        <f t="shared" si="12"/>
        <v>0</v>
      </c>
      <c r="K53" s="1186">
        <f t="shared" si="13"/>
        <v>0</v>
      </c>
      <c r="L53" s="1186">
        <v>0</v>
      </c>
      <c r="M53" s="1186">
        <f t="shared" si="14"/>
        <v>0</v>
      </c>
      <c r="N53" s="1186">
        <f t="shared" si="14"/>
        <v>0</v>
      </c>
      <c r="AA53" s="1272"/>
      <c r="AB53" s="1272"/>
      <c r="AC53" s="1272"/>
      <c r="AD53" s="1272"/>
      <c r="AE53" s="1272"/>
      <c r="AF53" s="1272"/>
      <c r="AG53" s="1272"/>
      <c r="AH53" s="1272"/>
      <c r="AI53" s="1272"/>
      <c r="AJ53" s="1272"/>
      <c r="AK53" s="1272"/>
    </row>
    <row r="54" spans="1:37" s="1271" customFormat="1" ht="24" hidden="1">
      <c r="A54" s="2321" t="s">
        <v>2761</v>
      </c>
      <c r="B54" s="1484">
        <f>估价对象房地状况!C21</f>
        <v>0</v>
      </c>
      <c r="C54" s="2219"/>
      <c r="D54" s="1187">
        <f t="shared" si="10"/>
        <v>0</v>
      </c>
      <c r="E54" s="758"/>
      <c r="F54" s="1989"/>
      <c r="G54" s="1185"/>
      <c r="H54" s="1189" t="str">
        <f t="shared" si="11"/>
        <v>——</v>
      </c>
      <c r="I54" s="756">
        <v>0.05</v>
      </c>
      <c r="J54" s="1186">
        <f t="shared" si="12"/>
        <v>0</v>
      </c>
      <c r="K54" s="1186">
        <f t="shared" si="13"/>
        <v>0</v>
      </c>
      <c r="L54" s="1186">
        <v>0</v>
      </c>
      <c r="M54" s="1186">
        <f t="shared" si="14"/>
        <v>0</v>
      </c>
      <c r="N54" s="1186">
        <f t="shared" si="14"/>
        <v>0</v>
      </c>
      <c r="AA54" s="1272"/>
      <c r="AB54" s="1272"/>
      <c r="AC54" s="1272"/>
      <c r="AD54" s="1272"/>
      <c r="AE54" s="1272"/>
      <c r="AF54" s="1272"/>
      <c r="AG54" s="1272"/>
      <c r="AH54" s="1272"/>
      <c r="AI54" s="1272"/>
      <c r="AJ54" s="1272"/>
      <c r="AK54" s="1272"/>
    </row>
    <row r="55" spans="1:37" s="1271" customFormat="1" ht="24" hidden="1">
      <c r="A55" s="2321" t="s">
        <v>2762</v>
      </c>
      <c r="B55" s="2318">
        <f>估价对象房地状况!C22</f>
        <v>0</v>
      </c>
      <c r="C55" s="2219"/>
      <c r="D55" s="1187">
        <f t="shared" si="10"/>
        <v>0</v>
      </c>
      <c r="E55" s="758"/>
      <c r="F55" s="1989"/>
      <c r="G55" s="1185"/>
      <c r="H55" s="1189" t="str">
        <f t="shared" si="11"/>
        <v>——</v>
      </c>
      <c r="I55" s="756">
        <v>0.1</v>
      </c>
      <c r="J55" s="1186">
        <f t="shared" si="12"/>
        <v>0</v>
      </c>
      <c r="K55" s="1186">
        <f t="shared" si="13"/>
        <v>0</v>
      </c>
      <c r="L55" s="1186">
        <v>0</v>
      </c>
      <c r="M55" s="1186">
        <f t="shared" si="14"/>
        <v>0</v>
      </c>
      <c r="N55" s="1186">
        <f t="shared" si="14"/>
        <v>0</v>
      </c>
      <c r="AA55" s="1272"/>
      <c r="AB55" s="1272"/>
      <c r="AC55" s="1272"/>
      <c r="AD55" s="1272"/>
      <c r="AE55" s="1272"/>
      <c r="AF55" s="1272"/>
      <c r="AG55" s="1272"/>
      <c r="AH55" s="1272"/>
      <c r="AI55" s="1272"/>
      <c r="AJ55" s="1272"/>
      <c r="AK55" s="1272"/>
    </row>
    <row r="56" spans="1:37" s="1271" customFormat="1" ht="24.75" hidden="1" thickBot="1">
      <c r="A56" s="2322" t="s">
        <v>2763</v>
      </c>
      <c r="B56" s="2323">
        <f>估价对象房地状况!C20</f>
        <v>0</v>
      </c>
      <c r="C56" s="2219"/>
      <c r="D56" s="1187">
        <f t="shared" si="10"/>
        <v>0</v>
      </c>
      <c r="E56" s="761"/>
      <c r="F56" s="1989"/>
      <c r="G56" s="1185"/>
      <c r="H56" s="1189" t="str">
        <f t="shared" si="11"/>
        <v>——</v>
      </c>
      <c r="I56" s="760">
        <v>0.06</v>
      </c>
      <c r="J56" s="1186">
        <f t="shared" si="12"/>
        <v>0</v>
      </c>
      <c r="K56" s="1186">
        <f t="shared" si="13"/>
        <v>0</v>
      </c>
      <c r="L56" s="1186">
        <v>0</v>
      </c>
      <c r="M56" s="1186">
        <f t="shared" si="14"/>
        <v>0</v>
      </c>
      <c r="N56" s="1186">
        <f t="shared" si="14"/>
        <v>0</v>
      </c>
      <c r="AA56" s="1272"/>
      <c r="AB56" s="1272"/>
      <c r="AC56" s="1272"/>
      <c r="AD56" s="1272"/>
      <c r="AE56" s="1272"/>
      <c r="AF56" s="1272"/>
      <c r="AG56" s="1272"/>
      <c r="AH56" s="1272"/>
      <c r="AI56" s="1272"/>
      <c r="AJ56" s="1272"/>
      <c r="AK56" s="1272"/>
    </row>
    <row r="57" spans="1:37" s="1271" customFormat="1" ht="15" hidden="1">
      <c r="A57" s="2310" t="s">
        <v>2764</v>
      </c>
      <c r="B57" s="2311">
        <f>1+E59</f>
        <v>1</v>
      </c>
      <c r="C57" s="750"/>
      <c r="D57" s="750"/>
      <c r="E57" s="751"/>
      <c r="F57" s="2313"/>
      <c r="G57" s="6"/>
      <c r="H57" s="6"/>
      <c r="I57" s="6"/>
      <c r="J57" s="7"/>
      <c r="K57" s="7"/>
      <c r="L57" s="7"/>
      <c r="M57" s="7"/>
      <c r="N57" s="7"/>
      <c r="AA57" s="1272"/>
      <c r="AB57" s="1272"/>
      <c r="AC57" s="1272"/>
      <c r="AD57" s="1272"/>
      <c r="AE57" s="1272"/>
      <c r="AF57" s="1272"/>
      <c r="AG57" s="1272"/>
      <c r="AH57" s="1272"/>
      <c r="AI57" s="1272"/>
      <c r="AJ57" s="1272"/>
      <c r="AK57" s="1272"/>
    </row>
    <row r="58" spans="1:37" s="1271" customFormat="1" ht="24.75" hidden="1">
      <c r="A58" s="2314" t="s">
        <v>2745</v>
      </c>
      <c r="B58" s="1525"/>
      <c r="C58" s="1525" t="s">
        <v>2747</v>
      </c>
      <c r="D58" s="1525" t="s">
        <v>2748</v>
      </c>
      <c r="E58" s="755" t="s">
        <v>2749</v>
      </c>
      <c r="F58" s="2315" t="s">
        <v>2765</v>
      </c>
      <c r="G58" s="1525" t="s">
        <v>754</v>
      </c>
      <c r="H58" s="2316" t="s">
        <v>2751</v>
      </c>
      <c r="I58" s="1525" t="s">
        <v>2752</v>
      </c>
      <c r="J58" s="559" t="s">
        <v>2412</v>
      </c>
      <c r="K58" s="559" t="s">
        <v>2413</v>
      </c>
      <c r="L58" s="559" t="s">
        <v>2414</v>
      </c>
      <c r="M58" s="559" t="s">
        <v>2415</v>
      </c>
      <c r="N58" s="559" t="s">
        <v>2416</v>
      </c>
      <c r="AA58" s="1272"/>
      <c r="AB58" s="1272"/>
      <c r="AC58" s="1272"/>
      <c r="AD58" s="1272"/>
      <c r="AE58" s="1272"/>
      <c r="AF58" s="1272"/>
      <c r="AG58" s="1272"/>
      <c r="AH58" s="1272"/>
      <c r="AI58" s="1272"/>
      <c r="AJ58" s="1272"/>
      <c r="AK58" s="1272"/>
    </row>
    <row r="59" spans="1:37" s="1271" customFormat="1" ht="24" hidden="1">
      <c r="A59" s="2314" t="s">
        <v>2766</v>
      </c>
      <c r="B59" s="2317">
        <f>估价对象房地状况!C17</f>
        <v>0</v>
      </c>
      <c r="C59" s="2219"/>
      <c r="D59" s="1187">
        <f t="shared" ref="D59:D67" si="15">SUMIF($J$58:$N$58,C59,J59:N59)</f>
        <v>0</v>
      </c>
      <c r="E59" s="757">
        <f>ROUND(SUM(D59:D67),4)</f>
        <v>0</v>
      </c>
      <c r="F59" s="1989" t="str">
        <f>IF(E2="办公",SUMIF(L1:L12,G2,N1:N12),"——")</f>
        <v>——</v>
      </c>
      <c r="G59" s="1185"/>
      <c r="H59" s="1189" t="str">
        <f t="shared" ref="H59:H67" si="16">IFERROR(ROUNDDOWN($F$59*I59/2,4),"——")</f>
        <v>——</v>
      </c>
      <c r="I59" s="756">
        <v>0.24</v>
      </c>
      <c r="J59" s="1186">
        <f t="shared" ref="J59:J67" si="17">K59+$G59</f>
        <v>0</v>
      </c>
      <c r="K59" s="1186">
        <f t="shared" ref="K59:K67" si="18">$L59+$G59</f>
        <v>0</v>
      </c>
      <c r="L59" s="1186">
        <v>0</v>
      </c>
      <c r="M59" s="1186">
        <f t="shared" ref="M59:N67" si="19">L59-$G59</f>
        <v>0</v>
      </c>
      <c r="N59" s="1186">
        <f t="shared" si="19"/>
        <v>0</v>
      </c>
      <c r="AA59" s="1272"/>
      <c r="AB59" s="1272"/>
      <c r="AC59" s="1272"/>
      <c r="AD59" s="1272"/>
      <c r="AE59" s="1272"/>
      <c r="AF59" s="1272"/>
      <c r="AG59" s="1272"/>
      <c r="AH59" s="1272"/>
      <c r="AI59" s="1272"/>
      <c r="AJ59" s="1272"/>
      <c r="AK59" s="1272"/>
    </row>
    <row r="60" spans="1:37" s="1271" customFormat="1" ht="14.25" hidden="1">
      <c r="A60" s="2314" t="s">
        <v>2754</v>
      </c>
      <c r="B60" s="2318">
        <f>估价对象房地状况!C18</f>
        <v>0</v>
      </c>
      <c r="C60" s="2219"/>
      <c r="D60" s="1187">
        <f t="shared" si="15"/>
        <v>0</v>
      </c>
      <c r="E60" s="758"/>
      <c r="F60" s="1989"/>
      <c r="G60" s="1185"/>
      <c r="H60" s="1189" t="str">
        <f t="shared" si="16"/>
        <v>——</v>
      </c>
      <c r="I60" s="756">
        <v>0.3</v>
      </c>
      <c r="J60" s="1186">
        <f t="shared" si="17"/>
        <v>0</v>
      </c>
      <c r="K60" s="1186">
        <f t="shared" si="18"/>
        <v>0</v>
      </c>
      <c r="L60" s="1186">
        <v>0</v>
      </c>
      <c r="M60" s="1186">
        <f t="shared" si="19"/>
        <v>0</v>
      </c>
      <c r="N60" s="1186">
        <f t="shared" si="19"/>
        <v>0</v>
      </c>
      <c r="AA60" s="1272"/>
      <c r="AB60" s="1272"/>
      <c r="AC60" s="1272"/>
      <c r="AD60" s="1272"/>
      <c r="AE60" s="1272"/>
      <c r="AF60" s="1272"/>
      <c r="AG60" s="1272"/>
      <c r="AH60" s="1272"/>
      <c r="AI60" s="1272"/>
      <c r="AJ60" s="1272"/>
      <c r="AK60" s="1272"/>
    </row>
    <row r="61" spans="1:37" s="1271" customFormat="1" ht="24" hidden="1">
      <c r="A61" s="2314" t="s">
        <v>2755</v>
      </c>
      <c r="B61" s="2318" t="str">
        <f>估价对象房地状况!C19</f>
        <v>一致</v>
      </c>
      <c r="C61" s="2219"/>
      <c r="D61" s="1187">
        <f t="shared" si="15"/>
        <v>0</v>
      </c>
      <c r="E61" s="758"/>
      <c r="F61" s="1989"/>
      <c r="G61" s="1185"/>
      <c r="H61" s="1189" t="str">
        <f t="shared" si="16"/>
        <v>——</v>
      </c>
      <c r="I61" s="756">
        <v>0.08</v>
      </c>
      <c r="J61" s="1186">
        <f t="shared" si="17"/>
        <v>0</v>
      </c>
      <c r="K61" s="1186">
        <f t="shared" si="18"/>
        <v>0</v>
      </c>
      <c r="L61" s="1186">
        <v>0</v>
      </c>
      <c r="M61" s="1186">
        <f t="shared" si="19"/>
        <v>0</v>
      </c>
      <c r="N61" s="1186">
        <f t="shared" si="19"/>
        <v>0</v>
      </c>
      <c r="AA61" s="1272"/>
      <c r="AB61" s="1272"/>
      <c r="AC61" s="1272"/>
      <c r="AD61" s="1272"/>
      <c r="AE61" s="1272"/>
      <c r="AF61" s="1272"/>
      <c r="AG61" s="1272"/>
      <c r="AH61" s="1272"/>
      <c r="AI61" s="1272"/>
      <c r="AJ61" s="1272"/>
      <c r="AK61" s="1272"/>
    </row>
    <row r="62" spans="1:37" s="1271" customFormat="1" ht="36.75" hidden="1">
      <c r="A62" s="2314" t="s">
        <v>2756</v>
      </c>
      <c r="B62" s="2319" t="s">
        <v>2757</v>
      </c>
      <c r="C62" s="2219"/>
      <c r="D62" s="1187">
        <f t="shared" si="15"/>
        <v>0</v>
      </c>
      <c r="E62" s="758"/>
      <c r="F62" s="1989"/>
      <c r="G62" s="1185"/>
      <c r="H62" s="1189" t="str">
        <f t="shared" si="16"/>
        <v>——</v>
      </c>
      <c r="I62" s="756">
        <v>0.04</v>
      </c>
      <c r="J62" s="1186">
        <f t="shared" si="17"/>
        <v>0</v>
      </c>
      <c r="K62" s="1186">
        <f t="shared" si="18"/>
        <v>0</v>
      </c>
      <c r="L62" s="1186">
        <v>0</v>
      </c>
      <c r="M62" s="1186">
        <f t="shared" si="19"/>
        <v>0</v>
      </c>
      <c r="N62" s="1186">
        <f t="shared" si="19"/>
        <v>0</v>
      </c>
      <c r="AA62" s="1272"/>
      <c r="AB62" s="1272"/>
      <c r="AC62" s="1272"/>
      <c r="AD62" s="1272"/>
      <c r="AE62" s="1272"/>
      <c r="AF62" s="1272"/>
      <c r="AG62" s="1272"/>
      <c r="AH62" s="1272"/>
      <c r="AI62" s="1272"/>
      <c r="AJ62" s="1272"/>
      <c r="AK62" s="1272"/>
    </row>
    <row r="63" spans="1:37" s="1271" customFormat="1" ht="24" hidden="1">
      <c r="A63" s="2314" t="s">
        <v>2758</v>
      </c>
      <c r="B63" s="2318">
        <f>估价对象房地状况!C24</f>
        <v>0</v>
      </c>
      <c r="C63" s="2219"/>
      <c r="D63" s="1187">
        <f t="shared" si="15"/>
        <v>0</v>
      </c>
      <c r="E63" s="758"/>
      <c r="F63" s="1989"/>
      <c r="G63" s="1185"/>
      <c r="H63" s="1189" t="str">
        <f t="shared" si="16"/>
        <v>——</v>
      </c>
      <c r="I63" s="756">
        <v>0.05</v>
      </c>
      <c r="J63" s="1186">
        <f t="shared" si="17"/>
        <v>0</v>
      </c>
      <c r="K63" s="1186">
        <f t="shared" si="18"/>
        <v>0</v>
      </c>
      <c r="L63" s="1186">
        <v>0</v>
      </c>
      <c r="M63" s="1186">
        <f t="shared" si="19"/>
        <v>0</v>
      </c>
      <c r="N63" s="1186">
        <f t="shared" si="19"/>
        <v>0</v>
      </c>
      <c r="AA63" s="1272"/>
      <c r="AB63" s="1272"/>
      <c r="AC63" s="1272"/>
      <c r="AD63" s="1272"/>
      <c r="AE63" s="1272"/>
      <c r="AF63" s="1272"/>
      <c r="AG63" s="1272"/>
      <c r="AH63" s="1272"/>
      <c r="AI63" s="1272"/>
      <c r="AJ63" s="1272"/>
      <c r="AK63" s="1272"/>
    </row>
    <row r="64" spans="1:37" s="1271" customFormat="1" ht="24" hidden="1">
      <c r="A64" s="2314" t="s">
        <v>2759</v>
      </c>
      <c r="B64" s="2320" t="s">
        <v>2760</v>
      </c>
      <c r="C64" s="2219"/>
      <c r="D64" s="1187">
        <f t="shared" si="15"/>
        <v>0</v>
      </c>
      <c r="E64" s="758"/>
      <c r="F64" s="1989"/>
      <c r="G64" s="1185"/>
      <c r="H64" s="1189" t="str">
        <f t="shared" si="16"/>
        <v>——</v>
      </c>
      <c r="I64" s="756">
        <v>0.05</v>
      </c>
      <c r="J64" s="1186">
        <f t="shared" si="17"/>
        <v>0</v>
      </c>
      <c r="K64" s="1186">
        <f t="shared" si="18"/>
        <v>0</v>
      </c>
      <c r="L64" s="1186">
        <v>0</v>
      </c>
      <c r="M64" s="1186">
        <f t="shared" si="19"/>
        <v>0</v>
      </c>
      <c r="N64" s="1186">
        <f t="shared" si="19"/>
        <v>0</v>
      </c>
      <c r="AA64" s="1272"/>
      <c r="AB64" s="1272"/>
      <c r="AC64" s="1272"/>
      <c r="AD64" s="1272"/>
      <c r="AE64" s="1272"/>
      <c r="AF64" s="1272"/>
      <c r="AG64" s="1272"/>
      <c r="AH64" s="1272"/>
      <c r="AI64" s="1272"/>
      <c r="AJ64" s="1272"/>
      <c r="AK64" s="1272"/>
    </row>
    <row r="65" spans="1:37" s="1271" customFormat="1" ht="24" hidden="1">
      <c r="A65" s="2314" t="s">
        <v>2761</v>
      </c>
      <c r="B65" s="1484">
        <f>估价对象房地状况!C21</f>
        <v>0</v>
      </c>
      <c r="C65" s="2219"/>
      <c r="D65" s="1187">
        <f t="shared" si="15"/>
        <v>0</v>
      </c>
      <c r="E65" s="758"/>
      <c r="F65" s="1989"/>
      <c r="G65" s="1185"/>
      <c r="H65" s="1189" t="str">
        <f t="shared" si="16"/>
        <v>——</v>
      </c>
      <c r="I65" s="756">
        <v>0.06</v>
      </c>
      <c r="J65" s="1186">
        <f t="shared" si="17"/>
        <v>0</v>
      </c>
      <c r="K65" s="1186">
        <f t="shared" si="18"/>
        <v>0</v>
      </c>
      <c r="L65" s="1186">
        <v>0</v>
      </c>
      <c r="M65" s="1186">
        <f t="shared" si="19"/>
        <v>0</v>
      </c>
      <c r="N65" s="1186">
        <f t="shared" si="19"/>
        <v>0</v>
      </c>
      <c r="AA65" s="1272"/>
      <c r="AB65" s="1272"/>
      <c r="AC65" s="1272"/>
      <c r="AD65" s="1272"/>
      <c r="AE65" s="1272"/>
      <c r="AF65" s="1272"/>
      <c r="AG65" s="1272"/>
      <c r="AH65" s="1272"/>
      <c r="AI65" s="1272"/>
      <c r="AJ65" s="1272"/>
      <c r="AK65" s="1272"/>
    </row>
    <row r="66" spans="1:37" s="1271" customFormat="1" ht="24" hidden="1">
      <c r="A66" s="2314" t="s">
        <v>2762</v>
      </c>
      <c r="B66" s="1484">
        <f>估价对象房地状况!C22</f>
        <v>0</v>
      </c>
      <c r="C66" s="2219"/>
      <c r="D66" s="1187">
        <f t="shared" si="15"/>
        <v>0</v>
      </c>
      <c r="E66" s="758"/>
      <c r="F66" s="1989"/>
      <c r="G66" s="1185"/>
      <c r="H66" s="1189" t="str">
        <f t="shared" si="16"/>
        <v>——</v>
      </c>
      <c r="I66" s="756">
        <v>0.12</v>
      </c>
      <c r="J66" s="1186">
        <f t="shared" si="17"/>
        <v>0</v>
      </c>
      <c r="K66" s="1186">
        <f t="shared" si="18"/>
        <v>0</v>
      </c>
      <c r="L66" s="1186">
        <v>0</v>
      </c>
      <c r="M66" s="1186">
        <f t="shared" si="19"/>
        <v>0</v>
      </c>
      <c r="N66" s="1186">
        <f t="shared" si="19"/>
        <v>0</v>
      </c>
      <c r="AA66" s="1272"/>
      <c r="AB66" s="1272"/>
      <c r="AC66" s="1272"/>
      <c r="AD66" s="1272"/>
      <c r="AE66" s="1272"/>
      <c r="AF66" s="1272"/>
      <c r="AG66" s="1272"/>
      <c r="AH66" s="1272"/>
      <c r="AI66" s="1272"/>
      <c r="AJ66" s="1272"/>
      <c r="AK66" s="1272"/>
    </row>
    <row r="67" spans="1:37" s="1271" customFormat="1" ht="24.75" hidden="1" thickBot="1">
      <c r="A67" s="2322" t="s">
        <v>2763</v>
      </c>
      <c r="B67" s="2324">
        <f>估价对象房地状况!C20</f>
        <v>0</v>
      </c>
      <c r="C67" s="2219"/>
      <c r="D67" s="1187">
        <f t="shared" si="15"/>
        <v>0</v>
      </c>
      <c r="E67" s="761"/>
      <c r="F67" s="1989"/>
      <c r="G67" s="1185"/>
      <c r="H67" s="1189" t="str">
        <f t="shared" si="16"/>
        <v>——</v>
      </c>
      <c r="I67" s="760">
        <v>0.06</v>
      </c>
      <c r="J67" s="1186">
        <f t="shared" si="17"/>
        <v>0</v>
      </c>
      <c r="K67" s="1186">
        <f t="shared" si="18"/>
        <v>0</v>
      </c>
      <c r="L67" s="1186">
        <v>0</v>
      </c>
      <c r="M67" s="1186">
        <f t="shared" si="19"/>
        <v>0</v>
      </c>
      <c r="N67" s="1186">
        <f t="shared" si="19"/>
        <v>0</v>
      </c>
      <c r="AA67" s="1272"/>
      <c r="AB67" s="1272"/>
      <c r="AC67" s="1272"/>
      <c r="AD67" s="1272"/>
      <c r="AE67" s="1272"/>
      <c r="AF67" s="1272"/>
      <c r="AG67" s="1272"/>
      <c r="AH67" s="1272"/>
      <c r="AI67" s="1272"/>
      <c r="AJ67" s="1272"/>
      <c r="AK67" s="1272"/>
    </row>
    <row r="68" spans="1:37" s="1271" customFormat="1" ht="15">
      <c r="A68" s="2310" t="s">
        <v>2767</v>
      </c>
      <c r="B68" s="2311">
        <f>1+E70</f>
        <v>1.0289999999999999</v>
      </c>
      <c r="C68" s="750"/>
      <c r="D68" s="750"/>
      <c r="E68" s="751"/>
      <c r="F68" s="2313"/>
      <c r="G68" s="6"/>
      <c r="H68" s="6"/>
      <c r="I68" s="6"/>
      <c r="J68" s="7"/>
      <c r="K68" s="7"/>
      <c r="L68" s="7"/>
      <c r="M68" s="7"/>
      <c r="N68" s="7"/>
      <c r="AA68" s="1272"/>
      <c r="AB68" s="1272"/>
      <c r="AC68" s="1272"/>
      <c r="AD68" s="1272"/>
      <c r="AE68" s="1272"/>
      <c r="AF68" s="1272"/>
      <c r="AG68" s="1272"/>
      <c r="AH68" s="1272"/>
      <c r="AI68" s="1272"/>
      <c r="AJ68" s="1272"/>
      <c r="AK68" s="1272"/>
    </row>
    <row r="69" spans="1:37" s="1271" customFormat="1" ht="24.75">
      <c r="A69" s="2314" t="s">
        <v>2745</v>
      </c>
      <c r="B69" s="1525"/>
      <c r="C69" s="1525" t="s">
        <v>2747</v>
      </c>
      <c r="D69" s="1525" t="s">
        <v>2748</v>
      </c>
      <c r="E69" s="755" t="s">
        <v>2749</v>
      </c>
      <c r="F69" s="2315" t="s">
        <v>2765</v>
      </c>
      <c r="G69" s="1525" t="s">
        <v>754</v>
      </c>
      <c r="H69" s="2316" t="s">
        <v>2751</v>
      </c>
      <c r="I69" s="1525" t="s">
        <v>2752</v>
      </c>
      <c r="J69" s="559" t="s">
        <v>2412</v>
      </c>
      <c r="K69" s="559" t="s">
        <v>2413</v>
      </c>
      <c r="L69" s="559" t="s">
        <v>2414</v>
      </c>
      <c r="M69" s="559" t="s">
        <v>2415</v>
      </c>
      <c r="N69" s="559" t="s">
        <v>2416</v>
      </c>
      <c r="AA69" s="1272"/>
      <c r="AB69" s="1272"/>
      <c r="AC69" s="1272"/>
      <c r="AD69" s="1272"/>
      <c r="AE69" s="1272"/>
      <c r="AF69" s="1272"/>
      <c r="AG69" s="1272"/>
      <c r="AH69" s="1272"/>
      <c r="AI69" s="1272"/>
      <c r="AJ69" s="1272"/>
      <c r="AK69" s="1272"/>
    </row>
    <row r="70" spans="1:37" s="1271" customFormat="1" ht="24">
      <c r="A70" s="2314" t="s">
        <v>2768</v>
      </c>
      <c r="B70" s="2317">
        <f>估价对象房地状况!C15</f>
        <v>0</v>
      </c>
      <c r="C70" s="2219" t="s">
        <v>3541</v>
      </c>
      <c r="D70" s="1187">
        <f t="shared" ref="D70:D78" si="20">SUMIF($J$69:$N$69,C70,J70:N70)</f>
        <v>5.0000000000000001E-3</v>
      </c>
      <c r="E70" s="757">
        <f>ROUND(SUM(D70:D78),4)</f>
        <v>2.9000000000000001E-2</v>
      </c>
      <c r="F70" s="1989">
        <f>IF(E2="住宅",SUMIF(L1:L12,G2,N1:N12),"——")</f>
        <v>0</v>
      </c>
      <c r="G70" s="1185">
        <v>5.0000000000000001E-3</v>
      </c>
      <c r="H70" s="1189">
        <f t="shared" ref="H70:H78" si="21">IFERROR(ROUNDDOWN($F$70*I70/2,4),"——")</f>
        <v>0</v>
      </c>
      <c r="I70" s="756">
        <v>0.14000000000000001</v>
      </c>
      <c r="J70" s="1186">
        <f t="shared" ref="J70:J78" si="22">K70+$G70</f>
        <v>0.01</v>
      </c>
      <c r="K70" s="1186">
        <f t="shared" ref="K70:K78" si="23">$L70+$G70</f>
        <v>5.0000000000000001E-3</v>
      </c>
      <c r="L70" s="1186">
        <v>0</v>
      </c>
      <c r="M70" s="1186">
        <f t="shared" ref="M70:N78" si="24">L70-$G70</f>
        <v>-5.0000000000000001E-3</v>
      </c>
      <c r="N70" s="1186">
        <f t="shared" si="24"/>
        <v>-0.01</v>
      </c>
      <c r="AA70" s="1272"/>
      <c r="AB70" s="1272"/>
      <c r="AC70" s="1272"/>
      <c r="AD70" s="1272"/>
      <c r="AE70" s="1272"/>
      <c r="AF70" s="1272"/>
      <c r="AG70" s="1272"/>
      <c r="AH70" s="1272"/>
      <c r="AI70" s="1272"/>
      <c r="AJ70" s="1272"/>
      <c r="AK70" s="1272"/>
    </row>
    <row r="71" spans="1:37" s="1271" customFormat="1" ht="14.25">
      <c r="A71" s="2314" t="s">
        <v>2754</v>
      </c>
      <c r="B71" s="2318">
        <f>估价对象房地状况!C18</f>
        <v>0</v>
      </c>
      <c r="C71" s="2219" t="s">
        <v>3541</v>
      </c>
      <c r="D71" s="1187">
        <f t="shared" si="20"/>
        <v>0.01</v>
      </c>
      <c r="E71" s="762"/>
      <c r="F71" s="1989"/>
      <c r="G71" s="1185">
        <v>0.01</v>
      </c>
      <c r="H71" s="1189">
        <f t="shared" si="21"/>
        <v>0</v>
      </c>
      <c r="I71" s="756">
        <v>0.3</v>
      </c>
      <c r="J71" s="1186">
        <f t="shared" si="22"/>
        <v>0.02</v>
      </c>
      <c r="K71" s="1186">
        <f t="shared" si="23"/>
        <v>0.01</v>
      </c>
      <c r="L71" s="1186">
        <v>0</v>
      </c>
      <c r="M71" s="1186">
        <f t="shared" si="24"/>
        <v>-0.01</v>
      </c>
      <c r="N71" s="1186">
        <f t="shared" si="24"/>
        <v>-0.02</v>
      </c>
      <c r="AA71" s="1272"/>
      <c r="AB71" s="1272"/>
      <c r="AC71" s="1272"/>
      <c r="AD71" s="1272"/>
      <c r="AE71" s="1272"/>
      <c r="AF71" s="1272"/>
      <c r="AG71" s="1272"/>
      <c r="AH71" s="1272"/>
      <c r="AI71" s="1272"/>
      <c r="AJ71" s="1272"/>
      <c r="AK71" s="1272"/>
    </row>
    <row r="72" spans="1:37" s="1271" customFormat="1" ht="24">
      <c r="A72" s="2314" t="s">
        <v>2755</v>
      </c>
      <c r="B72" s="2318" t="str">
        <f>估价对象房地状况!C19</f>
        <v>一致</v>
      </c>
      <c r="C72" s="2219" t="s">
        <v>3541</v>
      </c>
      <c r="D72" s="1187">
        <f t="shared" si="20"/>
        <v>3.0000000000000001E-3</v>
      </c>
      <c r="E72" s="762"/>
      <c r="F72" s="1989"/>
      <c r="G72" s="1185">
        <v>3.0000000000000001E-3</v>
      </c>
      <c r="H72" s="1189">
        <f t="shared" si="21"/>
        <v>0</v>
      </c>
      <c r="I72" s="756">
        <v>0.08</v>
      </c>
      <c r="J72" s="1186">
        <f t="shared" si="22"/>
        <v>6.0000000000000001E-3</v>
      </c>
      <c r="K72" s="1186">
        <f t="shared" si="23"/>
        <v>3.0000000000000001E-3</v>
      </c>
      <c r="L72" s="1186">
        <v>0</v>
      </c>
      <c r="M72" s="1186">
        <f t="shared" si="24"/>
        <v>-3.0000000000000001E-3</v>
      </c>
      <c r="N72" s="1186">
        <f t="shared" si="24"/>
        <v>-6.0000000000000001E-3</v>
      </c>
      <c r="AA72" s="1272"/>
      <c r="AB72" s="1272"/>
      <c r="AC72" s="1272"/>
      <c r="AD72" s="1272"/>
      <c r="AE72" s="1272"/>
      <c r="AF72" s="1272"/>
      <c r="AG72" s="1272"/>
      <c r="AH72" s="1272"/>
      <c r="AI72" s="1272"/>
      <c r="AJ72" s="1272"/>
      <c r="AK72" s="1272"/>
    </row>
    <row r="73" spans="1:37" s="1271" customFormat="1" ht="14.25">
      <c r="A73" s="2314" t="s">
        <v>2769</v>
      </c>
      <c r="B73" s="2318">
        <f>估价对象房地状况!C24</f>
        <v>0</v>
      </c>
      <c r="C73" s="2219" t="s">
        <v>3554</v>
      </c>
      <c r="D73" s="1187">
        <f t="shared" si="20"/>
        <v>-1.5E-3</v>
      </c>
      <c r="E73" s="762"/>
      <c r="F73" s="1989"/>
      <c r="G73" s="1185">
        <v>1.5E-3</v>
      </c>
      <c r="H73" s="1189">
        <f t="shared" si="21"/>
        <v>0</v>
      </c>
      <c r="I73" s="756">
        <v>0.04</v>
      </c>
      <c r="J73" s="1186">
        <f t="shared" si="22"/>
        <v>3.0000000000000001E-3</v>
      </c>
      <c r="K73" s="1186">
        <f t="shared" si="23"/>
        <v>1.5E-3</v>
      </c>
      <c r="L73" s="1186">
        <v>0</v>
      </c>
      <c r="M73" s="1186">
        <f t="shared" si="24"/>
        <v>-1.5E-3</v>
      </c>
      <c r="N73" s="1186">
        <f t="shared" si="24"/>
        <v>-3.0000000000000001E-3</v>
      </c>
      <c r="AA73" s="1272"/>
      <c r="AB73" s="1272"/>
      <c r="AC73" s="1272"/>
      <c r="AD73" s="1272"/>
      <c r="AE73" s="1272"/>
      <c r="AF73" s="1272"/>
      <c r="AG73" s="1272"/>
      <c r="AH73" s="1272"/>
      <c r="AI73" s="1272"/>
      <c r="AJ73" s="1272"/>
      <c r="AK73" s="1272"/>
    </row>
    <row r="74" spans="1:37" s="1271" customFormat="1" ht="24">
      <c r="A74" s="2314" t="s">
        <v>2761</v>
      </c>
      <c r="B74" s="1484">
        <f>估价对象房地状况!C21</f>
        <v>0</v>
      </c>
      <c r="C74" s="2219" t="s">
        <v>3541</v>
      </c>
      <c r="D74" s="1187">
        <f t="shared" si="20"/>
        <v>3.0000000000000001E-3</v>
      </c>
      <c r="E74" s="762"/>
      <c r="F74" s="1989"/>
      <c r="G74" s="1185">
        <v>3.0000000000000001E-3</v>
      </c>
      <c r="H74" s="1189">
        <f t="shared" si="21"/>
        <v>0</v>
      </c>
      <c r="I74" s="756">
        <v>0.08</v>
      </c>
      <c r="J74" s="1186">
        <f t="shared" si="22"/>
        <v>6.0000000000000001E-3</v>
      </c>
      <c r="K74" s="1186">
        <f t="shared" si="23"/>
        <v>3.0000000000000001E-3</v>
      </c>
      <c r="L74" s="1186">
        <v>0</v>
      </c>
      <c r="M74" s="1186">
        <f t="shared" si="24"/>
        <v>-3.0000000000000001E-3</v>
      </c>
      <c r="N74" s="1186">
        <f t="shared" si="24"/>
        <v>-6.0000000000000001E-3</v>
      </c>
      <c r="AA74" s="1272"/>
      <c r="AB74" s="1272"/>
      <c r="AC74" s="1272"/>
      <c r="AD74" s="1272"/>
      <c r="AE74" s="1272"/>
      <c r="AF74" s="1272"/>
      <c r="AG74" s="1272"/>
      <c r="AH74" s="1272"/>
      <c r="AI74" s="1272"/>
      <c r="AJ74" s="1272"/>
      <c r="AK74" s="1272"/>
    </row>
    <row r="75" spans="1:37" s="1271" customFormat="1" ht="24">
      <c r="A75" s="2314" t="s">
        <v>2762</v>
      </c>
      <c r="B75" s="1484">
        <f>估价对象房地状况!C22</f>
        <v>0</v>
      </c>
      <c r="C75" s="2219" t="s">
        <v>3541</v>
      </c>
      <c r="D75" s="1187">
        <f t="shared" si="20"/>
        <v>4.0000000000000001E-3</v>
      </c>
      <c r="E75" s="762"/>
      <c r="F75" s="1989"/>
      <c r="G75" s="1185">
        <v>4.0000000000000001E-3</v>
      </c>
      <c r="H75" s="1189">
        <f t="shared" si="21"/>
        <v>0</v>
      </c>
      <c r="I75" s="756">
        <v>0.12</v>
      </c>
      <c r="J75" s="1186">
        <f t="shared" si="22"/>
        <v>8.0000000000000002E-3</v>
      </c>
      <c r="K75" s="1186">
        <f t="shared" si="23"/>
        <v>4.0000000000000001E-3</v>
      </c>
      <c r="L75" s="1186">
        <v>0</v>
      </c>
      <c r="M75" s="1186">
        <f t="shared" si="24"/>
        <v>-4.0000000000000001E-3</v>
      </c>
      <c r="N75" s="1186">
        <f t="shared" si="24"/>
        <v>-8.0000000000000002E-3</v>
      </c>
      <c r="AA75" s="1272"/>
      <c r="AB75" s="1272"/>
      <c r="AC75" s="1272"/>
      <c r="AD75" s="1272"/>
      <c r="AE75" s="1272"/>
      <c r="AF75" s="1272"/>
      <c r="AG75" s="1272"/>
      <c r="AH75" s="1272"/>
      <c r="AI75" s="1272"/>
      <c r="AJ75" s="1272"/>
      <c r="AK75" s="1272"/>
    </row>
    <row r="76" spans="1:37" s="2168" customFormat="1" ht="24">
      <c r="A76" s="2314" t="s">
        <v>2759</v>
      </c>
      <c r="B76" s="3132" t="s">
        <v>3602</v>
      </c>
      <c r="C76" s="2219" t="s">
        <v>3554</v>
      </c>
      <c r="D76" s="1187">
        <f t="shared" si="20"/>
        <v>-2E-3</v>
      </c>
      <c r="E76" s="762"/>
      <c r="F76" s="1989"/>
      <c r="G76" s="1185">
        <v>2E-3</v>
      </c>
      <c r="H76" s="1189">
        <f t="shared" si="21"/>
        <v>0</v>
      </c>
      <c r="I76" s="756">
        <v>0.05</v>
      </c>
      <c r="J76" s="1186">
        <f t="shared" si="22"/>
        <v>4.0000000000000001E-3</v>
      </c>
      <c r="K76" s="1186">
        <f t="shared" si="23"/>
        <v>2E-3</v>
      </c>
      <c r="L76" s="1186">
        <v>0</v>
      </c>
      <c r="M76" s="1186">
        <f t="shared" si="24"/>
        <v>-2E-3</v>
      </c>
      <c r="N76" s="1186">
        <f t="shared" si="24"/>
        <v>-4.0000000000000001E-3</v>
      </c>
      <c r="AA76" s="2325"/>
      <c r="AB76" s="1272"/>
      <c r="AC76" s="1272"/>
      <c r="AD76" s="1272"/>
      <c r="AE76" s="1272"/>
      <c r="AF76" s="1272"/>
      <c r="AG76" s="1272"/>
      <c r="AH76" s="2325"/>
      <c r="AI76" s="2325"/>
      <c r="AJ76" s="2325"/>
      <c r="AK76" s="2325"/>
    </row>
    <row r="77" spans="1:37" ht="24">
      <c r="A77" s="2314" t="s">
        <v>2763</v>
      </c>
      <c r="B77" s="2317">
        <f>估价对象房地状况!C20</f>
        <v>0</v>
      </c>
      <c r="C77" s="2219" t="s">
        <v>3541</v>
      </c>
      <c r="D77" s="1187">
        <f t="shared" si="20"/>
        <v>6.0000000000000001E-3</v>
      </c>
      <c r="E77" s="762"/>
      <c r="F77" s="1989"/>
      <c r="G77" s="1185">
        <v>6.0000000000000001E-3</v>
      </c>
      <c r="H77" s="1189">
        <f t="shared" si="21"/>
        <v>0</v>
      </c>
      <c r="I77" s="756">
        <v>0.15</v>
      </c>
      <c r="J77" s="1186">
        <f t="shared" si="22"/>
        <v>1.2E-2</v>
      </c>
      <c r="K77" s="1186">
        <f t="shared" si="23"/>
        <v>6.0000000000000001E-3</v>
      </c>
      <c r="L77" s="1186">
        <v>0</v>
      </c>
      <c r="M77" s="1186">
        <f t="shared" si="24"/>
        <v>-6.0000000000000001E-3</v>
      </c>
      <c r="N77" s="1186">
        <f t="shared" si="24"/>
        <v>-1.2E-2</v>
      </c>
      <c r="Z77" s="2169"/>
      <c r="AA77" s="2235"/>
      <c r="AG77" s="1273"/>
      <c r="AK77" s="2235"/>
    </row>
    <row r="78" spans="1:37" ht="24.75" thickBot="1">
      <c r="A78" s="2322" t="s">
        <v>2770</v>
      </c>
      <c r="B78" s="3133" t="s">
        <v>3603</v>
      </c>
      <c r="C78" s="2219" t="s">
        <v>3541</v>
      </c>
      <c r="D78" s="1187">
        <f t="shared" si="20"/>
        <v>1.5E-3</v>
      </c>
      <c r="E78" s="763"/>
      <c r="F78" s="1989"/>
      <c r="G78" s="1185">
        <v>1.5E-3</v>
      </c>
      <c r="H78" s="1189">
        <f t="shared" si="21"/>
        <v>0</v>
      </c>
      <c r="I78" s="760">
        <v>0.04</v>
      </c>
      <c r="J78" s="1186">
        <f t="shared" si="22"/>
        <v>3.0000000000000001E-3</v>
      </c>
      <c r="K78" s="1186">
        <f t="shared" si="23"/>
        <v>1.5E-3</v>
      </c>
      <c r="L78" s="1186">
        <v>0</v>
      </c>
      <c r="M78" s="1186">
        <f t="shared" si="24"/>
        <v>-1.5E-3</v>
      </c>
      <c r="N78" s="1186">
        <f t="shared" si="24"/>
        <v>-3.0000000000000001E-3</v>
      </c>
      <c r="Z78" s="2169"/>
      <c r="AA78" s="2235"/>
      <c r="AG78" s="1273"/>
      <c r="AK78" s="2235"/>
    </row>
    <row r="79" spans="1:37" ht="15" hidden="1">
      <c r="A79" s="2310" t="s">
        <v>2771</v>
      </c>
      <c r="B79" s="2311">
        <f>1+E81</f>
        <v>1</v>
      </c>
      <c r="C79" s="750"/>
      <c r="D79" s="750"/>
      <c r="E79" s="751"/>
      <c r="F79" s="2313"/>
      <c r="G79" s="6"/>
      <c r="H79" s="6"/>
      <c r="I79" s="6"/>
      <c r="J79" s="7"/>
      <c r="K79" s="7"/>
      <c r="L79" s="7"/>
      <c r="M79" s="7"/>
      <c r="N79" s="7"/>
      <c r="Z79" s="2169"/>
      <c r="AA79" s="2235"/>
      <c r="AG79" s="1273"/>
      <c r="AK79" s="2235"/>
    </row>
    <row r="80" spans="1:37" ht="24.75" hidden="1">
      <c r="A80" s="2314" t="s">
        <v>2745</v>
      </c>
      <c r="B80" s="1525"/>
      <c r="C80" s="1525" t="s">
        <v>2747</v>
      </c>
      <c r="D80" s="1525" t="s">
        <v>2748</v>
      </c>
      <c r="E80" s="755" t="s">
        <v>2749</v>
      </c>
      <c r="F80" s="2315" t="s">
        <v>2765</v>
      </c>
      <c r="G80" s="1525" t="s">
        <v>754</v>
      </c>
      <c r="H80" s="2316" t="s">
        <v>2751</v>
      </c>
      <c r="I80" s="1525" t="s">
        <v>2752</v>
      </c>
      <c r="J80" s="559" t="s">
        <v>2412</v>
      </c>
      <c r="K80" s="559" t="s">
        <v>2413</v>
      </c>
      <c r="L80" s="559" t="s">
        <v>2414</v>
      </c>
      <c r="M80" s="559" t="s">
        <v>2415</v>
      </c>
      <c r="N80" s="559" t="s">
        <v>2416</v>
      </c>
      <c r="Z80" s="2169"/>
      <c r="AA80" s="2235"/>
      <c r="AG80" s="1273"/>
      <c r="AK80" s="2235"/>
    </row>
    <row r="81" spans="1:37" ht="38.25" hidden="1">
      <c r="A81" s="2314" t="s">
        <v>2772</v>
      </c>
      <c r="B81" s="2318" t="str">
        <f>估价对象房地状况!G15</f>
        <v>估价对象位于XX开发区，园区建设成熟度XX，产业集聚程度XX</v>
      </c>
      <c r="C81" s="2219"/>
      <c r="D81" s="1187">
        <f t="shared" ref="D81:D88" si="25">SUMIF($J$80:$N$80,C81,J81:N81)</f>
        <v>0</v>
      </c>
      <c r="E81" s="757">
        <f>ROUND(SUM(D81:D88),4)</f>
        <v>0</v>
      </c>
      <c r="F81" s="1989" t="str">
        <f>IF(E2="工业",SUMIF(L1:L12,G2,N1:N12),"——")</f>
        <v>——</v>
      </c>
      <c r="G81" s="1185"/>
      <c r="H81" s="1189" t="str">
        <f t="shared" ref="H81:H88" si="26">IFERROR(ROUNDDOWN($F$81*I81/2,4),"——")</f>
        <v>——</v>
      </c>
      <c r="I81" s="756">
        <v>0.26</v>
      </c>
      <c r="J81" s="1186">
        <f t="shared" ref="J81:J88" si="27">K81+$G81</f>
        <v>0</v>
      </c>
      <c r="K81" s="1186">
        <f t="shared" ref="K81:K88" si="28">$L81+$G81</f>
        <v>0</v>
      </c>
      <c r="L81" s="1186">
        <v>0</v>
      </c>
      <c r="M81" s="1186">
        <f t="shared" ref="M81:N88" si="29">L81-$G81</f>
        <v>0</v>
      </c>
      <c r="N81" s="1186">
        <f t="shared" si="29"/>
        <v>0</v>
      </c>
      <c r="Z81" s="2169"/>
      <c r="AA81" s="2235"/>
      <c r="AG81" s="1273"/>
      <c r="AK81" s="2235"/>
    </row>
    <row r="82" spans="1:37" ht="51" hidden="1">
      <c r="A82" s="2314" t="s">
        <v>2754</v>
      </c>
      <c r="B82" s="2318" t="str">
        <f>估价对象房地状况!G16</f>
        <v>估价对象周边道路状况、公共交通通达情况、停车便捷程度，综合评价交通便捷度较好</v>
      </c>
      <c r="C82" s="2219"/>
      <c r="D82" s="1187">
        <f t="shared" si="25"/>
        <v>0</v>
      </c>
      <c r="E82" s="762"/>
      <c r="F82" s="1989"/>
      <c r="G82" s="1185"/>
      <c r="H82" s="1189" t="str">
        <f t="shared" si="26"/>
        <v>——</v>
      </c>
      <c r="I82" s="756">
        <v>0.33</v>
      </c>
      <c r="J82" s="1186">
        <f t="shared" si="27"/>
        <v>0</v>
      </c>
      <c r="K82" s="1186">
        <f t="shared" si="28"/>
        <v>0</v>
      </c>
      <c r="L82" s="1186">
        <v>0</v>
      </c>
      <c r="M82" s="1186">
        <f t="shared" si="29"/>
        <v>0</v>
      </c>
      <c r="N82" s="1186">
        <f t="shared" si="29"/>
        <v>0</v>
      </c>
      <c r="Z82" s="2169"/>
      <c r="AA82" s="2235"/>
      <c r="AG82" s="1273"/>
      <c r="AK82" s="2235"/>
    </row>
    <row r="83" spans="1:37" ht="24" hidden="1">
      <c r="A83" s="2314" t="s">
        <v>2755</v>
      </c>
      <c r="B83" s="2318">
        <f>估价对象房地状况!G17</f>
        <v>0</v>
      </c>
      <c r="C83" s="2219"/>
      <c r="D83" s="1187">
        <f t="shared" si="25"/>
        <v>0</v>
      </c>
      <c r="E83" s="762"/>
      <c r="F83" s="1989"/>
      <c r="G83" s="1185"/>
      <c r="H83" s="1189" t="str">
        <f t="shared" si="26"/>
        <v>——</v>
      </c>
      <c r="I83" s="756">
        <v>0.05</v>
      </c>
      <c r="J83" s="1186">
        <f t="shared" si="27"/>
        <v>0</v>
      </c>
      <c r="K83" s="1186">
        <f t="shared" si="28"/>
        <v>0</v>
      </c>
      <c r="L83" s="1186">
        <v>0</v>
      </c>
      <c r="M83" s="1186">
        <f t="shared" si="29"/>
        <v>0</v>
      </c>
      <c r="N83" s="1186">
        <f t="shared" si="29"/>
        <v>0</v>
      </c>
      <c r="Z83" s="2169"/>
      <c r="AA83" s="2235"/>
      <c r="AG83" s="1273"/>
      <c r="AK83" s="2235"/>
    </row>
    <row r="84" spans="1:37" ht="14.25" hidden="1">
      <c r="A84" s="2314" t="s">
        <v>2769</v>
      </c>
      <c r="B84" s="2318">
        <f>估价对象房地状况!G22</f>
        <v>0</v>
      </c>
      <c r="C84" s="2219"/>
      <c r="D84" s="1187">
        <f t="shared" si="25"/>
        <v>0</v>
      </c>
      <c r="E84" s="762"/>
      <c r="F84" s="1989"/>
      <c r="G84" s="1185"/>
      <c r="H84" s="1189" t="str">
        <f t="shared" si="26"/>
        <v>——</v>
      </c>
      <c r="I84" s="756">
        <v>0.04</v>
      </c>
      <c r="J84" s="1186">
        <f t="shared" si="27"/>
        <v>0</v>
      </c>
      <c r="K84" s="1186">
        <f t="shared" si="28"/>
        <v>0</v>
      </c>
      <c r="L84" s="1186">
        <v>0</v>
      </c>
      <c r="M84" s="1186">
        <f t="shared" si="29"/>
        <v>0</v>
      </c>
      <c r="N84" s="1186">
        <f t="shared" si="29"/>
        <v>0</v>
      </c>
      <c r="Z84" s="2169"/>
      <c r="AA84" s="2235"/>
      <c r="AG84" s="1273"/>
      <c r="AK84" s="2235"/>
    </row>
    <row r="85" spans="1:37" ht="25.5" hidden="1">
      <c r="A85" s="2314" t="s">
        <v>2761</v>
      </c>
      <c r="B85" s="1484" t="str">
        <f>估价对象房地状况!G19</f>
        <v>估价对象所在区域公共配套设施齐备情况</v>
      </c>
      <c r="C85" s="2219"/>
      <c r="D85" s="1187">
        <f t="shared" si="25"/>
        <v>0</v>
      </c>
      <c r="E85" s="762"/>
      <c r="F85" s="1989"/>
      <c r="G85" s="1185"/>
      <c r="H85" s="1189" t="str">
        <f t="shared" si="26"/>
        <v>——</v>
      </c>
      <c r="I85" s="756">
        <v>0.06</v>
      </c>
      <c r="J85" s="1186">
        <f t="shared" si="27"/>
        <v>0</v>
      </c>
      <c r="K85" s="1186">
        <f t="shared" si="28"/>
        <v>0</v>
      </c>
      <c r="L85" s="1186">
        <v>0</v>
      </c>
      <c r="M85" s="1186">
        <f t="shared" si="29"/>
        <v>0</v>
      </c>
      <c r="N85" s="1186">
        <f t="shared" si="29"/>
        <v>0</v>
      </c>
      <c r="Z85" s="2169"/>
      <c r="AA85" s="2235"/>
      <c r="AG85" s="1273"/>
      <c r="AK85" s="2235"/>
    </row>
    <row r="86" spans="1:37" ht="25.5" hidden="1">
      <c r="A86" s="2314" t="s">
        <v>2762</v>
      </c>
      <c r="B86" s="1484" t="str">
        <f>估价对象房地状况!G20</f>
        <v>估价对象所在区域基础设施水平</v>
      </c>
      <c r="C86" s="2219"/>
      <c r="D86" s="1187">
        <f t="shared" si="25"/>
        <v>0</v>
      </c>
      <c r="E86" s="762"/>
      <c r="F86" s="1989"/>
      <c r="G86" s="1185"/>
      <c r="H86" s="1189" t="str">
        <f t="shared" si="26"/>
        <v>——</v>
      </c>
      <c r="I86" s="756">
        <v>0.15</v>
      </c>
      <c r="J86" s="1186">
        <f t="shared" si="27"/>
        <v>0</v>
      </c>
      <c r="K86" s="1186">
        <f t="shared" si="28"/>
        <v>0</v>
      </c>
      <c r="L86" s="1186">
        <v>0</v>
      </c>
      <c r="M86" s="1186">
        <f t="shared" si="29"/>
        <v>0</v>
      </c>
      <c r="N86" s="1186">
        <f t="shared" si="29"/>
        <v>0</v>
      </c>
      <c r="Z86" s="2169"/>
      <c r="AA86" s="2235"/>
      <c r="AG86" s="1273"/>
      <c r="AK86" s="2235"/>
    </row>
    <row r="87" spans="1:37" ht="24" hidden="1">
      <c r="A87" s="2314" t="s">
        <v>2759</v>
      </c>
      <c r="B87" s="2320" t="s">
        <v>2773</v>
      </c>
      <c r="C87" s="2219"/>
      <c r="D87" s="1187">
        <f t="shared" si="25"/>
        <v>0</v>
      </c>
      <c r="E87" s="762"/>
      <c r="F87" s="1989"/>
      <c r="G87" s="1185"/>
      <c r="H87" s="1189" t="str">
        <f t="shared" si="26"/>
        <v>——</v>
      </c>
      <c r="I87" s="756">
        <v>0.05</v>
      </c>
      <c r="J87" s="1186">
        <f t="shared" si="27"/>
        <v>0</v>
      </c>
      <c r="K87" s="1186">
        <f t="shared" si="28"/>
        <v>0</v>
      </c>
      <c r="L87" s="1186">
        <v>0</v>
      </c>
      <c r="M87" s="1186">
        <f t="shared" si="29"/>
        <v>0</v>
      </c>
      <c r="N87" s="1186">
        <f t="shared" si="29"/>
        <v>0</v>
      </c>
      <c r="Z87" s="2169"/>
      <c r="AA87" s="2235"/>
      <c r="AG87" s="1273"/>
      <c r="AK87" s="2235"/>
    </row>
    <row r="88" spans="1:37" ht="39" hidden="1" thickBot="1">
      <c r="A88" s="2322" t="s">
        <v>2774</v>
      </c>
      <c r="B88" s="2326" t="str">
        <f>估价对象房地状况!G18</f>
        <v>该园区内是否有污染型企业，绿化情况，卫生条件，整体环境状况判断</v>
      </c>
      <c r="C88" s="2219"/>
      <c r="D88" s="1187">
        <f t="shared" si="25"/>
        <v>0</v>
      </c>
      <c r="E88" s="763"/>
      <c r="F88" s="1989"/>
      <c r="G88" s="1185"/>
      <c r="H88" s="1189" t="str">
        <f t="shared" si="26"/>
        <v>——</v>
      </c>
      <c r="I88" s="760">
        <v>0.06</v>
      </c>
      <c r="J88" s="1186">
        <f t="shared" si="27"/>
        <v>0</v>
      </c>
      <c r="K88" s="1186">
        <f t="shared" si="28"/>
        <v>0</v>
      </c>
      <c r="L88" s="1186">
        <v>0</v>
      </c>
      <c r="M88" s="1186">
        <f t="shared" si="29"/>
        <v>0</v>
      </c>
      <c r="N88" s="1186">
        <f t="shared" si="29"/>
        <v>0</v>
      </c>
      <c r="Z88" s="2169"/>
      <c r="AA88" s="2235"/>
      <c r="AG88" s="1273"/>
      <c r="AK88" s="2235"/>
    </row>
    <row r="90" spans="1:37">
      <c r="A90" s="3408" t="s">
        <v>2775</v>
      </c>
      <c r="B90" s="3408"/>
      <c r="C90" s="3408"/>
      <c r="D90" s="3408"/>
      <c r="E90" s="3408"/>
      <c r="F90" s="3408"/>
      <c r="G90" s="3408"/>
      <c r="H90" s="3408"/>
      <c r="I90" s="3408"/>
      <c r="J90" s="3408"/>
      <c r="K90" s="2327"/>
      <c r="L90" s="2327"/>
      <c r="M90" s="2327"/>
      <c r="N90" s="2327"/>
    </row>
    <row r="91" spans="1:37">
      <c r="A91" s="3410" t="s">
        <v>2776</v>
      </c>
      <c r="B91" s="3410" t="s">
        <v>2777</v>
      </c>
      <c r="C91" s="2282" t="s">
        <v>2778</v>
      </c>
      <c r="D91" s="2283"/>
      <c r="E91" s="2283"/>
      <c r="F91" s="2283"/>
      <c r="G91" s="2283"/>
      <c r="H91" s="2283"/>
      <c r="I91" s="2283"/>
      <c r="J91" s="2328"/>
      <c r="K91" s="2329"/>
      <c r="L91" s="2329"/>
      <c r="M91" s="2329"/>
      <c r="N91" s="2329"/>
    </row>
    <row r="92" spans="1:37">
      <c r="A92" s="3410"/>
      <c r="B92" s="3410"/>
      <c r="C92" s="876" t="s">
        <v>2646</v>
      </c>
      <c r="D92" s="876" t="s">
        <v>2647</v>
      </c>
      <c r="E92" s="876" t="s">
        <v>2648</v>
      </c>
      <c r="F92" s="876" t="s">
        <v>2649</v>
      </c>
      <c r="G92" s="876" t="s">
        <v>2650</v>
      </c>
      <c r="H92" s="876" t="s">
        <v>2651</v>
      </c>
      <c r="I92" s="876" t="s">
        <v>2652</v>
      </c>
      <c r="J92" s="876" t="s">
        <v>2653</v>
      </c>
      <c r="K92" s="876" t="s">
        <v>2654</v>
      </c>
      <c r="L92" s="876" t="s">
        <v>2655</v>
      </c>
      <c r="M92" s="876" t="s">
        <v>2656</v>
      </c>
      <c r="N92" s="876" t="s">
        <v>2657</v>
      </c>
    </row>
    <row r="93" spans="1:37">
      <c r="A93" s="3411" t="s">
        <v>2779</v>
      </c>
      <c r="B93" s="2330">
        <v>1</v>
      </c>
      <c r="C93" s="2331">
        <v>1.9361999999999999</v>
      </c>
      <c r="D93" s="2331">
        <v>1.9361999999999999</v>
      </c>
      <c r="E93" s="2331">
        <v>1.8629</v>
      </c>
      <c r="F93" s="2331">
        <v>1.8629</v>
      </c>
      <c r="G93" s="2331">
        <v>1.8629</v>
      </c>
      <c r="H93" s="2331">
        <v>1.8629</v>
      </c>
      <c r="I93" s="2331">
        <v>1.8629</v>
      </c>
      <c r="J93" s="2331">
        <v>1.9419999999999999</v>
      </c>
      <c r="K93" s="2331">
        <v>1.9419999999999999</v>
      </c>
      <c r="L93" s="2331">
        <v>1.9419999999999999</v>
      </c>
      <c r="M93" s="2331">
        <v>1.9419999999999999</v>
      </c>
      <c r="N93" s="2331">
        <v>1.9419999999999999</v>
      </c>
    </row>
    <row r="94" spans="1:37">
      <c r="A94" s="3412"/>
      <c r="B94" s="2330">
        <v>2</v>
      </c>
      <c r="C94" s="2331">
        <v>1.4198</v>
      </c>
      <c r="D94" s="2331">
        <v>1.4198</v>
      </c>
      <c r="E94" s="2331">
        <v>1.3371999999999999</v>
      </c>
      <c r="F94" s="2331">
        <v>1.3371999999999999</v>
      </c>
      <c r="G94" s="2331">
        <v>1.3371999999999999</v>
      </c>
      <c r="H94" s="2331">
        <v>1.3371999999999999</v>
      </c>
      <c r="I94" s="2331">
        <v>1.3371999999999999</v>
      </c>
      <c r="J94" s="2331">
        <v>1.2799</v>
      </c>
      <c r="K94" s="2331">
        <v>1.2799</v>
      </c>
      <c r="L94" s="2331">
        <v>1.2799</v>
      </c>
      <c r="M94" s="2331">
        <v>1.2799</v>
      </c>
      <c r="N94" s="2331">
        <v>1.2799</v>
      </c>
    </row>
    <row r="95" spans="1:37">
      <c r="A95" s="3412"/>
      <c r="B95" s="2330">
        <v>3</v>
      </c>
      <c r="C95" s="2331">
        <v>1.1594</v>
      </c>
      <c r="D95" s="2331">
        <v>1.1594</v>
      </c>
      <c r="E95" s="2331">
        <v>1.0788</v>
      </c>
      <c r="F95" s="2331">
        <v>1.0788</v>
      </c>
      <c r="G95" s="2331">
        <v>1.0788</v>
      </c>
      <c r="H95" s="2331">
        <v>1.0788</v>
      </c>
      <c r="I95" s="2331">
        <v>1.0788</v>
      </c>
      <c r="J95" s="2331">
        <v>1.0072000000000001</v>
      </c>
      <c r="K95" s="2331">
        <v>1.0072000000000001</v>
      </c>
      <c r="L95" s="2331">
        <v>1.0072000000000001</v>
      </c>
      <c r="M95" s="2331">
        <v>1.0072000000000001</v>
      </c>
      <c r="N95" s="2331">
        <v>1.0072000000000001</v>
      </c>
    </row>
    <row r="96" spans="1:37">
      <c r="A96" s="3412"/>
      <c r="B96" s="2330">
        <v>4</v>
      </c>
      <c r="C96" s="2331">
        <v>0.96220000000000006</v>
      </c>
      <c r="D96" s="2331">
        <v>0.96220000000000006</v>
      </c>
      <c r="E96" s="2331">
        <v>0.86560000000000004</v>
      </c>
      <c r="F96" s="2331">
        <v>0.86560000000000004</v>
      </c>
      <c r="G96" s="2331">
        <v>0.86560000000000004</v>
      </c>
      <c r="H96" s="2331">
        <v>0.86560000000000004</v>
      </c>
      <c r="I96" s="2331">
        <v>0.86560000000000004</v>
      </c>
      <c r="J96" s="2331">
        <v>0.75249999999999995</v>
      </c>
      <c r="K96" s="2331">
        <v>0.75249999999999995</v>
      </c>
      <c r="L96" s="2331">
        <v>0.75249999999999995</v>
      </c>
      <c r="M96" s="2331">
        <v>0.75249999999999995</v>
      </c>
      <c r="N96" s="2331">
        <v>0.75249999999999995</v>
      </c>
    </row>
    <row r="97" spans="1:14">
      <c r="A97" s="3412"/>
      <c r="B97" s="2330">
        <v>5</v>
      </c>
      <c r="C97" s="2331">
        <v>0.8417</v>
      </c>
      <c r="D97" s="2331">
        <v>0.8417</v>
      </c>
      <c r="E97" s="2331">
        <v>0.73709999999999998</v>
      </c>
      <c r="F97" s="2331">
        <v>0.73709999999999998</v>
      </c>
      <c r="G97" s="2331">
        <v>0.73709999999999998</v>
      </c>
      <c r="H97" s="2331">
        <v>0.73709999999999998</v>
      </c>
      <c r="I97" s="2331">
        <v>0.73709999999999998</v>
      </c>
      <c r="J97" s="2331">
        <v>0.56589999999999996</v>
      </c>
      <c r="K97" s="2331">
        <v>0.56589999999999996</v>
      </c>
      <c r="L97" s="2331">
        <v>0.56589999999999996</v>
      </c>
      <c r="M97" s="2331">
        <v>0.56589999999999996</v>
      </c>
      <c r="N97" s="2331">
        <v>0.56589999999999996</v>
      </c>
    </row>
    <row r="98" spans="1:14">
      <c r="A98" s="3412"/>
      <c r="B98" s="2330">
        <v>6</v>
      </c>
      <c r="C98" s="2331">
        <v>0.76080000000000003</v>
      </c>
      <c r="D98" s="2331">
        <v>0.76080000000000003</v>
      </c>
      <c r="E98" s="2331">
        <v>0.6482</v>
      </c>
      <c r="F98" s="2331">
        <v>0.6482</v>
      </c>
      <c r="G98" s="2331">
        <v>0.6482</v>
      </c>
      <c r="H98" s="2331">
        <v>0.6482</v>
      </c>
      <c r="I98" s="2331">
        <v>0.6482</v>
      </c>
      <c r="J98" s="2331">
        <v>0.45250000000000001</v>
      </c>
      <c r="K98" s="2331">
        <v>0.45250000000000001</v>
      </c>
      <c r="L98" s="2331">
        <v>0.45250000000000001</v>
      </c>
      <c r="M98" s="2331">
        <v>0.45250000000000001</v>
      </c>
      <c r="N98" s="2331">
        <v>0.45250000000000001</v>
      </c>
    </row>
    <row r="99" spans="1:14">
      <c r="A99" s="3412"/>
      <c r="B99" s="2330" t="s">
        <v>2662</v>
      </c>
      <c r="C99" s="2332">
        <f>$I$3</f>
        <v>0</v>
      </c>
      <c r="D99" s="2332">
        <f t="shared" ref="D99:M99" si="30">$I$3</f>
        <v>0</v>
      </c>
      <c r="E99" s="2332">
        <f t="shared" si="30"/>
        <v>0</v>
      </c>
      <c r="F99" s="2332">
        <f t="shared" si="30"/>
        <v>0</v>
      </c>
      <c r="G99" s="2332">
        <f t="shared" si="30"/>
        <v>0</v>
      </c>
      <c r="H99" s="2332">
        <f t="shared" si="30"/>
        <v>0</v>
      </c>
      <c r="I99" s="2332">
        <f t="shared" si="30"/>
        <v>0</v>
      </c>
      <c r="J99" s="2332">
        <f t="shared" si="30"/>
        <v>0</v>
      </c>
      <c r="K99" s="2332">
        <f t="shared" si="30"/>
        <v>0</v>
      </c>
      <c r="L99" s="2332">
        <f t="shared" si="30"/>
        <v>0</v>
      </c>
      <c r="M99" s="2332">
        <f t="shared" si="30"/>
        <v>0</v>
      </c>
      <c r="N99" s="2332">
        <f>$I$3</f>
        <v>0</v>
      </c>
    </row>
    <row r="100" spans="1:14">
      <c r="A100" s="3413"/>
      <c r="B100" s="2330">
        <v>7</v>
      </c>
      <c r="C100" s="2333">
        <f>(-0.163*(C99^2)-0.59*C99+7617)*(10^(-4))</f>
        <v>0.76170000000000004</v>
      </c>
      <c r="D100" s="2333">
        <f>(-0.163*(D99^2)-0.59*D99+7617)*(10^(-4))</f>
        <v>0.76170000000000004</v>
      </c>
      <c r="E100" s="2333">
        <f>(-0.161*(E99^2)-7.509*E99+6533)*(10^(-4))</f>
        <v>0.65329999999999999</v>
      </c>
      <c r="F100" s="2333">
        <f>(-0.161*(F99^2)-7.509*F99+6533)*(10^(-4))</f>
        <v>0.65329999999999999</v>
      </c>
      <c r="G100" s="2333">
        <f>(-0.161*(G99^2)-7.509*G99+6533)*(10^(-4))</f>
        <v>0.65329999999999999</v>
      </c>
      <c r="H100" s="2333">
        <f>(-0.161*(H99^2)-7.509*H99+6533)*(10^(-4))</f>
        <v>0.65329999999999999</v>
      </c>
      <c r="I100" s="2333">
        <f>(-0.161*(I99^2)-7.509*I99+6533)*(10^(-4))</f>
        <v>0.65329999999999999</v>
      </c>
      <c r="J100" s="2333">
        <f>(-0.214*(J99^2)-21.991*J99+4665)*(10^(-4))</f>
        <v>0.46650000000000003</v>
      </c>
      <c r="K100" s="2333">
        <f>(-0.214*(K99^2)-21.991*K99+4665)*(10^(-4))</f>
        <v>0.46650000000000003</v>
      </c>
      <c r="L100" s="2333">
        <f>(-0.214*(L99^2)-21.991*L99+4665)*(10^(-4))</f>
        <v>0.46650000000000003</v>
      </c>
      <c r="M100" s="2333">
        <f>(-0.214*(M99^2)-21.991*M99+4665)*(10^(-4))</f>
        <v>0.46650000000000003</v>
      </c>
      <c r="N100" s="2333">
        <f>(-0.214*(N99^2)-21.991*N99+4665)*(10^(-4))</f>
        <v>0.46650000000000003</v>
      </c>
    </row>
    <row r="101" spans="1:14">
      <c r="A101" s="3411" t="s">
        <v>2780</v>
      </c>
      <c r="B101" s="2334" t="s">
        <v>2781</v>
      </c>
      <c r="C101" s="2335" t="e">
        <f>$G$3</f>
        <v>#DIV/0!</v>
      </c>
      <c r="D101" s="2335" t="e">
        <f t="shared" ref="D101:N101" si="31">$G$3</f>
        <v>#DIV/0!</v>
      </c>
      <c r="E101" s="2335" t="e">
        <f t="shared" si="31"/>
        <v>#DIV/0!</v>
      </c>
      <c r="F101" s="2335" t="e">
        <f t="shared" si="31"/>
        <v>#DIV/0!</v>
      </c>
      <c r="G101" s="2335" t="e">
        <f t="shared" si="31"/>
        <v>#DIV/0!</v>
      </c>
      <c r="H101" s="2335" t="e">
        <f t="shared" si="31"/>
        <v>#DIV/0!</v>
      </c>
      <c r="I101" s="2335" t="e">
        <f t="shared" si="31"/>
        <v>#DIV/0!</v>
      </c>
      <c r="J101" s="2335" t="e">
        <f t="shared" si="31"/>
        <v>#DIV/0!</v>
      </c>
      <c r="K101" s="2335" t="e">
        <f t="shared" si="31"/>
        <v>#DIV/0!</v>
      </c>
      <c r="L101" s="2335" t="e">
        <f t="shared" si="31"/>
        <v>#DIV/0!</v>
      </c>
      <c r="M101" s="2335" t="e">
        <f t="shared" si="31"/>
        <v>#DIV/0!</v>
      </c>
      <c r="N101" s="2335" t="e">
        <f t="shared" si="31"/>
        <v>#DIV/0!</v>
      </c>
    </row>
    <row r="102" spans="1:14">
      <c r="A102" s="3412"/>
      <c r="B102" s="2330">
        <v>1</v>
      </c>
      <c r="C102" s="2331" t="e">
        <f>1.9362/C101</f>
        <v>#DIV/0!</v>
      </c>
      <c r="D102" s="2331" t="e">
        <f>1.9362/D101</f>
        <v>#DIV/0!</v>
      </c>
      <c r="E102" s="2331" t="e">
        <f>1.8629/E101</f>
        <v>#DIV/0!</v>
      </c>
      <c r="F102" s="2331" t="e">
        <f>1.8629/F101</f>
        <v>#DIV/0!</v>
      </c>
      <c r="G102" s="2331" t="e">
        <f>1.8629/G101</f>
        <v>#DIV/0!</v>
      </c>
      <c r="H102" s="2331" t="e">
        <f>1.8629/H101</f>
        <v>#DIV/0!</v>
      </c>
      <c r="I102" s="2331" t="e">
        <f>1.8629/I101</f>
        <v>#DIV/0!</v>
      </c>
      <c r="J102" s="2331" t="e">
        <f>1.942/J101</f>
        <v>#DIV/0!</v>
      </c>
      <c r="K102" s="2331" t="e">
        <f>1.942/K101</f>
        <v>#DIV/0!</v>
      </c>
      <c r="L102" s="2331" t="e">
        <f>1.942/L101</f>
        <v>#DIV/0!</v>
      </c>
      <c r="M102" s="2331" t="e">
        <f>1.942/M101</f>
        <v>#DIV/0!</v>
      </c>
      <c r="N102" s="2331" t="e">
        <f>1.942/N101</f>
        <v>#DIV/0!</v>
      </c>
    </row>
    <row r="103" spans="1:14">
      <c r="A103" s="3412"/>
      <c r="B103" s="2330">
        <v>2</v>
      </c>
      <c r="C103" s="2331" t="e">
        <f>1.4198/C101</f>
        <v>#DIV/0!</v>
      </c>
      <c r="D103" s="2331" t="e">
        <f>1.4198/D101</f>
        <v>#DIV/0!</v>
      </c>
      <c r="E103" s="2331" t="e">
        <f>1.3372/E101</f>
        <v>#DIV/0!</v>
      </c>
      <c r="F103" s="2331" t="e">
        <f>1.3372/F101</f>
        <v>#DIV/0!</v>
      </c>
      <c r="G103" s="2331" t="e">
        <f>1.3372/G101</f>
        <v>#DIV/0!</v>
      </c>
      <c r="H103" s="2331" t="e">
        <f>1.3372/H101</f>
        <v>#DIV/0!</v>
      </c>
      <c r="I103" s="2331" t="e">
        <f>1.3372/I101</f>
        <v>#DIV/0!</v>
      </c>
      <c r="J103" s="2331" t="e">
        <f>1.2799/J101</f>
        <v>#DIV/0!</v>
      </c>
      <c r="K103" s="2331" t="e">
        <f>1.2799/K101</f>
        <v>#DIV/0!</v>
      </c>
      <c r="L103" s="2331" t="e">
        <f>1.2799/L101</f>
        <v>#DIV/0!</v>
      </c>
      <c r="M103" s="2331" t="e">
        <f>1.2799/M101</f>
        <v>#DIV/0!</v>
      </c>
      <c r="N103" s="2331" t="e">
        <f>1.2799/N101</f>
        <v>#DIV/0!</v>
      </c>
    </row>
    <row r="104" spans="1:14">
      <c r="A104" s="3412"/>
      <c r="B104" s="2330">
        <v>3</v>
      </c>
      <c r="C104" s="2331" t="e">
        <f>1.1594/C101</f>
        <v>#DIV/0!</v>
      </c>
      <c r="D104" s="2331" t="e">
        <f>1.1594/D101</f>
        <v>#DIV/0!</v>
      </c>
      <c r="E104" s="2331" t="e">
        <f>1.0788/E101</f>
        <v>#DIV/0!</v>
      </c>
      <c r="F104" s="2331" t="e">
        <f>1.0788/F101</f>
        <v>#DIV/0!</v>
      </c>
      <c r="G104" s="2331" t="e">
        <f>1.0788/G101</f>
        <v>#DIV/0!</v>
      </c>
      <c r="H104" s="2331" t="e">
        <f>1.0788/H101</f>
        <v>#DIV/0!</v>
      </c>
      <c r="I104" s="2331" t="e">
        <f>1.0788/I101</f>
        <v>#DIV/0!</v>
      </c>
      <c r="J104" s="2331" t="e">
        <f>1.0072/J101</f>
        <v>#DIV/0!</v>
      </c>
      <c r="K104" s="2331" t="e">
        <f>1.0072/K101</f>
        <v>#DIV/0!</v>
      </c>
      <c r="L104" s="2331" t="e">
        <f>1.0072/L101</f>
        <v>#DIV/0!</v>
      </c>
      <c r="M104" s="2331" t="e">
        <f>1.0072/M101</f>
        <v>#DIV/0!</v>
      </c>
      <c r="N104" s="2331" t="e">
        <f>1.0072/N101</f>
        <v>#DIV/0!</v>
      </c>
    </row>
    <row r="105" spans="1:14">
      <c r="A105" s="3412"/>
      <c r="B105" s="2330">
        <v>4</v>
      </c>
      <c r="C105" s="2331" t="e">
        <f>0.9622/C101</f>
        <v>#DIV/0!</v>
      </c>
      <c r="D105" s="2331" t="e">
        <f>0.9622/D101</f>
        <v>#DIV/0!</v>
      </c>
      <c r="E105" s="2331" t="e">
        <f>0.8656/E101</f>
        <v>#DIV/0!</v>
      </c>
      <c r="F105" s="2331" t="e">
        <f>0.8656/F101</f>
        <v>#DIV/0!</v>
      </c>
      <c r="G105" s="2331" t="e">
        <f>0.8656/G101</f>
        <v>#DIV/0!</v>
      </c>
      <c r="H105" s="2331" t="e">
        <f>0.8656/H101</f>
        <v>#DIV/0!</v>
      </c>
      <c r="I105" s="2331" t="e">
        <f>0.8656/I101</f>
        <v>#DIV/0!</v>
      </c>
      <c r="J105" s="2331" t="e">
        <f>0.7525/J101</f>
        <v>#DIV/0!</v>
      </c>
      <c r="K105" s="2331" t="e">
        <f>0.7525/K101</f>
        <v>#DIV/0!</v>
      </c>
      <c r="L105" s="2331" t="e">
        <f>0.7525/L101</f>
        <v>#DIV/0!</v>
      </c>
      <c r="M105" s="2331" t="e">
        <f>0.7525/M101</f>
        <v>#DIV/0!</v>
      </c>
      <c r="N105" s="2331" t="e">
        <f>0.7525/N101</f>
        <v>#DIV/0!</v>
      </c>
    </row>
    <row r="106" spans="1:14">
      <c r="A106" s="3412"/>
      <c r="B106" s="2330">
        <v>5</v>
      </c>
      <c r="C106" s="2331" t="e">
        <f>0.8417/C101</f>
        <v>#DIV/0!</v>
      </c>
      <c r="D106" s="2331" t="e">
        <f>0.8417/D101</f>
        <v>#DIV/0!</v>
      </c>
      <c r="E106" s="2331" t="e">
        <f>0.7371/E101</f>
        <v>#DIV/0!</v>
      </c>
      <c r="F106" s="2331" t="e">
        <f>0.7371/F101</f>
        <v>#DIV/0!</v>
      </c>
      <c r="G106" s="2331" t="e">
        <f>0.7371/G101</f>
        <v>#DIV/0!</v>
      </c>
      <c r="H106" s="2331" t="e">
        <f>0.7371/H101</f>
        <v>#DIV/0!</v>
      </c>
      <c r="I106" s="2331" t="e">
        <f>0.7371/I101</f>
        <v>#DIV/0!</v>
      </c>
      <c r="J106" s="2331" t="e">
        <f>0.5659/J101</f>
        <v>#DIV/0!</v>
      </c>
      <c r="K106" s="2331" t="e">
        <f>0.5659/K101</f>
        <v>#DIV/0!</v>
      </c>
      <c r="L106" s="2331" t="e">
        <f>0.5659/L101</f>
        <v>#DIV/0!</v>
      </c>
      <c r="M106" s="2331" t="e">
        <f>0.5659/M101</f>
        <v>#DIV/0!</v>
      </c>
      <c r="N106" s="2331" t="e">
        <f>0.5659/N101</f>
        <v>#DIV/0!</v>
      </c>
    </row>
    <row r="107" spans="1:14">
      <c r="A107" s="3412"/>
      <c r="B107" s="2330">
        <v>6</v>
      </c>
      <c r="C107" s="2331" t="e">
        <f>0.7608/C101</f>
        <v>#DIV/0!</v>
      </c>
      <c r="D107" s="2331" t="e">
        <f>0.7608/D101</f>
        <v>#DIV/0!</v>
      </c>
      <c r="E107" s="2331" t="e">
        <f>0.6482/E101</f>
        <v>#DIV/0!</v>
      </c>
      <c r="F107" s="2331" t="e">
        <f>0.6482/F101</f>
        <v>#DIV/0!</v>
      </c>
      <c r="G107" s="2331" t="e">
        <f>0.6482/G101</f>
        <v>#DIV/0!</v>
      </c>
      <c r="H107" s="2331" t="e">
        <f>0.6482/H101</f>
        <v>#DIV/0!</v>
      </c>
      <c r="I107" s="2331" t="e">
        <f>0.6482/I101</f>
        <v>#DIV/0!</v>
      </c>
      <c r="J107" s="2331" t="e">
        <f>0.4525/J101</f>
        <v>#DIV/0!</v>
      </c>
      <c r="K107" s="2331" t="e">
        <f>0.4525/K101</f>
        <v>#DIV/0!</v>
      </c>
      <c r="L107" s="2331" t="e">
        <f>0.4525/L101</f>
        <v>#DIV/0!</v>
      </c>
      <c r="M107" s="2331" t="e">
        <f>0.4525/M101</f>
        <v>#DIV/0!</v>
      </c>
      <c r="N107" s="2331" t="e">
        <f>0.4525/N101</f>
        <v>#DIV/0!</v>
      </c>
    </row>
    <row r="108" spans="1:14">
      <c r="A108" s="3412"/>
      <c r="B108" s="3414" t="s">
        <v>2782</v>
      </c>
      <c r="C108" s="2332">
        <f>C99</f>
        <v>0</v>
      </c>
      <c r="D108" s="2332">
        <f t="shared" ref="D108:N108" si="32">D99</f>
        <v>0</v>
      </c>
      <c r="E108" s="2332">
        <f t="shared" si="32"/>
        <v>0</v>
      </c>
      <c r="F108" s="2332">
        <f t="shared" si="32"/>
        <v>0</v>
      </c>
      <c r="G108" s="2332">
        <f t="shared" si="32"/>
        <v>0</v>
      </c>
      <c r="H108" s="2332">
        <f t="shared" si="32"/>
        <v>0</v>
      </c>
      <c r="I108" s="2332">
        <f t="shared" si="32"/>
        <v>0</v>
      </c>
      <c r="J108" s="2332">
        <f t="shared" si="32"/>
        <v>0</v>
      </c>
      <c r="K108" s="2332">
        <f t="shared" si="32"/>
        <v>0</v>
      </c>
      <c r="L108" s="2332">
        <f t="shared" si="32"/>
        <v>0</v>
      </c>
      <c r="M108" s="2332">
        <f t="shared" si="32"/>
        <v>0</v>
      </c>
      <c r="N108" s="2332">
        <f t="shared" si="32"/>
        <v>0</v>
      </c>
    </row>
    <row r="109" spans="1:14">
      <c r="A109" s="3413"/>
      <c r="B109" s="3415"/>
      <c r="C109" s="2333" t="e">
        <f>(-0.163*(C108^2)-0.59*C108+7617)*(10^(-4))/C101</f>
        <v>#DIV/0!</v>
      </c>
      <c r="D109" s="2333" t="e">
        <f>(-0.163*(D108^2)-0.59*D108+7617)*(10^(-4))/D101</f>
        <v>#DIV/0!</v>
      </c>
      <c r="E109" s="2333" t="e">
        <f>(-0.161*(E108^2)-7.509*E108+6533)*(10^(-4))/E101</f>
        <v>#DIV/0!</v>
      </c>
      <c r="F109" s="2333" t="e">
        <f>(-0.161*(F108^2)-7.509*F108+6533)*(10^(-4))/F101</f>
        <v>#DIV/0!</v>
      </c>
      <c r="G109" s="2333" t="e">
        <f>(-0.161*(G108^2)-7.509*G108+6533)*(10^(-4))/G101</f>
        <v>#DIV/0!</v>
      </c>
      <c r="H109" s="2333" t="e">
        <f>(-0.161*(H108^2)-7.509*H108+6533)*(10^(-4))/H101</f>
        <v>#DIV/0!</v>
      </c>
      <c r="I109" s="2333" t="e">
        <f>(-0.161*(I108^2)-7.509*I108+6533)*(10^(-4))/I101</f>
        <v>#DIV/0!</v>
      </c>
      <c r="J109" s="2333" t="e">
        <f>(-0.214*(J108^2)-21.991*J108+4665)*(10^(-4))/J101</f>
        <v>#DIV/0!</v>
      </c>
      <c r="K109" s="2333" t="e">
        <f>(-0.214*(K108^2)-21.991*K108+4665)*(10^(-4))/K101</f>
        <v>#DIV/0!</v>
      </c>
      <c r="L109" s="2333" t="e">
        <f>(-0.214*(L108^2)-21.991*L108+4665)*(10^(-4))/L101</f>
        <v>#DIV/0!</v>
      </c>
      <c r="M109" s="2333" t="e">
        <f>(-0.214*(M108^2)-21.991*M108+4665)*(10^(-4))/M101</f>
        <v>#DIV/0!</v>
      </c>
      <c r="N109" s="2333" t="e">
        <f>(-0.214*(N108^2)-21.991*N108+4665)*(10^(-4))/N101</f>
        <v>#DIV/0!</v>
      </c>
    </row>
    <row r="110" spans="1:14">
      <c r="A110" s="3409" t="s">
        <v>2783</v>
      </c>
      <c r="B110" s="3409"/>
      <c r="C110" s="3409"/>
      <c r="D110" s="3409"/>
      <c r="E110" s="3409"/>
      <c r="F110" s="3409"/>
      <c r="G110" s="3409"/>
      <c r="H110" s="3409"/>
      <c r="I110" s="3409"/>
      <c r="J110" s="3409"/>
      <c r="K110" s="2336"/>
      <c r="L110" s="2336"/>
      <c r="M110" s="2336"/>
      <c r="N110" s="2336"/>
    </row>
    <row r="112" spans="1:14" ht="13.5" thickBot="1"/>
    <row r="113" spans="1:13" ht="25.5" thickBot="1">
      <c r="A113" s="839" t="s">
        <v>2784</v>
      </c>
      <c r="B113" s="1188" t="e">
        <f>G3</f>
        <v>#DIV/0!</v>
      </c>
      <c r="C113" s="840" t="s">
        <v>2785</v>
      </c>
      <c r="D113" s="841" t="e">
        <f>SUMPRODUCT((A115:A118=F113)*(B114:M114=H113)*B115:M118)</f>
        <v>#DIV/0!</v>
      </c>
      <c r="E113" s="2173" t="s">
        <v>2619</v>
      </c>
      <c r="F113" s="2338" t="str">
        <f>E2</f>
        <v>住宅</v>
      </c>
      <c r="G113" s="2173" t="s">
        <v>2620</v>
      </c>
      <c r="H113" s="2338">
        <f>G2</f>
        <v>0</v>
      </c>
      <c r="I113" s="2173"/>
      <c r="J113" s="2339"/>
      <c r="K113" s="2339"/>
      <c r="L113" s="2339"/>
      <c r="M113" s="2339"/>
    </row>
    <row r="114" spans="1:13">
      <c r="A114" s="844"/>
      <c r="B114" s="2340" t="s">
        <v>2786</v>
      </c>
      <c r="C114" s="2340" t="s">
        <v>2787</v>
      </c>
      <c r="D114" s="2340" t="s">
        <v>2788</v>
      </c>
      <c r="E114" s="2341" t="s">
        <v>2789</v>
      </c>
      <c r="F114" s="2341" t="s">
        <v>2790</v>
      </c>
      <c r="G114" s="2341" t="s">
        <v>2791</v>
      </c>
      <c r="H114" s="2342" t="s">
        <v>2792</v>
      </c>
      <c r="I114" s="2342" t="s">
        <v>2793</v>
      </c>
      <c r="J114" s="2343" t="s">
        <v>2794</v>
      </c>
      <c r="K114" s="2343" t="s">
        <v>2795</v>
      </c>
      <c r="L114" s="2343" t="s">
        <v>2796</v>
      </c>
      <c r="M114" s="2344" t="s">
        <v>2797</v>
      </c>
    </row>
    <row r="115" spans="1:13">
      <c r="A115" s="845" t="s">
        <v>2684</v>
      </c>
      <c r="B115" s="846" t="e">
        <f>ROUND(0.9335-0.0094*B113,4)</f>
        <v>#DIV/0!</v>
      </c>
      <c r="C115" s="846" t="e">
        <f>B115</f>
        <v>#DIV/0!</v>
      </c>
      <c r="D115" s="846" t="e">
        <f>ROUND(0.8331-0.0109*B113,4)</f>
        <v>#DIV/0!</v>
      </c>
      <c r="E115" s="846" t="e">
        <f>D115</f>
        <v>#DIV/0!</v>
      </c>
      <c r="F115" s="846" t="e">
        <f>E115</f>
        <v>#DIV/0!</v>
      </c>
      <c r="G115" s="846" t="e">
        <f>F115</f>
        <v>#DIV/0!</v>
      </c>
      <c r="H115" s="846" t="e">
        <f>G115</f>
        <v>#DIV/0!</v>
      </c>
      <c r="I115" s="846" t="e">
        <f>ROUND(0.689-0.0155*B113,4)</f>
        <v>#DIV/0!</v>
      </c>
      <c r="J115" s="846" t="e">
        <f t="shared" ref="J115:M118" si="33">I115</f>
        <v>#DIV/0!</v>
      </c>
      <c r="K115" s="846" t="e">
        <f t="shared" si="33"/>
        <v>#DIV/0!</v>
      </c>
      <c r="L115" s="846" t="e">
        <f t="shared" si="33"/>
        <v>#DIV/0!</v>
      </c>
      <c r="M115" s="847" t="e">
        <f t="shared" si="33"/>
        <v>#DIV/0!</v>
      </c>
    </row>
    <row r="116" spans="1:13">
      <c r="A116" s="845" t="s">
        <v>2685</v>
      </c>
      <c r="B116" s="846" t="e">
        <f>ROUND(0.949-0.012*B113,4)</f>
        <v>#DIV/0!</v>
      </c>
      <c r="C116" s="846" t="e">
        <f>B116</f>
        <v>#DIV/0!</v>
      </c>
      <c r="D116" s="846" t="e">
        <f>ROUND(0.8567-0.013*B113,4)</f>
        <v>#DIV/0!</v>
      </c>
      <c r="E116" s="846" t="e">
        <f t="shared" ref="E116:H117" si="34">D116</f>
        <v>#DIV/0!</v>
      </c>
      <c r="F116" s="846" t="e">
        <f t="shared" si="34"/>
        <v>#DIV/0!</v>
      </c>
      <c r="G116" s="846" t="e">
        <f t="shared" si="34"/>
        <v>#DIV/0!</v>
      </c>
      <c r="H116" s="846" t="e">
        <f t="shared" si="34"/>
        <v>#DIV/0!</v>
      </c>
      <c r="I116" s="846" t="e">
        <f>ROUND(0.7694-0.014*B113,4)</f>
        <v>#DIV/0!</v>
      </c>
      <c r="J116" s="846" t="e">
        <f t="shared" si="33"/>
        <v>#DIV/0!</v>
      </c>
      <c r="K116" s="846" t="e">
        <f t="shared" si="33"/>
        <v>#DIV/0!</v>
      </c>
      <c r="L116" s="846" t="e">
        <f t="shared" si="33"/>
        <v>#DIV/0!</v>
      </c>
      <c r="M116" s="847" t="e">
        <f t="shared" si="33"/>
        <v>#DIV/0!</v>
      </c>
    </row>
    <row r="117" spans="1:13">
      <c r="A117" s="845" t="s">
        <v>2686</v>
      </c>
      <c r="B117" s="846" t="e">
        <f>ROUND(0.8808-0.006*B113,4)</f>
        <v>#DIV/0!</v>
      </c>
      <c r="C117" s="846" t="e">
        <f>B117</f>
        <v>#DIV/0!</v>
      </c>
      <c r="D117" s="846" t="e">
        <f>ROUND(0.8748-0.008*B113,4)</f>
        <v>#DIV/0!</v>
      </c>
      <c r="E117" s="846" t="e">
        <f t="shared" si="34"/>
        <v>#DIV/0!</v>
      </c>
      <c r="F117" s="846" t="e">
        <f t="shared" si="34"/>
        <v>#DIV/0!</v>
      </c>
      <c r="G117" s="846" t="e">
        <f t="shared" si="34"/>
        <v>#DIV/0!</v>
      </c>
      <c r="H117" s="846" t="e">
        <f t="shared" si="34"/>
        <v>#DIV/0!</v>
      </c>
      <c r="I117" s="846" t="e">
        <f>ROUND(0.7412-0.0095*B113,4)</f>
        <v>#DIV/0!</v>
      </c>
      <c r="J117" s="846" t="e">
        <f t="shared" si="33"/>
        <v>#DIV/0!</v>
      </c>
      <c r="K117" s="846" t="e">
        <f t="shared" si="33"/>
        <v>#DIV/0!</v>
      </c>
      <c r="L117" s="846" t="e">
        <f t="shared" si="33"/>
        <v>#DIV/0!</v>
      </c>
      <c r="M117" s="847" t="e">
        <f t="shared" si="33"/>
        <v>#DIV/0!</v>
      </c>
    </row>
    <row r="118" spans="1:13" ht="13.5" thickBot="1">
      <c r="A118" s="668" t="s">
        <v>2687</v>
      </c>
      <c r="B118" s="848" t="e">
        <f>ROUND(0.7275-0.01*B113,4)</f>
        <v>#DIV/0!</v>
      </c>
      <c r="C118" s="848" t="e">
        <f>B118</f>
        <v>#DIV/0!</v>
      </c>
      <c r="D118" s="848" t="e">
        <f>ROUND(0.7043-0.012*B113,4)</f>
        <v>#DIV/0!</v>
      </c>
      <c r="E118" s="848" t="e">
        <f>D118</f>
        <v>#DIV/0!</v>
      </c>
      <c r="F118" s="848" t="e">
        <f>E118</f>
        <v>#DIV/0!</v>
      </c>
      <c r="G118" s="848" t="e">
        <f>ROUND(0.6299-0.0122*B113,4)</f>
        <v>#DIV/0!</v>
      </c>
      <c r="H118" s="848" t="e">
        <f>G118</f>
        <v>#DIV/0!</v>
      </c>
      <c r="I118" s="848" t="e">
        <f>ROUND(0.5667-0.0136*B113,4)</f>
        <v>#DIV/0!</v>
      </c>
      <c r="J118" s="848" t="e">
        <f t="shared" si="33"/>
        <v>#DIV/0!</v>
      </c>
      <c r="K118" s="848" t="e">
        <f t="shared" si="33"/>
        <v>#DIV/0!</v>
      </c>
      <c r="L118" s="848" t="e">
        <f t="shared" si="33"/>
        <v>#DIV/0!</v>
      </c>
      <c r="M118" s="849" t="e">
        <f t="shared" si="33"/>
        <v>#DIV/0!</v>
      </c>
    </row>
  </sheetData>
  <sheetProtection password="CEE9" sheet="1" objects="1" scenarios="1" formatCells="0" formatColumns="0" formatRows="0"/>
  <dataConsolidate/>
  <mergeCells count="18">
    <mergeCell ref="A16:A17"/>
    <mergeCell ref="A90:J90"/>
    <mergeCell ref="A110:J110"/>
    <mergeCell ref="A91:A92"/>
    <mergeCell ref="B91:B92"/>
    <mergeCell ref="A93:A100"/>
    <mergeCell ref="A101:A109"/>
    <mergeCell ref="B108:B109"/>
    <mergeCell ref="A33:A36"/>
    <mergeCell ref="D16:E16"/>
    <mergeCell ref="F16:G16"/>
    <mergeCell ref="J33:J36"/>
    <mergeCell ref="W8:X8"/>
    <mergeCell ref="W9:W10"/>
    <mergeCell ref="W11:W13"/>
    <mergeCell ref="A4:J4"/>
    <mergeCell ref="A7:A11"/>
    <mergeCell ref="A12:A15"/>
  </mergeCells>
  <phoneticPr fontId="78" type="noConversion"/>
  <conditionalFormatting sqref="F48">
    <cfRule type="cellIs" dxfId="147" priority="5" stopIfTrue="1" operator="notEqual">
      <formula>"——"</formula>
    </cfRule>
  </conditionalFormatting>
  <conditionalFormatting sqref="F59">
    <cfRule type="cellIs" dxfId="146" priority="4" stopIfTrue="1" operator="notEqual">
      <formula>"——"</formula>
    </cfRule>
  </conditionalFormatting>
  <conditionalFormatting sqref="F70">
    <cfRule type="cellIs" dxfId="145" priority="3" stopIfTrue="1" operator="notEqual">
      <formula>"——"</formula>
    </cfRule>
  </conditionalFormatting>
  <conditionalFormatting sqref="F81">
    <cfRule type="cellIs" dxfId="144" priority="2" stopIfTrue="1" operator="notEqual">
      <formula>"——"</formula>
    </cfRule>
  </conditionalFormatting>
  <conditionalFormatting sqref="H48:H56 H59:H67 H70:H78 H81:H88">
    <cfRule type="cellIs" dxfId="143"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81:C88 C70:C78 C48:C56 C59:C67">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I57"/>
  <sheetViews>
    <sheetView view="pageBreakPreview" zoomScale="85" zoomScaleNormal="70" zoomScaleSheetLayoutView="85" workbookViewId="0">
      <selection activeCell="J30" sqref="J30"/>
    </sheetView>
  </sheetViews>
  <sheetFormatPr defaultColWidth="8.375" defaultRowHeight="12.75"/>
  <cols>
    <col min="1" max="1" width="10.375" style="1642" customWidth="1"/>
    <col min="2" max="2" width="29.25" style="264" customWidth="1"/>
    <col min="3" max="3" width="12.125" style="264" customWidth="1"/>
    <col min="4" max="5" width="11.25" style="661" customWidth="1"/>
    <col min="6" max="6" width="9.5" style="264" customWidth="1"/>
    <col min="7" max="7" width="31.875" style="264" customWidth="1"/>
    <col min="8" max="254" width="9" style="264" customWidth="1"/>
    <col min="255" max="16384" width="8.375" style="264"/>
  </cols>
  <sheetData>
    <row r="1" spans="1:9" s="3041" customFormat="1" ht="20.25">
      <c r="A1" s="3122" t="s">
        <v>3578</v>
      </c>
      <c r="B1" s="3038" t="s">
        <v>3607</v>
      </c>
      <c r="C1" s="3039"/>
      <c r="D1" s="3039"/>
      <c r="E1" s="3039"/>
      <c r="F1" s="3039"/>
      <c r="G1" s="3040">
        <f>MATCH(B1,'数据-取费表'!A6:A16,0)+5</f>
        <v>6</v>
      </c>
    </row>
    <row r="2" spans="1:9" s="3041" customFormat="1" ht="18" customHeight="1">
      <c r="A2" s="3042" t="s">
        <v>1359</v>
      </c>
      <c r="B2" s="3043">
        <f ca="1">IF(D2="——",C52,C52-E2)</f>
        <v>33048</v>
      </c>
      <c r="C2" s="3044" t="s">
        <v>2148</v>
      </c>
      <c r="D2" s="3045" t="s">
        <v>70</v>
      </c>
      <c r="E2" s="3046" t="e">
        <f ca="1">SUMIF(INDIRECT("'"&amp;G2&amp;"'"&amp;"!A:A"),"承租人权益价值",INDIRECT("'"&amp;G2&amp;"'"&amp;"!c:c"))</f>
        <v>#REF!</v>
      </c>
      <c r="F2" s="3047" t="s">
        <v>2148</v>
      </c>
      <c r="G2" s="3048"/>
    </row>
    <row r="3" spans="1:9" s="3041" customFormat="1" ht="18" customHeight="1" thickBot="1">
      <c r="A3" s="3049" t="s">
        <v>1360</v>
      </c>
      <c r="B3" s="3050">
        <f ca="1">ROUND(B2*10000/(IF(B1="",'数据-汇总表'!E3,INDIRECT("'数据-取费表'!k"&amp;$G$1))),0)</f>
        <v>11161</v>
      </c>
      <c r="C3" s="3044" t="s">
        <v>2150</v>
      </c>
      <c r="D3" s="3044"/>
      <c r="E3" s="3044"/>
      <c r="F3" s="3044"/>
      <c r="G3" s="3044"/>
    </row>
    <row r="4" spans="1:9" s="3054" customFormat="1" ht="15.75">
      <c r="A4" s="3051" t="s">
        <v>2151</v>
      </c>
      <c r="B4" s="3052"/>
      <c r="C4" s="3052"/>
      <c r="D4" s="3052"/>
      <c r="E4" s="3052"/>
      <c r="F4" s="3052"/>
      <c r="G4" s="3053"/>
    </row>
    <row r="5" spans="1:9" s="229" customFormat="1" ht="13.5" customHeight="1">
      <c r="A5" s="3055" t="s">
        <v>782</v>
      </c>
      <c r="B5" s="3056" t="s">
        <v>2153</v>
      </c>
      <c r="C5" s="3057">
        <f ca="1">C6+C7+C8</f>
        <v>5972</v>
      </c>
      <c r="D5" s="3057" t="s">
        <v>2154</v>
      </c>
      <c r="E5" s="3058" t="s">
        <v>2155</v>
      </c>
      <c r="F5" s="3058" t="s">
        <v>2156</v>
      </c>
      <c r="G5" s="3059"/>
    </row>
    <row r="6" spans="1:9" s="229" customFormat="1" ht="13.5" customHeight="1">
      <c r="A6" s="3060" t="s">
        <v>791</v>
      </c>
      <c r="B6" s="3061" t="s">
        <v>2158</v>
      </c>
      <c r="C6" s="222">
        <f>'土地比较法-住宅、综合'!F56</f>
        <v>5214</v>
      </c>
      <c r="D6" s="3062"/>
      <c r="E6" s="3063"/>
      <c r="F6" s="3063"/>
      <c r="G6" s="3064"/>
    </row>
    <row r="7" spans="1:9" s="229" customFormat="1" ht="13.5" customHeight="1">
      <c r="A7" s="3060" t="s">
        <v>792</v>
      </c>
      <c r="B7" s="3061" t="s">
        <v>2160</v>
      </c>
      <c r="C7" s="3065">
        <f>ROUND(C6*F7,0)</f>
        <v>159</v>
      </c>
      <c r="D7" s="3065"/>
      <c r="E7" s="3063"/>
      <c r="F7" s="3066">
        <f>IF(项目基本情况!B8="出让",0,'数据-取费表'!B48+'数据-取费表'!B49)</f>
        <v>3.0499999999999999E-2</v>
      </c>
      <c r="G7" s="3064"/>
    </row>
    <row r="8" spans="1:9" s="229" customFormat="1">
      <c r="A8" s="3060" t="s">
        <v>793</v>
      </c>
      <c r="B8" s="3061" t="s">
        <v>2162</v>
      </c>
      <c r="C8" s="3065">
        <f ca="1">IF(G8="已包含在土地购买价格中","0",IF(B1="",'数据-取费表'!B29,IF(G9="全部缴纳",C9+C10,H9)))</f>
        <v>599</v>
      </c>
      <c r="D8" s="3067"/>
      <c r="E8" s="3065"/>
      <c r="F8" s="3066"/>
      <c r="G8" s="3068" t="s">
        <v>3066</v>
      </c>
    </row>
    <row r="9" spans="1:9" s="229" customFormat="1" ht="13.5" customHeight="1">
      <c r="A9" s="3069" t="s">
        <v>800</v>
      </c>
      <c r="B9" s="3070" t="s">
        <v>2163</v>
      </c>
      <c r="C9" s="3071">
        <f ca="1">ROUND(D9*E9/10000,0)</f>
        <v>0</v>
      </c>
      <c r="D9" s="3072">
        <f ca="1">IF(B1="",'数据-汇总表'!E5,IF(INDIRECT("'数据-取费表'!c"&amp;$G$1)="住宅",INDIRECT("'数据-取费表'!k"&amp;$G$1),0))</f>
        <v>0</v>
      </c>
      <c r="E9" s="3071">
        <f>'数据-取费表'!B27</f>
        <v>160</v>
      </c>
      <c r="F9" s="3066"/>
      <c r="G9" s="3123" t="s">
        <v>3067</v>
      </c>
      <c r="H9" s="3124"/>
      <c r="I9" s="229" t="s">
        <v>3579</v>
      </c>
    </row>
    <row r="10" spans="1:9" s="229" customFormat="1" ht="13.5" customHeight="1">
      <c r="A10" s="3069" t="s">
        <v>801</v>
      </c>
      <c r="B10" s="3070" t="s">
        <v>2164</v>
      </c>
      <c r="C10" s="3071">
        <f ca="1">ROUND(D10*E10/10000,0)</f>
        <v>599</v>
      </c>
      <c r="D10" s="3072">
        <f ca="1">IF(B1="",'数据-汇总表'!E6,IF(INDIRECT("'数据-取费表'!c"&amp;$G$1)="住宅",INDIRECT("'数据-取费表'!s"&amp;$G$1),INDIRECT("'数据-取费表'!k"&amp;$G$1)+INDIRECT("'数据-取费表'!s"&amp;$G$1)))</f>
        <v>29932.760000000009</v>
      </c>
      <c r="E10" s="3071">
        <f>'数据-取费表'!B28</f>
        <v>200</v>
      </c>
      <c r="F10" s="3066"/>
      <c r="G10" s="3073"/>
    </row>
    <row r="11" spans="1:9" s="229" customFormat="1" ht="13.5" hidden="1" customHeight="1">
      <c r="A11" s="3074" t="s">
        <v>7</v>
      </c>
      <c r="B11" s="3061" t="s">
        <v>2165</v>
      </c>
      <c r="C11" s="3057"/>
      <c r="D11" s="3075"/>
      <c r="E11" s="3063"/>
      <c r="F11" s="3063"/>
      <c r="G11" s="3064"/>
    </row>
    <row r="12" spans="1:9" s="229" customFormat="1" ht="13.5" hidden="1" customHeight="1">
      <c r="A12" s="3074" t="s">
        <v>8</v>
      </c>
      <c r="B12" s="3061" t="s">
        <v>2166</v>
      </c>
      <c r="C12" s="3057">
        <v>0</v>
      </c>
      <c r="D12" s="3075"/>
      <c r="E12" s="3076"/>
      <c r="F12" s="3066">
        <v>3.0499999999999999E-2</v>
      </c>
      <c r="G12" s="3064"/>
    </row>
    <row r="13" spans="1:9" s="229" customFormat="1" ht="13.5" hidden="1" customHeight="1">
      <c r="A13" s="3074" t="s">
        <v>9</v>
      </c>
      <c r="B13" s="3061" t="s">
        <v>2167</v>
      </c>
      <c r="C13" s="3057"/>
      <c r="D13" s="3075"/>
      <c r="E13" s="3063"/>
      <c r="F13" s="3063"/>
      <c r="G13" s="3064"/>
    </row>
    <row r="14" spans="1:9" s="229" customFormat="1" ht="13.5" hidden="1" customHeight="1">
      <c r="A14" s="3074" t="s">
        <v>10</v>
      </c>
      <c r="B14" s="3061" t="s">
        <v>2162</v>
      </c>
      <c r="C14" s="3057"/>
      <c r="D14" s="3075"/>
      <c r="E14" s="3063"/>
      <c r="F14" s="3063"/>
      <c r="G14" s="3064" t="s">
        <v>2168</v>
      </c>
    </row>
    <row r="15" spans="1:9" s="229" customFormat="1" ht="13.5" hidden="1" customHeight="1">
      <c r="A15" s="3074" t="s">
        <v>11</v>
      </c>
      <c r="B15" s="3061" t="s">
        <v>2169</v>
      </c>
      <c r="C15" s="3065"/>
      <c r="D15" s="3075"/>
      <c r="E15" s="3063"/>
      <c r="F15" s="3063"/>
      <c r="G15" s="3064" t="s">
        <v>2170</v>
      </c>
    </row>
    <row r="16" spans="1:9" s="229" customFormat="1" ht="13.5" hidden="1" customHeight="1">
      <c r="A16" s="3074" t="s">
        <v>12</v>
      </c>
      <c r="B16" s="3061" t="s">
        <v>2162</v>
      </c>
      <c r="C16" s="3065"/>
      <c r="D16" s="3075"/>
      <c r="E16" s="3063"/>
      <c r="F16" s="3063"/>
      <c r="G16" s="3064"/>
    </row>
    <row r="17" spans="1:7" s="229" customFormat="1" ht="13.5" hidden="1" customHeight="1">
      <c r="A17" s="3074" t="s">
        <v>13</v>
      </c>
      <c r="B17" s="3061" t="s">
        <v>2171</v>
      </c>
      <c r="C17" s="3077"/>
      <c r="D17" s="3078"/>
      <c r="E17" s="3077"/>
      <c r="F17" s="3077"/>
      <c r="G17" s="3064" t="s">
        <v>2170</v>
      </c>
    </row>
    <row r="18" spans="1:7" s="229" customFormat="1" ht="13.5" hidden="1" customHeight="1">
      <c r="A18" s="3074" t="s">
        <v>14</v>
      </c>
      <c r="B18" s="3061" t="s">
        <v>2172</v>
      </c>
      <c r="C18" s="3065">
        <v>0</v>
      </c>
      <c r="D18" s="3075"/>
      <c r="E18" s="3063"/>
      <c r="F18" s="3066">
        <v>3.0499999999999999E-2</v>
      </c>
      <c r="G18" s="3064" t="s">
        <v>2173</v>
      </c>
    </row>
    <row r="19" spans="1:7" s="229" customFormat="1" ht="13.5" customHeight="1">
      <c r="A19" s="3055" t="s">
        <v>2174</v>
      </c>
      <c r="B19" s="3056" t="s">
        <v>2175</v>
      </c>
      <c r="C19" s="3057" t="str">
        <f>IF(G19="已包含在土地取得成本中","0",ROUND(D19*E19/10000,0))</f>
        <v>0</v>
      </c>
      <c r="D19" s="3079">
        <f ca="1">D9+D10</f>
        <v>29932.760000000009</v>
      </c>
      <c r="E19" s="3057">
        <f>'数据-取费表'!B31</f>
        <v>200</v>
      </c>
      <c r="F19" s="3080"/>
      <c r="G19" s="3068" t="s">
        <v>3555</v>
      </c>
    </row>
    <row r="20" spans="1:7" s="229" customFormat="1" ht="13.5" customHeight="1">
      <c r="A20" s="3055" t="s">
        <v>2176</v>
      </c>
      <c r="B20" s="3056" t="s">
        <v>2177</v>
      </c>
      <c r="C20" s="3081">
        <f ca="1">ROUND((C5+C19)*F20,0)</f>
        <v>119</v>
      </c>
      <c r="D20" s="3081"/>
      <c r="E20" s="3081"/>
      <c r="F20" s="3082">
        <f>'数据-取费表'!B37</f>
        <v>0.02</v>
      </c>
      <c r="G20" s="3083" t="s">
        <v>2178</v>
      </c>
    </row>
    <row r="21" spans="1:7" s="229" customFormat="1" ht="13.5" customHeight="1">
      <c r="A21" s="3055" t="s">
        <v>2179</v>
      </c>
      <c r="B21" s="3056" t="s">
        <v>2180</v>
      </c>
      <c r="C21" s="3084">
        <f>F21</f>
        <v>0.02</v>
      </c>
      <c r="D21" s="3085" t="s">
        <v>2181</v>
      </c>
      <c r="E21" s="3081"/>
      <c r="F21" s="3082">
        <f>'数据-取费表'!B38</f>
        <v>0.02</v>
      </c>
      <c r="G21" s="3083" t="s">
        <v>2182</v>
      </c>
    </row>
    <row r="22" spans="1:7" s="229" customFormat="1" ht="13.5" customHeight="1">
      <c r="A22" s="3055" t="s">
        <v>2183</v>
      </c>
      <c r="B22" s="3056" t="s">
        <v>2184</v>
      </c>
      <c r="C22" s="3086">
        <f ca="1">ROUND(SUM(C23:C25),0)</f>
        <v>901</v>
      </c>
      <c r="D22" s="3084">
        <f ca="1">C26</f>
        <v>1.4E-3</v>
      </c>
      <c r="E22" s="3085" t="s">
        <v>2181</v>
      </c>
      <c r="F22" s="3087">
        <f ca="1">'数据-取费表'!B40</f>
        <v>4.7500000000000001E-2</v>
      </c>
      <c r="G22" s="3083" t="str">
        <f>IF('数据-取费表'!B22&lt;=1,"单利计息","复利计息")</f>
        <v>复利计息</v>
      </c>
    </row>
    <row r="23" spans="1:7" s="229" customFormat="1" ht="13.5" customHeight="1">
      <c r="A23" s="3088" t="s">
        <v>791</v>
      </c>
      <c r="B23" s="3061" t="s">
        <v>2185</v>
      </c>
      <c r="C23" s="3089">
        <f ca="1">ROUND(IF('数据-取费表'!B22&lt;=1,C5*F22*'数据-取费表'!B23,C5*(POWER((1+F22),'数据-取费表'!B23)-1)),0)</f>
        <v>892</v>
      </c>
      <c r="D23" s="3090"/>
      <c r="E23" s="3090"/>
      <c r="F23" s="3091"/>
      <c r="G23" s="3092" t="s">
        <v>2186</v>
      </c>
    </row>
    <row r="24" spans="1:7" s="229" customFormat="1" ht="13.5" customHeight="1">
      <c r="A24" s="3088" t="s">
        <v>792</v>
      </c>
      <c r="B24" s="3061" t="s">
        <v>2187</v>
      </c>
      <c r="C24" s="3089">
        <f ca="1">ROUND(IF('数据-取费表'!B22&lt;=1,C19*F22*('数据-取费表'!B19/2+'数据-取费表'!B21),C19*(POWER((1+F22),('数据-取费表'!B19/2+'数据-取费表'!B21))-1)),0)</f>
        <v>0</v>
      </c>
      <c r="D24" s="3090"/>
      <c r="E24" s="3090"/>
      <c r="F24" s="3091"/>
      <c r="G24" s="3092" t="s">
        <v>2188</v>
      </c>
    </row>
    <row r="25" spans="1:7" s="229" customFormat="1" ht="24">
      <c r="A25" s="3088" t="s">
        <v>793</v>
      </c>
      <c r="B25" s="3061" t="s">
        <v>2189</v>
      </c>
      <c r="C25" s="3089">
        <f ca="1">ROUND(IF('数据-取费表'!B22&lt;=1,C20*F22*'数据-取费表'!B23/2,C20*(POWER((1+F22),'数据-取费表'!B23/2)-1)),0)</f>
        <v>9</v>
      </c>
      <c r="D25" s="3090"/>
      <c r="E25" s="3093"/>
      <c r="F25" s="3091"/>
      <c r="G25" s="3094" t="s">
        <v>2190</v>
      </c>
    </row>
    <row r="26" spans="1:7" s="229" customFormat="1">
      <c r="A26" s="3088" t="s">
        <v>795</v>
      </c>
      <c r="B26" s="3061" t="s">
        <v>2191</v>
      </c>
      <c r="C26" s="3090">
        <f ca="1">ROUND(IF('数据-取费表'!B22&lt;=1,F21*F22*'数据-取费表'!B23/2,F21*(POWER((1+F22),'数据-取费表'!B23/2)-1)),4)</f>
        <v>1.4E-3</v>
      </c>
      <c r="D26" s="3090"/>
      <c r="E26" s="3093"/>
      <c r="F26" s="3091"/>
      <c r="G26" s="3095"/>
    </row>
    <row r="27" spans="1:7" s="229" customFormat="1" ht="24.75">
      <c r="A27" s="3055" t="s">
        <v>2192</v>
      </c>
      <c r="B27" s="3096" t="s">
        <v>2193</v>
      </c>
      <c r="C27" s="3097">
        <f ca="1">C28</f>
        <v>609</v>
      </c>
      <c r="D27" s="3084">
        <f ca="1">C29</f>
        <v>2E-3</v>
      </c>
      <c r="E27" s="3085" t="s">
        <v>2181</v>
      </c>
      <c r="F27" s="3098">
        <f ca="1">IF(B1="",'数据-取费表'!Q16,INDIRECT("'数据-取费表'!q"&amp;$G$1))</f>
        <v>0.1</v>
      </c>
      <c r="G27" s="3099" t="s">
        <v>2195</v>
      </c>
    </row>
    <row r="28" spans="1:7" s="229" customFormat="1" ht="13.5" customHeight="1">
      <c r="A28" s="3088" t="s">
        <v>791</v>
      </c>
      <c r="B28" s="3100" t="s">
        <v>2196</v>
      </c>
      <c r="C28" s="3101">
        <f ca="1">ROUND((C5+C19+C20)*F27*'数据-取费表'!B21/'数据-取费表'!B20,0)</f>
        <v>609</v>
      </c>
      <c r="D28" s="3084"/>
      <c r="E28" s="3085"/>
      <c r="F28" s="3098"/>
      <c r="G28" s="3099"/>
    </row>
    <row r="29" spans="1:7" s="229" customFormat="1" ht="13.5" customHeight="1">
      <c r="A29" s="3088" t="s">
        <v>792</v>
      </c>
      <c r="B29" s="3100" t="s">
        <v>2197</v>
      </c>
      <c r="C29" s="3090">
        <f ca="1">ROUND(C21*F27*'数据-取费表'!B21/'数据-取费表'!B20,4)</f>
        <v>2E-3</v>
      </c>
      <c r="D29" s="3084"/>
      <c r="E29" s="3085"/>
      <c r="F29" s="3098"/>
      <c r="G29" s="3099"/>
    </row>
    <row r="30" spans="1:7" s="229" customFormat="1" ht="13.5" customHeight="1">
      <c r="A30" s="3055" t="s">
        <v>2198</v>
      </c>
      <c r="B30" s="3056" t="s">
        <v>2199</v>
      </c>
      <c r="C30" s="3084">
        <f>ROUND(F30/(1+'数据-取费表'!C42),4)</f>
        <v>5.33E-2</v>
      </c>
      <c r="D30" s="3085" t="s">
        <v>2181</v>
      </c>
      <c r="E30" s="3093"/>
      <c r="F30" s="3087">
        <f>'数据-取费表'!B41</f>
        <v>5.6000000000000001E-2</v>
      </c>
      <c r="G30" s="3083" t="s">
        <v>2200</v>
      </c>
    </row>
    <row r="31" spans="1:7" ht="16.5" customHeight="1">
      <c r="A31" s="3102">
        <v>1</v>
      </c>
      <c r="B31" s="3056" t="s">
        <v>2201</v>
      </c>
      <c r="C31" s="3057">
        <f ca="1">ROUND((C5+C19+C20+C22+C27)/(1-C21-D22-D27-C30),0)</f>
        <v>8232</v>
      </c>
      <c r="D31" s="3103"/>
      <c r="E31" s="3057"/>
      <c r="F31" s="3104"/>
      <c r="G31" s="3083" t="s">
        <v>2202</v>
      </c>
    </row>
    <row r="32" spans="1:7" s="3054" customFormat="1" ht="15.75">
      <c r="A32" s="3105" t="s">
        <v>2203</v>
      </c>
      <c r="B32" s="3106"/>
      <c r="C32" s="3106"/>
      <c r="D32" s="3106"/>
      <c r="E32" s="3106"/>
      <c r="F32" s="3106"/>
      <c r="G32" s="3107"/>
    </row>
    <row r="33" spans="1:7" s="229" customFormat="1" ht="13.5" customHeight="1">
      <c r="A33" s="3055" t="s">
        <v>782</v>
      </c>
      <c r="B33" s="3056" t="s">
        <v>2204</v>
      </c>
      <c r="C33" s="3108">
        <f ca="1">SUM(C34:C38)</f>
        <v>19300</v>
      </c>
      <c r="D33" s="3081"/>
      <c r="E33" s="3058"/>
      <c r="F33" s="3093"/>
      <c r="G33" s="3083"/>
    </row>
    <row r="34" spans="1:7" ht="13.5" customHeight="1">
      <c r="A34" s="3088" t="s">
        <v>791</v>
      </c>
      <c r="B34" s="3061" t="s">
        <v>2205</v>
      </c>
      <c r="C34" s="3065">
        <f ca="1">IF(B1="",IF(F34=100%,'数据-取费表'!M16,'数据-取费表'!O16),IF(F34=100%,INDIRECT("'数据-取费表'!m"&amp;$G$1)+INDIRECT("'数据-取费表'!t"&amp;$G$1),INDIRECT("'数据-取费表'!o"&amp;$G$1)+INDIRECT("'数据-取费表'!aq"&amp;$G$1)))</f>
        <v>17896</v>
      </c>
      <c r="D34" s="3062"/>
      <c r="E34" s="3065"/>
      <c r="F34" s="3109">
        <f ca="1">IF('数据-取费表'!B24=0,1,IF(B1="",'数据-取费表'!N16,INDIRECT("'数据-取费表'!n"&amp;$G$1)))</f>
        <v>1</v>
      </c>
      <c r="G34" s="3064" t="s">
        <v>2206</v>
      </c>
    </row>
    <row r="35" spans="1:7" ht="13.5" customHeight="1">
      <c r="A35" s="3088" t="s">
        <v>796</v>
      </c>
      <c r="B35" s="3061" t="s">
        <v>2207</v>
      </c>
      <c r="C35" s="3065">
        <f ca="1">ROUND(C34*F35,0)</f>
        <v>537</v>
      </c>
      <c r="D35" s="3065"/>
      <c r="E35" s="3065"/>
      <c r="F35" s="3110">
        <f>'数据-取费表'!B33</f>
        <v>0.03</v>
      </c>
      <c r="G35" s="3064" t="s">
        <v>2208</v>
      </c>
    </row>
    <row r="36" spans="1:7" ht="24">
      <c r="A36" s="3088" t="s">
        <v>797</v>
      </c>
      <c r="B36" s="3061" t="s">
        <v>2209</v>
      </c>
      <c r="C36" s="3065">
        <f ca="1">ROUND(IF(B1="",SUMIF('数据-取费表'!C:C,"住宅",IF(F34=100%,'数据-取费表'!M:M,'数据-取费表'!O:O))*F36,IF(INDIRECT("'数据-取费表'!c"&amp;$G$1)="住宅",IF(F34=100%,INDIRECT("'数据-取费表'!m"&amp;$G$1)*F36,INDIRECT("'数据-取费表'!o"&amp;$G$1)*F36),0)),0)</f>
        <v>0</v>
      </c>
      <c r="D36" s="3065"/>
      <c r="E36" s="3065"/>
      <c r="F36" s="3110">
        <f>'数据-取费表'!B34</f>
        <v>0.03</v>
      </c>
      <c r="G36" s="3111" t="s">
        <v>2210</v>
      </c>
    </row>
    <row r="37" spans="1:7" ht="13.5" customHeight="1">
      <c r="A37" s="3088" t="s">
        <v>798</v>
      </c>
      <c r="B37" s="3061" t="s">
        <v>2211</v>
      </c>
      <c r="C37" s="3101">
        <f ca="1">ROUND(E37*D37*F34/10000,0)</f>
        <v>599</v>
      </c>
      <c r="D37" s="3062">
        <f ca="1">D19</f>
        <v>29932.760000000009</v>
      </c>
      <c r="E37" s="3101">
        <f>'数据-取费表'!B35</f>
        <v>200</v>
      </c>
      <c r="F37" s="3110"/>
      <c r="G37" s="3112" t="s">
        <v>2212</v>
      </c>
    </row>
    <row r="38" spans="1:7" ht="13.5" customHeight="1">
      <c r="A38" s="3088" t="s">
        <v>799</v>
      </c>
      <c r="B38" s="3061" t="s">
        <v>2213</v>
      </c>
      <c r="C38" s="3065">
        <f ca="1">ROUND(C34*F38,0)</f>
        <v>268</v>
      </c>
      <c r="D38" s="3065"/>
      <c r="E38" s="3065"/>
      <c r="F38" s="3110">
        <f>'数据-取费表'!B36</f>
        <v>1.4999999999999999E-2</v>
      </c>
      <c r="G38" s="3064" t="s">
        <v>2208</v>
      </c>
    </row>
    <row r="39" spans="1:7" s="229" customFormat="1" ht="13.5" customHeight="1">
      <c r="A39" s="3055" t="s">
        <v>2174</v>
      </c>
      <c r="B39" s="3056" t="s">
        <v>2177</v>
      </c>
      <c r="C39" s="3081">
        <f ca="1">ROUND(C33*F20,0)</f>
        <v>386</v>
      </c>
      <c r="D39" s="3081"/>
      <c r="E39" s="3081"/>
      <c r="F39" s="3082">
        <f>F20</f>
        <v>0.02</v>
      </c>
      <c r="G39" s="3083" t="s">
        <v>2216</v>
      </c>
    </row>
    <row r="40" spans="1:7" s="229" customFormat="1" ht="13.5" customHeight="1">
      <c r="A40" s="3055" t="s">
        <v>2176</v>
      </c>
      <c r="B40" s="3056" t="s">
        <v>2180</v>
      </c>
      <c r="C40" s="3113">
        <f>F21</f>
        <v>0.02</v>
      </c>
      <c r="D40" s="3085" t="s">
        <v>2219</v>
      </c>
      <c r="E40" s="3081"/>
      <c r="F40" s="3082">
        <f>F21</f>
        <v>0.02</v>
      </c>
      <c r="G40" s="3083" t="s">
        <v>2220</v>
      </c>
    </row>
    <row r="41" spans="1:7" s="229" customFormat="1" ht="13.5" customHeight="1">
      <c r="A41" s="3055" t="s">
        <v>2179</v>
      </c>
      <c r="B41" s="3056" t="s">
        <v>2184</v>
      </c>
      <c r="C41" s="3081">
        <f ca="1">ROUND(SUM(C42:C43),0)</f>
        <v>1419</v>
      </c>
      <c r="D41" s="3084">
        <f ca="1">C44</f>
        <v>1.4E-3</v>
      </c>
      <c r="E41" s="3085" t="s">
        <v>2219</v>
      </c>
      <c r="F41" s="3087">
        <f ca="1">F22</f>
        <v>4.7500000000000001E-2</v>
      </c>
      <c r="G41" s="3083" t="str">
        <f>IF('数据-取费表'!B22&lt;=1,"单利计息","复利计息")</f>
        <v>复利计息</v>
      </c>
    </row>
    <row r="42" spans="1:7" ht="13.5" customHeight="1">
      <c r="A42" s="3088" t="s">
        <v>791</v>
      </c>
      <c r="B42" s="3061" t="s">
        <v>2185</v>
      </c>
      <c r="C42" s="3090">
        <f ca="1">ROUND(IF('数据-取费表'!B22&lt;=1,C33*F22*'数据-取费表'!B21/2,C33*(POWER((1+F22),'数据-取费表'!B21/2)-1)),0)</f>
        <v>1391</v>
      </c>
      <c r="D42" s="3090"/>
      <c r="E42" s="3090"/>
      <c r="F42" s="3091"/>
      <c r="G42" s="3422" t="s">
        <v>2224</v>
      </c>
    </row>
    <row r="43" spans="1:7" ht="13.5" customHeight="1">
      <c r="A43" s="3088" t="s">
        <v>792</v>
      </c>
      <c r="B43" s="3061" t="s">
        <v>2187</v>
      </c>
      <c r="C43" s="3090">
        <f ca="1">ROUND(IF('数据-取费表'!B22&lt;=1,C39*F22*'数据-取费表'!B21/2,C39*(POWER((1+F22),'数据-取费表'!B21/2)-1)),0)</f>
        <v>28</v>
      </c>
      <c r="D43" s="3090"/>
      <c r="E43" s="3090"/>
      <c r="F43" s="3091"/>
      <c r="G43" s="3423"/>
    </row>
    <row r="44" spans="1:7" ht="13.5" customHeight="1">
      <c r="A44" s="3088" t="s">
        <v>793</v>
      </c>
      <c r="B44" s="3061" t="s">
        <v>2189</v>
      </c>
      <c r="C44" s="3090">
        <f ca="1">ROUND(IF('数据-取费表'!B22&lt;=1,C40*F22*'数据-取费表'!B21/2,C40*(POWER((1+F22),'数据-取费表'!B21/2)-1)),4)</f>
        <v>1.4E-3</v>
      </c>
      <c r="D44" s="3090"/>
      <c r="E44" s="3090"/>
      <c r="F44" s="3091"/>
      <c r="G44" s="3424"/>
    </row>
    <row r="45" spans="1:7" s="229" customFormat="1" ht="13.5" customHeight="1">
      <c r="A45" s="3055" t="s">
        <v>2183</v>
      </c>
      <c r="B45" s="3096" t="s">
        <v>2193</v>
      </c>
      <c r="C45" s="3097">
        <f ca="1">C46</f>
        <v>1969</v>
      </c>
      <c r="D45" s="3084">
        <f ca="1">C47</f>
        <v>2E-3</v>
      </c>
      <c r="E45" s="3085" t="s">
        <v>2219</v>
      </c>
      <c r="F45" s="3098">
        <f ca="1">F27</f>
        <v>0.1</v>
      </c>
      <c r="G45" s="3099" t="s">
        <v>2228</v>
      </c>
    </row>
    <row r="46" spans="1:7" s="229" customFormat="1" ht="13.5" customHeight="1">
      <c r="A46" s="3088" t="s">
        <v>791</v>
      </c>
      <c r="B46" s="3100" t="s">
        <v>2229</v>
      </c>
      <c r="C46" s="3101">
        <f ca="1">ROUND((C33+C39)*F27,0)</f>
        <v>1969</v>
      </c>
      <c r="D46" s="3114"/>
      <c r="E46" s="3085"/>
      <c r="F46" s="3098"/>
      <c r="G46" s="3099"/>
    </row>
    <row r="47" spans="1:7" s="229" customFormat="1" ht="13.5" customHeight="1">
      <c r="A47" s="3088" t="s">
        <v>792</v>
      </c>
      <c r="B47" s="3100" t="s">
        <v>2230</v>
      </c>
      <c r="C47" s="3090">
        <f ca="1">ROUND(C40*F27,4)</f>
        <v>2E-3</v>
      </c>
      <c r="D47" s="3114"/>
      <c r="E47" s="3085"/>
      <c r="F47" s="3098"/>
      <c r="G47" s="3099"/>
    </row>
    <row r="48" spans="1:7" s="229" customFormat="1" ht="13.5" customHeight="1">
      <c r="A48" s="3055" t="s">
        <v>2192</v>
      </c>
      <c r="B48" s="3056" t="s">
        <v>2231</v>
      </c>
      <c r="C48" s="3113">
        <f>ROUND(F30/(1+'数据-取费表'!C42),4)</f>
        <v>5.33E-2</v>
      </c>
      <c r="D48" s="3085" t="s">
        <v>2219</v>
      </c>
      <c r="E48" s="3081"/>
      <c r="F48" s="3087">
        <f>F30</f>
        <v>5.6000000000000001E-2</v>
      </c>
      <c r="G48" s="3083" t="s">
        <v>2232</v>
      </c>
    </row>
    <row r="49" spans="1:7" ht="16.5" customHeight="1">
      <c r="A49" s="3055" t="s">
        <v>2198</v>
      </c>
      <c r="B49" s="3056" t="s">
        <v>2233</v>
      </c>
      <c r="C49" s="3081">
        <f ca="1">ROUND((C33+C39+C41+C45)/(1-C40-D41-D45-C48),0)</f>
        <v>24991</v>
      </c>
      <c r="D49" s="3081"/>
      <c r="E49" s="3081"/>
      <c r="F49" s="3115"/>
      <c r="G49" s="3083" t="s">
        <v>2234</v>
      </c>
    </row>
    <row r="50" spans="1:7" ht="24">
      <c r="A50" s="3055" t="s">
        <v>2235</v>
      </c>
      <c r="B50" s="3056" t="s">
        <v>2236</v>
      </c>
      <c r="C50" s="3081"/>
      <c r="D50" s="3081"/>
      <c r="E50" s="3081"/>
      <c r="F50" s="3115">
        <f>IF('数据-取费表'!B24=0,'数据-取费表'!N16,1)</f>
        <v>0.99299999999999999</v>
      </c>
      <c r="G50" s="3099" t="s">
        <v>2237</v>
      </c>
    </row>
    <row r="51" spans="1:7" ht="16.5" customHeight="1">
      <c r="A51" s="3055" t="s">
        <v>2238</v>
      </c>
      <c r="B51" s="3056" t="s">
        <v>2239</v>
      </c>
      <c r="C51" s="3081">
        <f ca="1">ROUND(C49*F50,0)</f>
        <v>24816</v>
      </c>
      <c r="D51" s="3081"/>
      <c r="E51" s="3081"/>
      <c r="F51" s="3115"/>
      <c r="G51" s="3083" t="s">
        <v>2240</v>
      </c>
    </row>
    <row r="52" spans="1:7" s="3054" customFormat="1" ht="16.5" thickBot="1">
      <c r="A52" s="3116" t="s">
        <v>2241</v>
      </c>
      <c r="B52" s="3117"/>
      <c r="C52" s="3118">
        <f ca="1">C31+C51</f>
        <v>33048</v>
      </c>
      <c r="D52" s="3117"/>
      <c r="E52" s="3117"/>
      <c r="F52" s="3117"/>
      <c r="G52" s="3119"/>
    </row>
    <row r="55" spans="1:7" ht="15">
      <c r="B55" s="3125" t="s">
        <v>3580</v>
      </c>
      <c r="C55" s="3120"/>
    </row>
    <row r="56" spans="1:7">
      <c r="B56" s="3126" t="s">
        <v>3581</v>
      </c>
      <c r="C56" s="3121">
        <f ca="1">1-C57</f>
        <v>0.249</v>
      </c>
    </row>
    <row r="57" spans="1:7">
      <c r="B57" s="3126" t="s">
        <v>3582</v>
      </c>
      <c r="C57" s="3121">
        <f ca="1">ROUND(C51/C52,3)</f>
        <v>0.751</v>
      </c>
    </row>
  </sheetData>
  <sheetProtection password="CEE9" sheet="1" objects="1" scenarios="1" formatCells="0"/>
  <mergeCells count="1">
    <mergeCell ref="G42:G44"/>
  </mergeCells>
  <phoneticPr fontId="140" type="noConversion"/>
  <dataValidations count="6">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9">
      <formula1>"部分缴纳,全部缴纳"</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legacy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57"/>
  <sheetViews>
    <sheetView view="pageBreakPreview" topLeftCell="A19" zoomScale="70" zoomScaleNormal="70" zoomScaleSheetLayoutView="70" workbookViewId="0">
      <selection activeCell="K38" sqref="K38"/>
    </sheetView>
  </sheetViews>
  <sheetFormatPr defaultColWidth="8.375" defaultRowHeight="12.75"/>
  <cols>
    <col min="1" max="1" width="9.375" style="275" customWidth="1"/>
    <col min="2" max="2" width="29.25" style="257" customWidth="1"/>
    <col min="3" max="3" width="12.125" style="257" customWidth="1"/>
    <col min="4" max="5" width="11.25" style="278" customWidth="1"/>
    <col min="6" max="6" width="9.5" style="257" customWidth="1"/>
    <col min="7" max="7" width="31.875" style="257" customWidth="1"/>
    <col min="8" max="8" width="10.75" style="257" customWidth="1"/>
    <col min="9" max="254" width="9" style="257" customWidth="1"/>
    <col min="255" max="16384" width="8.375" style="257"/>
  </cols>
  <sheetData>
    <row r="1" spans="1:8" s="206" customFormat="1" ht="20.25">
      <c r="A1" s="202" t="s">
        <v>2146</v>
      </c>
      <c r="B1" s="1644"/>
      <c r="C1" s="2032" t="s">
        <v>2243</v>
      </c>
      <c r="D1" s="204"/>
      <c r="E1" s="204"/>
      <c r="F1" s="204"/>
      <c r="G1" s="1279">
        <f>MATCH(B1,'数据-取费表'!A6:A16,0)+5</f>
        <v>7</v>
      </c>
      <c r="H1" s="1183" t="str">
        <f>IF(ISERROR(FIND("住宅",B1)),"非住宅","住宅")</f>
        <v>非住宅</v>
      </c>
    </row>
    <row r="2" spans="1:8" s="206" customFormat="1" ht="18" customHeight="1">
      <c r="A2" s="207" t="s">
        <v>2147</v>
      </c>
      <c r="B2" s="208">
        <f ca="1">ROUND(IF(D2="——",C52/10000,C52/10000-E2),0)</f>
        <v>26465</v>
      </c>
      <c r="C2" s="205" t="s">
        <v>2148</v>
      </c>
      <c r="D2" s="2028" t="s">
        <v>70</v>
      </c>
      <c r="E2" s="1320" t="e">
        <f ca="1">SUMIF(INDIRECT("'"&amp;G2&amp;"'"&amp;"!A:A"),"承租人权益价值",INDIRECT("'"&amp;G2&amp;"'"&amp;"!c:c"))</f>
        <v>#REF!</v>
      </c>
      <c r="F2" s="2029" t="s">
        <v>2148</v>
      </c>
      <c r="G2" s="2030"/>
    </row>
    <row r="3" spans="1:8" s="206" customFormat="1" ht="18" customHeight="1" thickBot="1">
      <c r="A3" s="209" t="s">
        <v>2149</v>
      </c>
      <c r="B3" s="210">
        <f ca="1">ROUND(B2*10000/(IF(B1="",'数据-汇总表'!E3,INDIRECT("'数据-取费表'!k"&amp;$G$1))),0)</f>
        <v>8841</v>
      </c>
      <c r="C3" s="205" t="s">
        <v>2150</v>
      </c>
      <c r="D3" s="205"/>
      <c r="E3" s="205"/>
      <c r="F3" s="205"/>
      <c r="G3" s="205"/>
    </row>
    <row r="4" spans="1:8" s="214" customFormat="1" ht="15.75">
      <c r="A4" s="211" t="s">
        <v>2151</v>
      </c>
      <c r="B4" s="212"/>
      <c r="C4" s="212"/>
      <c r="D4" s="212"/>
      <c r="E4" s="212"/>
      <c r="F4" s="212"/>
      <c r="G4" s="213"/>
    </row>
    <row r="5" spans="1:8" s="220" customFormat="1" ht="13.5" customHeight="1">
      <c r="A5" s="261" t="s">
        <v>2152</v>
      </c>
      <c r="B5" s="216" t="s">
        <v>2153</v>
      </c>
      <c r="C5" s="217">
        <f ca="1">C6+C7+C8</f>
        <v>5986552</v>
      </c>
      <c r="D5" s="217" t="s">
        <v>2154</v>
      </c>
      <c r="E5" s="218" t="s">
        <v>2155</v>
      </c>
      <c r="F5" s="218" t="s">
        <v>2156</v>
      </c>
      <c r="G5" s="219"/>
    </row>
    <row r="6" spans="1:8" s="220" customFormat="1" ht="13.5" customHeight="1">
      <c r="A6" s="883" t="s">
        <v>2157</v>
      </c>
      <c r="B6" s="221" t="s">
        <v>2158</v>
      </c>
      <c r="C6" s="222"/>
      <c r="D6" s="223"/>
      <c r="E6" s="224"/>
      <c r="F6" s="224"/>
      <c r="G6" s="225"/>
    </row>
    <row r="7" spans="1:8" s="220" customFormat="1" ht="13.5" customHeight="1">
      <c r="A7" s="883" t="s">
        <v>2159</v>
      </c>
      <c r="B7" s="221" t="s">
        <v>2160</v>
      </c>
      <c r="C7" s="226">
        <f>ROUND(C6*F7,0)</f>
        <v>0</v>
      </c>
      <c r="D7" s="226"/>
      <c r="E7" s="224"/>
      <c r="F7" s="227">
        <f>IF(项目基本情况!B8="出让",0,'数据-取费表'!B48+'数据-取费表'!B49)</f>
        <v>3.0499999999999999E-2</v>
      </c>
      <c r="G7" s="225"/>
    </row>
    <row r="8" spans="1:8" s="229" customFormat="1">
      <c r="A8" s="883" t="s">
        <v>2161</v>
      </c>
      <c r="B8" s="221" t="s">
        <v>2162</v>
      </c>
      <c r="C8" s="226">
        <f ca="1">IF(G8="已包含在土地购买价格中",0,C9+C10)</f>
        <v>5986552</v>
      </c>
      <c r="D8" s="228"/>
      <c r="E8" s="226"/>
      <c r="F8" s="227"/>
      <c r="G8" s="2031"/>
    </row>
    <row r="9" spans="1:8" s="220" customFormat="1" ht="13.5" customHeight="1">
      <c r="A9" s="884" t="s">
        <v>800</v>
      </c>
      <c r="B9" s="230" t="s">
        <v>2163</v>
      </c>
      <c r="C9" s="231">
        <f ca="1">ROUND(D9*E9,0)</f>
        <v>0</v>
      </c>
      <c r="D9" s="951">
        <f ca="1">IF(B1="",'数据-汇总表'!E5,IF(INDIRECT("'数据-取费表'!c"&amp;$G$1)="住宅",INDIRECT("'数据-取费表'!k"&amp;$G$1),0))</f>
        <v>0</v>
      </c>
      <c r="E9" s="231">
        <f>'数据-取费表'!B27</f>
        <v>160</v>
      </c>
      <c r="F9" s="227"/>
      <c r="G9" s="232"/>
    </row>
    <row r="10" spans="1:8" s="220" customFormat="1" ht="13.5" customHeight="1">
      <c r="A10" s="884" t="s">
        <v>801</v>
      </c>
      <c r="B10" s="230" t="s">
        <v>2164</v>
      </c>
      <c r="C10" s="231">
        <f ca="1">ROUND(D10*E10,0)</f>
        <v>5986552</v>
      </c>
      <c r="D10" s="951">
        <f ca="1">IF(B1="",'数据-汇总表'!E6,IF(INDIRECT("'数据-取费表'!c"&amp;$G$1)="住宅",INDIRECT("'数据-取费表'!s"&amp;$G$1),INDIRECT("'数据-取费表'!k"&amp;$G$1)+INDIRECT("'数据-取费表'!s"&amp;$G$1)))</f>
        <v>29932.760000000009</v>
      </c>
      <c r="E10" s="231">
        <f>'数据-取费表'!B28</f>
        <v>200</v>
      </c>
      <c r="F10" s="227"/>
      <c r="G10" s="232"/>
    </row>
    <row r="11" spans="1:8" s="220" customFormat="1" ht="13.5" hidden="1" customHeight="1">
      <c r="A11" s="233" t="s">
        <v>7</v>
      </c>
      <c r="B11" s="221" t="s">
        <v>2165</v>
      </c>
      <c r="C11" s="217"/>
      <c r="D11" s="953"/>
      <c r="E11" s="224"/>
      <c r="F11" s="224"/>
      <c r="G11" s="225"/>
    </row>
    <row r="12" spans="1:8" s="220" customFormat="1" ht="13.5" hidden="1" customHeight="1">
      <c r="A12" s="233" t="s">
        <v>8</v>
      </c>
      <c r="B12" s="221" t="s">
        <v>2244</v>
      </c>
      <c r="C12" s="217">
        <v>0</v>
      </c>
      <c r="D12" s="953"/>
      <c r="E12" s="234"/>
      <c r="F12" s="227">
        <v>3.0499999999999999E-2</v>
      </c>
      <c r="G12" s="225"/>
    </row>
    <row r="13" spans="1:8" s="220" customFormat="1" ht="13.5" hidden="1" customHeight="1">
      <c r="A13" s="233" t="s">
        <v>9</v>
      </c>
      <c r="B13" s="221" t="s">
        <v>2245</v>
      </c>
      <c r="C13" s="217"/>
      <c r="D13" s="953"/>
      <c r="E13" s="224"/>
      <c r="F13" s="224"/>
      <c r="G13" s="225"/>
    </row>
    <row r="14" spans="1:8" s="220" customFormat="1" ht="13.5" hidden="1" customHeight="1">
      <c r="A14" s="233" t="s">
        <v>10</v>
      </c>
      <c r="B14" s="221" t="s">
        <v>2162</v>
      </c>
      <c r="C14" s="217"/>
      <c r="D14" s="953"/>
      <c r="E14" s="224"/>
      <c r="F14" s="224"/>
      <c r="G14" s="225" t="s">
        <v>2246</v>
      </c>
    </row>
    <row r="15" spans="1:8" s="220" customFormat="1" ht="13.5" hidden="1" customHeight="1">
      <c r="A15" s="233" t="s">
        <v>11</v>
      </c>
      <c r="B15" s="221" t="s">
        <v>2247</v>
      </c>
      <c r="C15" s="226"/>
      <c r="D15" s="953"/>
      <c r="E15" s="224"/>
      <c r="F15" s="224"/>
      <c r="G15" s="225" t="s">
        <v>2248</v>
      </c>
    </row>
    <row r="16" spans="1:8" s="220" customFormat="1" ht="13.5" hidden="1" customHeight="1">
      <c r="A16" s="233" t="s">
        <v>12</v>
      </c>
      <c r="B16" s="221" t="s">
        <v>2162</v>
      </c>
      <c r="C16" s="226"/>
      <c r="D16" s="953"/>
      <c r="E16" s="224"/>
      <c r="F16" s="224"/>
      <c r="G16" s="225"/>
    </row>
    <row r="17" spans="1:7" s="220" customFormat="1" ht="13.5" hidden="1" customHeight="1">
      <c r="A17" s="233" t="s">
        <v>13</v>
      </c>
      <c r="B17" s="221" t="s">
        <v>2249</v>
      </c>
      <c r="C17" s="235"/>
      <c r="D17" s="954"/>
      <c r="E17" s="235"/>
      <c r="F17" s="235"/>
      <c r="G17" s="225" t="s">
        <v>2248</v>
      </c>
    </row>
    <row r="18" spans="1:7" s="220" customFormat="1" ht="13.5" hidden="1" customHeight="1">
      <c r="A18" s="233" t="s">
        <v>14</v>
      </c>
      <c r="B18" s="221" t="s">
        <v>2250</v>
      </c>
      <c r="C18" s="226">
        <v>0</v>
      </c>
      <c r="D18" s="953"/>
      <c r="E18" s="224"/>
      <c r="F18" s="227">
        <v>3.0499999999999999E-2</v>
      </c>
      <c r="G18" s="225" t="s">
        <v>2251</v>
      </c>
    </row>
    <row r="19" spans="1:7" s="229" customFormat="1" ht="13.5" customHeight="1">
      <c r="A19" s="261" t="s">
        <v>2252</v>
      </c>
      <c r="B19" s="216" t="s">
        <v>2253</v>
      </c>
      <c r="C19" s="217">
        <f ca="1">IF(G19="已包含在土地取得成本中","0",ROUND(D19*E19,0))</f>
        <v>5986552</v>
      </c>
      <c r="D19" s="955">
        <f ca="1">D9+D10</f>
        <v>29932.760000000009</v>
      </c>
      <c r="E19" s="217">
        <f>'数据-取费表'!B31</f>
        <v>200</v>
      </c>
      <c r="F19" s="237"/>
      <c r="G19" s="2031"/>
    </row>
    <row r="20" spans="1:7" s="220" customFormat="1" ht="13.5" customHeight="1">
      <c r="A20" s="261" t="s">
        <v>2254</v>
      </c>
      <c r="B20" s="216" t="s">
        <v>2255</v>
      </c>
      <c r="C20" s="238">
        <f ca="1">ROUND((C5+C19)*F20,0)</f>
        <v>239462</v>
      </c>
      <c r="D20" s="238"/>
      <c r="E20" s="238"/>
      <c r="F20" s="239">
        <f>'数据-取费表'!B37</f>
        <v>0.02</v>
      </c>
      <c r="G20" s="240" t="s">
        <v>2256</v>
      </c>
    </row>
    <row r="21" spans="1:7" s="220" customFormat="1" ht="13.5" customHeight="1">
      <c r="A21" s="261" t="s">
        <v>2257</v>
      </c>
      <c r="B21" s="216" t="s">
        <v>2258</v>
      </c>
      <c r="C21" s="241">
        <f>F21</f>
        <v>0.02</v>
      </c>
      <c r="D21" s="242" t="s">
        <v>2259</v>
      </c>
      <c r="E21" s="238"/>
      <c r="F21" s="239">
        <f>'数据-取费表'!B38</f>
        <v>0.02</v>
      </c>
      <c r="G21" s="240" t="s">
        <v>2260</v>
      </c>
    </row>
    <row r="22" spans="1:7" s="220" customFormat="1" ht="13.5" customHeight="1">
      <c r="A22" s="261" t="s">
        <v>2261</v>
      </c>
      <c r="B22" s="216" t="s">
        <v>2262</v>
      </c>
      <c r="C22" s="1280">
        <f ca="1">ROUND(SUM(C23:C25),0)</f>
        <v>1805757</v>
      </c>
      <c r="D22" s="241">
        <f ca="1">C26</f>
        <v>1.4E-3</v>
      </c>
      <c r="E22" s="242" t="s">
        <v>2259</v>
      </c>
      <c r="F22" s="243">
        <f ca="1">'数据-取费表'!B40</f>
        <v>4.7500000000000001E-2</v>
      </c>
      <c r="G22" s="240" t="str">
        <f>IF('数据-取费表'!B22&lt;=1,"单利计息","复利计息")</f>
        <v>复利计息</v>
      </c>
    </row>
    <row r="23" spans="1:7" s="220" customFormat="1" ht="13.5" customHeight="1">
      <c r="A23" s="885" t="s">
        <v>2157</v>
      </c>
      <c r="B23" s="221" t="s">
        <v>2263</v>
      </c>
      <c r="C23" s="1281">
        <f ca="1">ROUND(IF('数据-取费表'!B22&lt;=1,C5*F22*'数据-取费表'!B22,C5*(POWER((1+F22),'数据-取费表'!B22)-1)),0)</f>
        <v>894247</v>
      </c>
      <c r="D23" s="244"/>
      <c r="E23" s="244"/>
      <c r="F23" s="245"/>
      <c r="G23" s="246" t="s">
        <v>2264</v>
      </c>
    </row>
    <row r="24" spans="1:7" s="220" customFormat="1" ht="13.5" customHeight="1">
      <c r="A24" s="885" t="s">
        <v>2159</v>
      </c>
      <c r="B24" s="221" t="s">
        <v>2265</v>
      </c>
      <c r="C24" s="1281">
        <f ca="1">ROUND(IF('数据-取费表'!B22&lt;=1,C19*F22*('数据-取费表'!B19/2+'数据-取费表'!B20),C19*(POWER((1+F22),('数据-取费表'!B19/2+'数据-取费表'!B20))-1)),0)</f>
        <v>894247</v>
      </c>
      <c r="D24" s="244"/>
      <c r="E24" s="244"/>
      <c r="F24" s="245"/>
      <c r="G24" s="246" t="s">
        <v>2266</v>
      </c>
    </row>
    <row r="25" spans="1:7" s="220" customFormat="1" ht="24">
      <c r="A25" s="885" t="s">
        <v>2161</v>
      </c>
      <c r="B25" s="221" t="s">
        <v>2267</v>
      </c>
      <c r="C25" s="1281">
        <f ca="1">ROUND(IF('数据-取费表'!B22&lt;=1,C20*F22*'数据-取费表'!B22/2,C20*(POWER((1+F22),'数据-取费表'!B22/2)-1)),0)</f>
        <v>17263</v>
      </c>
      <c r="D25" s="244"/>
      <c r="E25" s="247"/>
      <c r="F25" s="245"/>
      <c r="G25" s="248" t="s">
        <v>2268</v>
      </c>
    </row>
    <row r="26" spans="1:7" s="220" customFormat="1">
      <c r="A26" s="885" t="s">
        <v>795</v>
      </c>
      <c r="B26" s="221" t="s">
        <v>2191</v>
      </c>
      <c r="C26" s="244">
        <f ca="1">ROUND(IF('数据-取费表'!B22&lt;=1,F21*F22*'数据-取费表'!B22/2,F21*(POWER((1+F22),'数据-取费表'!B22/2)-1)),4)</f>
        <v>1.4E-3</v>
      </c>
      <c r="D26" s="244"/>
      <c r="E26" s="247"/>
      <c r="F26" s="245"/>
      <c r="G26" s="249"/>
    </row>
    <row r="27" spans="1:7" s="220" customFormat="1" ht="24.75">
      <c r="A27" s="261" t="s">
        <v>2192</v>
      </c>
      <c r="B27" s="250" t="s">
        <v>2193</v>
      </c>
      <c r="C27" s="251">
        <f ca="1">C28</f>
        <v>1221257</v>
      </c>
      <c r="D27" s="241">
        <f ca="1">C29</f>
        <v>2E-3</v>
      </c>
      <c r="E27" s="242" t="s">
        <v>2194</v>
      </c>
      <c r="F27" s="252">
        <f ca="1">IF(B1="",'数据-取费表'!Q16,INDIRECT("'数据-取费表'!q"&amp;$G$1))</f>
        <v>0.1</v>
      </c>
      <c r="G27" s="253" t="s">
        <v>2195</v>
      </c>
    </row>
    <row r="28" spans="1:7" s="220" customFormat="1" ht="13.5" customHeight="1">
      <c r="A28" s="885" t="s">
        <v>791</v>
      </c>
      <c r="B28" s="254" t="s">
        <v>2196</v>
      </c>
      <c r="C28" s="255">
        <f ca="1">ROUND((C5+C19+C20)*F27,0)</f>
        <v>1221257</v>
      </c>
      <c r="D28" s="241"/>
      <c r="E28" s="242"/>
      <c r="F28" s="252"/>
      <c r="G28" s="253"/>
    </row>
    <row r="29" spans="1:7" s="220" customFormat="1" ht="13.5" customHeight="1">
      <c r="A29" s="885" t="s">
        <v>792</v>
      </c>
      <c r="B29" s="254" t="s">
        <v>2197</v>
      </c>
      <c r="C29" s="244">
        <f ca="1">ROUND(C21*F27,4)</f>
        <v>2E-3</v>
      </c>
      <c r="D29" s="241"/>
      <c r="E29" s="242"/>
      <c r="F29" s="252"/>
      <c r="G29" s="253"/>
    </row>
    <row r="30" spans="1:7" s="220" customFormat="1" ht="13.5" customHeight="1">
      <c r="A30" s="261" t="s">
        <v>2198</v>
      </c>
      <c r="B30" s="216" t="s">
        <v>2199</v>
      </c>
      <c r="C30" s="241">
        <f>ROUND(F30/(1+'数据-取费表'!C42),4)</f>
        <v>5.33E-2</v>
      </c>
      <c r="D30" s="242" t="s">
        <v>2194</v>
      </c>
      <c r="E30" s="247"/>
      <c r="F30" s="243">
        <f>'数据-取费表'!B41</f>
        <v>5.6000000000000001E-2</v>
      </c>
      <c r="G30" s="240" t="s">
        <v>2200</v>
      </c>
    </row>
    <row r="31" spans="1:7" ht="16.5" customHeight="1">
      <c r="A31" s="215">
        <v>1</v>
      </c>
      <c r="B31" s="216" t="s">
        <v>2201</v>
      </c>
      <c r="C31" s="217">
        <f ca="1">ROUND((C5+C19+C20+C22+C27)/(1-C21-D22-D27-C30),0)</f>
        <v>16505556</v>
      </c>
      <c r="D31" s="236"/>
      <c r="E31" s="217"/>
      <c r="F31" s="256"/>
      <c r="G31" s="240" t="s">
        <v>2202</v>
      </c>
    </row>
    <row r="32" spans="1:7" s="214" customFormat="1" ht="15.75">
      <c r="A32" s="258" t="s">
        <v>2269</v>
      </c>
      <c r="B32" s="259"/>
      <c r="C32" s="259"/>
      <c r="D32" s="259"/>
      <c r="E32" s="259"/>
      <c r="F32" s="259"/>
      <c r="G32" s="260"/>
    </row>
    <row r="33" spans="1:7" s="220" customFormat="1" ht="13.5" customHeight="1">
      <c r="A33" s="261" t="s">
        <v>782</v>
      </c>
      <c r="B33" s="216" t="s">
        <v>2270</v>
      </c>
      <c r="C33" s="262">
        <f ca="1">SUM(C34:C38)</f>
        <v>192992416</v>
      </c>
      <c r="D33" s="238"/>
      <c r="E33" s="218"/>
      <c r="F33" s="247"/>
      <c r="G33" s="240"/>
    </row>
    <row r="34" spans="1:7" s="264" customFormat="1" ht="13.5" customHeight="1">
      <c r="A34" s="885" t="s">
        <v>791</v>
      </c>
      <c r="B34" s="221" t="s">
        <v>2205</v>
      </c>
      <c r="C34" s="226">
        <f ca="1">ROUND(IF(B1="",SUMPRODUCT('数据-取费表'!K6:K14,'数据-取费表'!L6:L14),INDIRECT("'数据-取费表'!l"&amp;$G$1)*INDIRECT("'数据-取费表'!k"&amp;$G$1)+'数据-取费表'!L14*INDIRECT("'数据-取费表'!S"&amp;$G$1)),0)</f>
        <v>178952980</v>
      </c>
      <c r="D34" s="223"/>
      <c r="E34" s="226"/>
      <c r="F34" s="263"/>
      <c r="G34" s="225"/>
    </row>
    <row r="35" spans="1:7" ht="13.5" customHeight="1">
      <c r="A35" s="885" t="s">
        <v>796</v>
      </c>
      <c r="B35" s="221" t="s">
        <v>2207</v>
      </c>
      <c r="C35" s="226">
        <f ca="1">ROUND(C34*F35,0)</f>
        <v>5368589</v>
      </c>
      <c r="D35" s="226"/>
      <c r="E35" s="226"/>
      <c r="F35" s="265">
        <f>'数据-取费表'!B33</f>
        <v>0.03</v>
      </c>
      <c r="G35" s="225" t="s">
        <v>2208</v>
      </c>
    </row>
    <row r="36" spans="1:7" ht="24">
      <c r="A36" s="885" t="s">
        <v>797</v>
      </c>
      <c r="B36" s="221" t="s">
        <v>2209</v>
      </c>
      <c r="C36" s="226">
        <f ca="1">ROUND(IF(B1="",SUM('数据-取费表'!AP6:AP13)*F36,IF(INDIRECT("'数据-取费表'!c"&amp;$G$1)="住宅",INDIRECT("'数据-取费表'!k"&amp;$G$1)*INDIRECT("'数据-取费表'!l"&amp;$G$1)*F36,0)),0)</f>
        <v>0</v>
      </c>
      <c r="D36" s="226"/>
      <c r="E36" s="226"/>
      <c r="F36" s="265">
        <f>'数据-取费表'!B34</f>
        <v>0.03</v>
      </c>
      <c r="G36" s="266" t="s">
        <v>2210</v>
      </c>
    </row>
    <row r="37" spans="1:7" s="264" customFormat="1" ht="13.5" customHeight="1">
      <c r="A37" s="885" t="s">
        <v>798</v>
      </c>
      <c r="B37" s="221" t="s">
        <v>2211</v>
      </c>
      <c r="C37" s="255">
        <f ca="1">ROUND(E37*D37,0)</f>
        <v>5986552</v>
      </c>
      <c r="D37" s="223">
        <f ca="1">D19</f>
        <v>29932.760000000009</v>
      </c>
      <c r="E37" s="255">
        <f>'数据-取费表'!B35</f>
        <v>200</v>
      </c>
      <c r="F37" s="265"/>
      <c r="G37" s="267"/>
    </row>
    <row r="38" spans="1:7" ht="13.5" customHeight="1">
      <c r="A38" s="885" t="s">
        <v>799</v>
      </c>
      <c r="B38" s="221" t="s">
        <v>2213</v>
      </c>
      <c r="C38" s="226">
        <f ca="1">ROUND(C34*F38,0)</f>
        <v>2684295</v>
      </c>
      <c r="D38" s="226"/>
      <c r="E38" s="226"/>
      <c r="F38" s="265">
        <f>'数据-取费表'!B36</f>
        <v>1.4999999999999999E-2</v>
      </c>
      <c r="G38" s="225" t="s">
        <v>2208</v>
      </c>
    </row>
    <row r="39" spans="1:7" s="220" customFormat="1" ht="13.5" customHeight="1">
      <c r="A39" s="261" t="s">
        <v>2214</v>
      </c>
      <c r="B39" s="216" t="s">
        <v>2215</v>
      </c>
      <c r="C39" s="238">
        <f ca="1">ROUND(C33*F20,0)</f>
        <v>3859848</v>
      </c>
      <c r="D39" s="238"/>
      <c r="E39" s="238"/>
      <c r="F39" s="2519">
        <f>F20</f>
        <v>0.02</v>
      </c>
      <c r="G39" s="240" t="s">
        <v>2216</v>
      </c>
    </row>
    <row r="40" spans="1:7" s="220" customFormat="1" ht="13.5" customHeight="1">
      <c r="A40" s="261" t="s">
        <v>2217</v>
      </c>
      <c r="B40" s="216" t="s">
        <v>2218</v>
      </c>
      <c r="C40" s="1485">
        <f>F21</f>
        <v>0.02</v>
      </c>
      <c r="D40" s="242" t="s">
        <v>2219</v>
      </c>
      <c r="E40" s="238"/>
      <c r="F40" s="2519">
        <f>F21</f>
        <v>0.02</v>
      </c>
      <c r="G40" s="240" t="s">
        <v>2220</v>
      </c>
    </row>
    <row r="41" spans="1:7" s="220" customFormat="1" ht="13.5" customHeight="1">
      <c r="A41" s="261" t="s">
        <v>2221</v>
      </c>
      <c r="B41" s="216" t="s">
        <v>2222</v>
      </c>
      <c r="C41" s="238">
        <f ca="1">ROUND(SUM(C42:C43),0)</f>
        <v>14190984</v>
      </c>
      <c r="D41" s="241">
        <f ca="1">C44</f>
        <v>1.4E-3</v>
      </c>
      <c r="E41" s="242" t="s">
        <v>2219</v>
      </c>
      <c r="F41" s="2520">
        <f ca="1">F22</f>
        <v>4.7500000000000001E-2</v>
      </c>
      <c r="G41" s="240" t="str">
        <f>IF('数据-取费表'!B22&lt;=1,"单利计息","复利计息")</f>
        <v>复利计息</v>
      </c>
    </row>
    <row r="42" spans="1:7" ht="13.5" customHeight="1">
      <c r="A42" s="885" t="s">
        <v>791</v>
      </c>
      <c r="B42" s="221" t="s">
        <v>2223</v>
      </c>
      <c r="C42" s="244">
        <f ca="1">ROUND(IF('数据-取费表'!B22&lt;=1,C33*F22*'数据-取费表'!B20/2,C33*(POWER((1+F22),'数据-取费表'!B20/2)-1)),0)</f>
        <v>13912729</v>
      </c>
      <c r="D42" s="244"/>
      <c r="E42" s="244"/>
      <c r="F42" s="245"/>
      <c r="G42" s="3425" t="s">
        <v>2271</v>
      </c>
    </row>
    <row r="43" spans="1:7" ht="13.5" customHeight="1">
      <c r="A43" s="885" t="s">
        <v>792</v>
      </c>
      <c r="B43" s="221" t="s">
        <v>2225</v>
      </c>
      <c r="C43" s="244">
        <f ca="1">ROUND(IF('数据-取费表'!B22&lt;=1,C39*F22*'数据-取费表'!B20/2,C39*(POWER((1+F22),'数据-取费表'!B20/2)-1)),0)</f>
        <v>278255</v>
      </c>
      <c r="D43" s="244"/>
      <c r="E43" s="244"/>
      <c r="F43" s="245"/>
      <c r="G43" s="3426"/>
    </row>
    <row r="44" spans="1:7" ht="13.5" customHeight="1">
      <c r="A44" s="885" t="s">
        <v>793</v>
      </c>
      <c r="B44" s="221" t="s">
        <v>2226</v>
      </c>
      <c r="C44" s="244">
        <f ca="1">ROUND(IF('数据-取费表'!B22&lt;=1,C40*F22*'数据-取费表'!B20/2,C40*(POWER((1+F22),'数据-取费表'!B20/2)-1)),4)</f>
        <v>1.4E-3</v>
      </c>
      <c r="D44" s="244"/>
      <c r="E44" s="244"/>
      <c r="F44" s="245"/>
      <c r="G44" s="3427"/>
    </row>
    <row r="45" spans="1:7" s="220" customFormat="1" ht="13.5" customHeight="1">
      <c r="A45" s="261" t="s">
        <v>2227</v>
      </c>
      <c r="B45" s="250" t="s">
        <v>2193</v>
      </c>
      <c r="C45" s="251">
        <f ca="1">C46</f>
        <v>19685226</v>
      </c>
      <c r="D45" s="241">
        <f ca="1">C47</f>
        <v>2E-3</v>
      </c>
      <c r="E45" s="242" t="s">
        <v>2219</v>
      </c>
      <c r="F45" s="2521">
        <f ca="1">F27</f>
        <v>0.1</v>
      </c>
      <c r="G45" s="253" t="s">
        <v>2228</v>
      </c>
    </row>
    <row r="46" spans="1:7" s="220" customFormat="1" ht="13.5" customHeight="1">
      <c r="A46" s="885" t="s">
        <v>791</v>
      </c>
      <c r="B46" s="254" t="s">
        <v>2229</v>
      </c>
      <c r="C46" s="255">
        <f ca="1">ROUND((C33+C39)*F27,0)</f>
        <v>19685226</v>
      </c>
      <c r="D46" s="269"/>
      <c r="E46" s="242"/>
      <c r="F46" s="252"/>
      <c r="G46" s="253"/>
    </row>
    <row r="47" spans="1:7" s="220" customFormat="1" ht="13.5" customHeight="1">
      <c r="A47" s="885" t="s">
        <v>792</v>
      </c>
      <c r="B47" s="254" t="s">
        <v>2230</v>
      </c>
      <c r="C47" s="244">
        <f ca="1">ROUND(C40*F27,4)</f>
        <v>2E-3</v>
      </c>
      <c r="D47" s="269"/>
      <c r="E47" s="242"/>
      <c r="F47" s="252"/>
      <c r="G47" s="253"/>
    </row>
    <row r="48" spans="1:7" s="220" customFormat="1" ht="13.5" customHeight="1">
      <c r="A48" s="261" t="s">
        <v>2192</v>
      </c>
      <c r="B48" s="216" t="s">
        <v>2231</v>
      </c>
      <c r="C48" s="268">
        <f>ROUND(F30/(1+'数据-取费表'!C42),4)</f>
        <v>5.33E-2</v>
      </c>
      <c r="D48" s="242" t="s">
        <v>2219</v>
      </c>
      <c r="E48" s="238"/>
      <c r="F48" s="2520">
        <f>F30</f>
        <v>5.6000000000000001E-2</v>
      </c>
      <c r="G48" s="240" t="s">
        <v>2232</v>
      </c>
    </row>
    <row r="49" spans="1:7" ht="16.5" customHeight="1">
      <c r="A49" s="261" t="s">
        <v>2198</v>
      </c>
      <c r="B49" s="216" t="s">
        <v>2272</v>
      </c>
      <c r="C49" s="238">
        <f ca="1">ROUND((C33+C39+C41+C45)/(1-C40-D41-D45-C48),0)</f>
        <v>249895455</v>
      </c>
      <c r="D49" s="238"/>
      <c r="E49" s="238"/>
      <c r="F49" s="270"/>
      <c r="G49" s="240" t="s">
        <v>2234</v>
      </c>
    </row>
    <row r="50" spans="1:7" s="264" customFormat="1">
      <c r="A50" s="261" t="s">
        <v>2235</v>
      </c>
      <c r="B50" s="216" t="s">
        <v>2236</v>
      </c>
      <c r="C50" s="238"/>
      <c r="D50" s="238"/>
      <c r="E50" s="238"/>
      <c r="F50" s="270">
        <f>IF('数据-取费表'!B24=0,'数据-取费表'!N16,1)</f>
        <v>0.99299999999999999</v>
      </c>
      <c r="G50" s="253"/>
    </row>
    <row r="51" spans="1:7" ht="16.5" customHeight="1">
      <c r="A51" s="261" t="s">
        <v>2238</v>
      </c>
      <c r="B51" s="216" t="s">
        <v>2273</v>
      </c>
      <c r="C51" s="238">
        <f ca="1">ROUND(C49*F50,0)</f>
        <v>248146187</v>
      </c>
      <c r="D51" s="238"/>
      <c r="E51" s="238"/>
      <c r="F51" s="270"/>
      <c r="G51" s="240" t="s">
        <v>2240</v>
      </c>
    </row>
    <row r="52" spans="1:7" s="214" customFormat="1" ht="16.5" thickBot="1">
      <c r="A52" s="271" t="s">
        <v>2241</v>
      </c>
      <c r="B52" s="272"/>
      <c r="C52" s="273">
        <f ca="1">C31+C51</f>
        <v>264651743</v>
      </c>
      <c r="D52" s="272"/>
      <c r="E52" s="272"/>
      <c r="F52" s="272"/>
      <c r="G52" s="274"/>
    </row>
    <row r="55" spans="1:7" ht="15">
      <c r="B55" s="276" t="s">
        <v>2242</v>
      </c>
      <c r="C55" s="277"/>
    </row>
    <row r="56" spans="1:7">
      <c r="B56" s="279" t="s">
        <v>1478</v>
      </c>
      <c r="C56" s="281">
        <f ca="1">1-C57</f>
        <v>6.2000000000000055E-2</v>
      </c>
    </row>
    <row r="57" spans="1:7">
      <c r="B57" s="279" t="s">
        <v>1479</v>
      </c>
      <c r="C57" s="280">
        <f ca="1">ROUND(C51/C52,3)</f>
        <v>0.93799999999999994</v>
      </c>
    </row>
  </sheetData>
  <sheetProtection password="CEE9" sheet="1" objects="1" scenarios="1" formatCells="0"/>
  <mergeCells count="1">
    <mergeCell ref="G42:G44"/>
  </mergeCells>
  <phoneticPr fontId="140" type="noConversion"/>
  <dataValidations count="5">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92D050"/>
    <pageSetUpPr fitToPage="1"/>
  </sheetPr>
  <dimension ref="A1:AG34"/>
  <sheetViews>
    <sheetView view="pageBreakPreview" zoomScale="70" zoomScaleNormal="70" zoomScaleSheetLayoutView="70" workbookViewId="0">
      <selection activeCell="Q10" sqref="Q10"/>
    </sheetView>
  </sheetViews>
  <sheetFormatPr defaultColWidth="6.625" defaultRowHeight="12.75"/>
  <cols>
    <col min="1" max="1" width="9.75" style="734" customWidth="1"/>
    <col min="2" max="2" width="25.75" style="886" customWidth="1"/>
    <col min="3" max="3" width="10.375" style="929" customWidth="1"/>
    <col min="4" max="4" width="9.875" style="886" customWidth="1"/>
    <col min="5" max="5" width="9.5" style="734" customWidth="1"/>
    <col min="6" max="6" width="10.125" style="886" customWidth="1"/>
    <col min="7" max="7" width="10.75" style="886" customWidth="1"/>
    <col min="8" max="8" width="10" style="886" customWidth="1"/>
    <col min="9" max="11" width="9.5" style="886" customWidth="1"/>
    <col min="12" max="12" width="9" style="886" customWidth="1"/>
    <col min="13" max="13" width="10.5" style="886" bestFit="1" customWidth="1"/>
    <col min="14" max="254" width="9" style="886" customWidth="1"/>
    <col min="255" max="16384" width="6.625" style="886"/>
  </cols>
  <sheetData>
    <row r="1" spans="1:33" ht="20.25">
      <c r="A1" s="202" t="s">
        <v>2274</v>
      </c>
      <c r="B1" s="1341"/>
      <c r="C1" s="1342"/>
      <c r="D1" s="1340"/>
      <c r="E1" s="3017"/>
      <c r="F1" s="3017"/>
      <c r="G1" s="2881"/>
      <c r="H1" s="3017"/>
      <c r="I1" s="3017"/>
      <c r="J1" s="3017"/>
      <c r="K1" s="3018">
        <f>MATCH(C1,'数据-取费表'!A6:A16,0)+5</f>
        <v>7</v>
      </c>
    </row>
    <row r="2" spans="1:33" ht="18" customHeight="1">
      <c r="A2" s="207" t="s">
        <v>2147</v>
      </c>
      <c r="B2" s="210">
        <f ca="1">C32</f>
        <v>-653</v>
      </c>
      <c r="C2" s="282" t="s">
        <v>2275</v>
      </c>
      <c r="D2" s="282"/>
      <c r="E2" s="3017"/>
      <c r="F2" s="3017"/>
      <c r="G2" s="3017"/>
      <c r="H2" s="3017"/>
      <c r="I2" s="3017"/>
      <c r="J2" s="3017"/>
      <c r="K2" s="3017"/>
    </row>
    <row r="3" spans="1:33" ht="18" customHeight="1" thickBot="1">
      <c r="A3" s="209" t="s">
        <v>2149</v>
      </c>
      <c r="B3" s="210">
        <f ca="1">ROUND(B2*10000/IF(C1="",'数据-汇总表'!E3,INDIRECT("'数据-取费表'!K"&amp;$K$1)),0)</f>
        <v>-218</v>
      </c>
      <c r="C3" s="282" t="s">
        <v>2276</v>
      </c>
      <c r="D3" s="282"/>
      <c r="E3" s="3017"/>
      <c r="F3" s="3017"/>
      <c r="G3" s="3017"/>
      <c r="H3" s="3017"/>
      <c r="I3" s="3017"/>
      <c r="J3" s="3017"/>
      <c r="K3" s="3017"/>
    </row>
    <row r="4" spans="1:33" s="890" customFormat="1" ht="16.5" customHeight="1">
      <c r="A4" s="887" t="s">
        <v>2277</v>
      </c>
      <c r="B4" s="888"/>
      <c r="C4" s="930">
        <f>SUM(C8:K8)</f>
        <v>0</v>
      </c>
      <c r="D4" s="888"/>
      <c r="E4" s="888"/>
      <c r="F4" s="888"/>
      <c r="G4" s="888"/>
      <c r="H4" s="888"/>
      <c r="I4" s="888"/>
      <c r="J4" s="888"/>
      <c r="K4" s="889"/>
    </row>
    <row r="5" spans="1:33" s="894" customFormat="1" ht="24.75">
      <c r="A5" s="891" t="s">
        <v>2278</v>
      </c>
      <c r="B5" s="892" t="s">
        <v>2279</v>
      </c>
      <c r="C5" s="2033" t="s">
        <v>2280</v>
      </c>
      <c r="D5" s="2033" t="s">
        <v>2281</v>
      </c>
      <c r="E5" s="2033" t="s">
        <v>2282</v>
      </c>
      <c r="F5" s="2033"/>
      <c r="G5" s="2033"/>
      <c r="H5" s="2033"/>
      <c r="I5" s="2033"/>
      <c r="J5" s="2033"/>
      <c r="K5" s="2033"/>
      <c r="L5" s="893"/>
      <c r="M5" s="893"/>
      <c r="N5" s="893"/>
      <c r="O5" s="893"/>
      <c r="P5" s="893"/>
      <c r="Q5" s="893"/>
      <c r="R5" s="893"/>
      <c r="S5" s="893"/>
      <c r="T5" s="893"/>
      <c r="U5" s="893"/>
      <c r="V5" s="893"/>
      <c r="W5" s="893"/>
      <c r="X5" s="893"/>
      <c r="Y5" s="893"/>
      <c r="Z5" s="893"/>
      <c r="AA5" s="893"/>
      <c r="AB5" s="893"/>
      <c r="AC5" s="893"/>
      <c r="AD5" s="893"/>
      <c r="AE5" s="893"/>
      <c r="AF5" s="893"/>
      <c r="AG5" s="893"/>
    </row>
    <row r="6" spans="1:33" s="899" customFormat="1" ht="13.5" customHeight="1">
      <c r="A6" s="895" t="s">
        <v>802</v>
      </c>
      <c r="B6" s="136" t="s">
        <v>2283</v>
      </c>
      <c r="C6" s="896"/>
      <c r="D6" s="896"/>
      <c r="E6" s="896"/>
      <c r="F6" s="896"/>
      <c r="G6" s="896"/>
      <c r="H6" s="896"/>
      <c r="I6" s="896"/>
      <c r="J6" s="896"/>
      <c r="K6" s="897"/>
      <c r="L6" s="898"/>
      <c r="M6" s="898"/>
      <c r="N6" s="898"/>
      <c r="O6" s="898"/>
      <c r="P6" s="898"/>
      <c r="Q6" s="898"/>
      <c r="R6" s="898"/>
      <c r="S6" s="898"/>
      <c r="T6" s="898"/>
      <c r="U6" s="898"/>
      <c r="V6" s="898"/>
      <c r="W6" s="898"/>
      <c r="X6" s="898"/>
      <c r="Y6" s="898"/>
      <c r="Z6" s="898"/>
      <c r="AA6" s="898"/>
      <c r="AB6" s="898"/>
      <c r="AC6" s="898"/>
      <c r="AD6" s="898"/>
      <c r="AE6" s="898"/>
      <c r="AF6" s="898"/>
      <c r="AG6" s="898"/>
    </row>
    <row r="7" spans="1:33" s="899" customFormat="1" ht="13.5" customHeight="1">
      <c r="A7" s="895" t="s">
        <v>2284</v>
      </c>
      <c r="B7" s="136" t="s">
        <v>2285</v>
      </c>
      <c r="C7" s="283">
        <f>SUMIF('数据-汇总表'!$C19:$C33,假设开发法!C5,'数据-汇总表'!$E19:$E33)</f>
        <v>0</v>
      </c>
      <c r="D7" s="283">
        <f>SUMIF('数据-汇总表'!$C19:$C33,假设开发法!D5,'数据-汇总表'!$E19:$E33)</f>
        <v>0</v>
      </c>
      <c r="E7" s="283">
        <f>SUMIF('数据-汇总表'!$C19:$C33,假设开发法!E5,'数据-汇总表'!$E19:$E33)</f>
        <v>0</v>
      </c>
      <c r="F7" s="283">
        <f>SUMIF('数据-汇总表'!$C19:$C33,假设开发法!F5,'数据-汇总表'!$E19:$E33)</f>
        <v>0</v>
      </c>
      <c r="G7" s="283">
        <f>SUMIF('数据-汇总表'!$C19:$C33,假设开发法!G5,'数据-汇总表'!$E19:$E33)</f>
        <v>0</v>
      </c>
      <c r="H7" s="283">
        <f>SUMIF('数据-汇总表'!$C19:$C33,假设开发法!H5,'数据-汇总表'!$E19:$E33)</f>
        <v>0</v>
      </c>
      <c r="I7" s="283">
        <f>SUMIF('数据-汇总表'!$C19:$C33,假设开发法!I5,'数据-汇总表'!$E19:$E33)</f>
        <v>0</v>
      </c>
      <c r="J7" s="283">
        <f>SUMIF('数据-汇总表'!$C19:$C33,假设开发法!J5,'数据-汇总表'!$E19:$E33)</f>
        <v>0</v>
      </c>
      <c r="K7" s="284">
        <f>SUMIF('数据-汇总表'!$C19:$C33,假设开发法!K5,'数据-汇总表'!$E19:$E33)</f>
        <v>0</v>
      </c>
      <c r="L7" s="898"/>
      <c r="M7" s="898"/>
      <c r="N7" s="898"/>
      <c r="O7" s="898"/>
      <c r="P7" s="898"/>
      <c r="Q7" s="898"/>
      <c r="R7" s="898"/>
      <c r="S7" s="898"/>
      <c r="T7" s="898"/>
      <c r="U7" s="898"/>
      <c r="V7" s="898"/>
      <c r="W7" s="898"/>
      <c r="X7" s="898"/>
      <c r="Y7" s="898"/>
      <c r="Z7" s="898"/>
      <c r="AA7" s="898"/>
      <c r="AB7" s="898"/>
      <c r="AC7" s="898"/>
      <c r="AD7" s="898"/>
      <c r="AE7" s="898"/>
      <c r="AF7" s="898"/>
      <c r="AG7" s="898"/>
    </row>
    <row r="8" spans="1:33" s="899" customFormat="1" ht="13.5" customHeight="1" thickBot="1">
      <c r="A8" s="2034" t="s">
        <v>2286</v>
      </c>
      <c r="B8" s="169" t="s">
        <v>2287</v>
      </c>
      <c r="C8" s="931"/>
      <c r="D8" s="931"/>
      <c r="E8" s="931"/>
      <c r="F8" s="932"/>
      <c r="G8" s="932"/>
      <c r="H8" s="932"/>
      <c r="I8" s="932"/>
      <c r="J8" s="932"/>
      <c r="K8" s="933"/>
      <c r="L8" s="898"/>
      <c r="M8" s="898"/>
      <c r="N8" s="898"/>
      <c r="O8" s="898"/>
      <c r="P8" s="898"/>
      <c r="Q8" s="898"/>
      <c r="R8" s="898"/>
      <c r="S8" s="898"/>
      <c r="T8" s="898"/>
      <c r="U8" s="898"/>
      <c r="V8" s="898"/>
      <c r="W8" s="898"/>
      <c r="X8" s="898"/>
      <c r="Y8" s="898"/>
      <c r="Z8" s="898"/>
      <c r="AA8" s="898"/>
      <c r="AB8" s="898"/>
      <c r="AC8" s="898"/>
      <c r="AD8" s="898"/>
      <c r="AE8" s="898"/>
      <c r="AF8" s="898"/>
      <c r="AG8" s="898"/>
    </row>
    <row r="9" spans="1:33" s="890" customFormat="1" ht="16.5" customHeight="1">
      <c r="A9" s="887" t="s">
        <v>2288</v>
      </c>
      <c r="B9" s="888"/>
      <c r="C9" s="888"/>
      <c r="D9" s="888"/>
      <c r="E9" s="888"/>
      <c r="F9" s="888"/>
      <c r="G9" s="888"/>
      <c r="H9" s="888"/>
      <c r="I9" s="888"/>
      <c r="J9" s="888"/>
      <c r="K9" s="889"/>
    </row>
    <row r="10" spans="1:33" s="904" customFormat="1" ht="13.5" customHeight="1">
      <c r="A10" s="891" t="s">
        <v>2289</v>
      </c>
      <c r="B10" s="8" t="s">
        <v>2290</v>
      </c>
      <c r="C10" s="900" t="s">
        <v>2291</v>
      </c>
      <c r="D10" s="901" t="s">
        <v>2292</v>
      </c>
      <c r="E10" s="901" t="s">
        <v>2293</v>
      </c>
      <c r="F10" s="901" t="s">
        <v>2294</v>
      </c>
      <c r="G10" s="8"/>
      <c r="H10" s="902"/>
      <c r="I10" s="902"/>
      <c r="J10" s="902"/>
      <c r="K10" s="903"/>
    </row>
    <row r="11" spans="1:33" s="909" customFormat="1" ht="13.5" customHeight="1">
      <c r="A11" s="905" t="s">
        <v>1300</v>
      </c>
      <c r="B11" s="906" t="s">
        <v>2295</v>
      </c>
      <c r="C11" s="285">
        <f ca="1">IF(C1="",'数据-取费表'!P16,INDIRECT("'数据-取费表'!p"&amp;$K$1)+INDIRECT("'数据-取费表'!ar"&amp;$K$1))</f>
        <v>0</v>
      </c>
      <c r="D11" s="907"/>
      <c r="E11" s="335"/>
      <c r="F11" s="908">
        <f ca="1">1-IF('数据-取费表'!B24=0,1,IF(C1="",'数据-取费表'!N16,INDIRECT("'数据-取费表'!n"&amp;$K$1)))</f>
        <v>0</v>
      </c>
      <c r="G11" s="8"/>
      <c r="H11" s="902"/>
      <c r="I11" s="902"/>
      <c r="J11" s="902"/>
      <c r="K11" s="903"/>
    </row>
    <row r="12" spans="1:33" s="909" customFormat="1" ht="13.5" customHeight="1">
      <c r="A12" s="905" t="s">
        <v>1301</v>
      </c>
      <c r="B12" s="906" t="s">
        <v>2296</v>
      </c>
      <c r="C12" s="24">
        <f ca="1">ROUND(C11*F12,0)</f>
        <v>0</v>
      </c>
      <c r="D12" s="907"/>
      <c r="E12" s="335"/>
      <c r="F12" s="910">
        <f>'数据-取费表'!B33</f>
        <v>0.03</v>
      </c>
      <c r="G12" s="8" t="s">
        <v>2297</v>
      </c>
      <c r="H12" s="902"/>
      <c r="I12" s="902"/>
      <c r="J12" s="902"/>
      <c r="K12" s="903"/>
    </row>
    <row r="13" spans="1:33" s="909" customFormat="1" ht="13.5" customHeight="1">
      <c r="A13" s="905" t="s">
        <v>1302</v>
      </c>
      <c r="B13" s="906" t="s">
        <v>2298</v>
      </c>
      <c r="C13" s="24">
        <f ca="1">ROUND(IF(C1="",SUMIF('数据-取费表'!C:C,"住宅",'数据-取费表'!P:P)*F13,IF(INDIRECT("'数据-取费表'!c"&amp;$K$1)="住宅",INDIRECT("'数据-取费表'!P"&amp;$K$1)*F13,0)),0)</f>
        <v>0</v>
      </c>
      <c r="D13" s="952"/>
      <c r="E13" s="335"/>
      <c r="F13" s="910">
        <f>'数据-取费表'!B34</f>
        <v>0.03</v>
      </c>
      <c r="G13" s="8" t="s">
        <v>2299</v>
      </c>
      <c r="H13" s="902"/>
      <c r="I13" s="902"/>
      <c r="J13" s="902"/>
      <c r="K13" s="903"/>
    </row>
    <row r="14" spans="1:33" s="911" customFormat="1" ht="13.5" customHeight="1">
      <c r="A14" s="905" t="s">
        <v>1303</v>
      </c>
      <c r="B14" s="906" t="s">
        <v>2300</v>
      </c>
      <c r="C14" s="24">
        <f ca="1">ROUND(D14*E14*F11/10000,0)</f>
        <v>0</v>
      </c>
      <c r="D14" s="952">
        <f ca="1">IF(C1="",'数据-汇总表'!E3,INDIRECT("'数据-取费表'!K"&amp;$K$1)+INDIRECT("'数据-取费表'!S"&amp;$K$1))</f>
        <v>29932.760000000009</v>
      </c>
      <c r="E14" s="24">
        <f>'数据-取费表'!B35</f>
        <v>200</v>
      </c>
      <c r="F14" s="910"/>
      <c r="G14" s="8" t="s">
        <v>2301</v>
      </c>
      <c r="H14" s="902"/>
      <c r="I14" s="902"/>
      <c r="J14" s="902"/>
      <c r="K14" s="903"/>
      <c r="L14" s="909"/>
      <c r="M14" s="909"/>
      <c r="N14" s="909"/>
      <c r="O14" s="909"/>
      <c r="P14" s="909"/>
      <c r="Q14" s="909"/>
      <c r="R14" s="909"/>
      <c r="S14" s="909"/>
      <c r="T14" s="909"/>
      <c r="U14" s="909"/>
      <c r="V14" s="909"/>
      <c r="W14" s="909"/>
      <c r="X14" s="909"/>
      <c r="Y14" s="909"/>
      <c r="Z14" s="909"/>
      <c r="AA14" s="909"/>
      <c r="AB14" s="909"/>
      <c r="AC14" s="909"/>
      <c r="AD14" s="909"/>
      <c r="AE14" s="909"/>
      <c r="AF14" s="909"/>
      <c r="AG14" s="909"/>
    </row>
    <row r="15" spans="1:33" s="911" customFormat="1" ht="13.5" customHeight="1">
      <c r="A15" s="905" t="s">
        <v>1304</v>
      </c>
      <c r="B15" s="906" t="s">
        <v>2302</v>
      </c>
      <c r="C15" s="917">
        <f ca="1">ROUND(C11*F15,0)</f>
        <v>0</v>
      </c>
      <c r="D15" s="912"/>
      <c r="E15" s="917"/>
      <c r="F15" s="918">
        <f>'数据-取费表'!B36</f>
        <v>1.4999999999999999E-2</v>
      </c>
      <c r="G15" s="136" t="s">
        <v>2303</v>
      </c>
      <c r="H15" s="913"/>
      <c r="I15" s="913"/>
      <c r="J15" s="913"/>
      <c r="K15" s="914"/>
      <c r="L15" s="909"/>
      <c r="M15" s="909"/>
      <c r="N15" s="909"/>
      <c r="O15" s="909"/>
      <c r="P15" s="909"/>
      <c r="Q15" s="909"/>
      <c r="R15" s="909"/>
      <c r="S15" s="909"/>
      <c r="T15" s="909"/>
      <c r="U15" s="909"/>
      <c r="V15" s="909"/>
      <c r="W15" s="909"/>
      <c r="X15" s="909"/>
      <c r="Y15" s="909"/>
      <c r="Z15" s="909"/>
      <c r="AA15" s="909"/>
      <c r="AB15" s="909"/>
      <c r="AC15" s="909"/>
      <c r="AD15" s="909"/>
      <c r="AE15" s="909"/>
      <c r="AF15" s="909"/>
      <c r="AG15" s="909"/>
    </row>
    <row r="16" spans="1:33" s="911" customFormat="1" ht="13.5" customHeight="1">
      <c r="A16" s="905" t="s">
        <v>803</v>
      </c>
      <c r="B16" s="906" t="s">
        <v>2304</v>
      </c>
      <c r="C16" s="917">
        <f ca="1">SUM(C11:C15)</f>
        <v>0</v>
      </c>
      <c r="D16" s="912"/>
      <c r="E16" s="917"/>
      <c r="F16" s="918"/>
      <c r="G16" s="136"/>
      <c r="H16" s="1338"/>
      <c r="I16" s="913"/>
      <c r="J16" s="913"/>
      <c r="K16" s="914"/>
      <c r="L16" s="909"/>
      <c r="M16" s="909"/>
      <c r="N16" s="909"/>
      <c r="O16" s="909"/>
      <c r="P16" s="909"/>
      <c r="Q16" s="909"/>
      <c r="R16" s="909"/>
      <c r="S16" s="909"/>
      <c r="T16" s="909"/>
      <c r="U16" s="909"/>
      <c r="V16" s="909"/>
      <c r="W16" s="909"/>
      <c r="X16" s="909"/>
      <c r="Y16" s="909"/>
      <c r="Z16" s="909"/>
      <c r="AA16" s="909"/>
      <c r="AB16" s="909"/>
      <c r="AC16" s="909"/>
      <c r="AD16" s="909"/>
      <c r="AE16" s="909"/>
      <c r="AF16" s="909"/>
      <c r="AG16" s="909"/>
    </row>
    <row r="17" spans="1:33" s="911" customFormat="1" ht="13.5" customHeight="1">
      <c r="A17" s="905" t="s">
        <v>804</v>
      </c>
      <c r="B17" s="906" t="s">
        <v>2305</v>
      </c>
      <c r="C17" s="24">
        <f ca="1">ROUND(D17*E17/10000,0)</f>
        <v>0</v>
      </c>
      <c r="D17" s="952">
        <f ca="1">D14</f>
        <v>29932.760000000009</v>
      </c>
      <c r="E17" s="24">
        <f>'数据-取费表'!B32</f>
        <v>0</v>
      </c>
      <c r="F17" s="912"/>
      <c r="G17" s="136" t="s">
        <v>2306</v>
      </c>
      <c r="H17" s="1338"/>
      <c r="I17" s="913"/>
      <c r="J17" s="913"/>
      <c r="K17" s="914"/>
      <c r="L17" s="909"/>
      <c r="M17" s="909"/>
      <c r="N17" s="909"/>
      <c r="O17" s="909"/>
      <c r="P17" s="909"/>
      <c r="Q17" s="909"/>
      <c r="R17" s="909"/>
      <c r="S17" s="909"/>
      <c r="T17" s="909"/>
      <c r="U17" s="909"/>
      <c r="V17" s="909"/>
      <c r="W17" s="909"/>
      <c r="X17" s="909"/>
      <c r="Y17" s="909"/>
      <c r="Z17" s="909"/>
      <c r="AA17" s="909"/>
      <c r="AB17" s="909"/>
      <c r="AC17" s="909"/>
      <c r="AD17" s="909"/>
      <c r="AE17" s="909"/>
      <c r="AF17" s="909"/>
      <c r="AG17" s="909"/>
    </row>
    <row r="18" spans="1:33" s="909" customFormat="1" ht="13.5" customHeight="1">
      <c r="A18" s="905" t="s">
        <v>1305</v>
      </c>
      <c r="B18" s="906" t="s">
        <v>2307</v>
      </c>
      <c r="C18" s="24">
        <f ca="1">C19+C20-IF(C1="",'数据-取费表'!B29,IF(G18="已全部缴纳",C19+C20,H18))</f>
        <v>599</v>
      </c>
      <c r="D18" s="952"/>
      <c r="E18" s="24"/>
      <c r="F18" s="910"/>
      <c r="G18" s="2035"/>
      <c r="H18" s="1337"/>
      <c r="I18" s="2036" t="s">
        <v>2308</v>
      </c>
      <c r="J18" s="913"/>
      <c r="K18" s="914"/>
    </row>
    <row r="19" spans="1:33" s="909" customFormat="1" ht="13.5" customHeight="1">
      <c r="A19" s="905" t="s">
        <v>805</v>
      </c>
      <c r="B19" s="906" t="s">
        <v>2309</v>
      </c>
      <c r="C19" s="24">
        <f ca="1">ROUND(D19*E19/10000,0)</f>
        <v>0</v>
      </c>
      <c r="D19" s="952">
        <f ca="1">IF(C1="",'数据-汇总表'!E5,IF(INDIRECT("'数据-取费表'!c"&amp;$K$1)="住宅",INDIRECT("'数据-取费表'!k"&amp;$K$1),0))</f>
        <v>0</v>
      </c>
      <c r="E19" s="24">
        <f>'数据-取费表'!B27</f>
        <v>160</v>
      </c>
      <c r="F19" s="910"/>
      <c r="G19" s="15"/>
      <c r="H19" s="1339"/>
      <c r="I19" s="915"/>
      <c r="J19" s="915"/>
      <c r="K19" s="916"/>
    </row>
    <row r="20" spans="1:33" s="909" customFormat="1" ht="13.5" customHeight="1">
      <c r="A20" s="905" t="s">
        <v>806</v>
      </c>
      <c r="B20" s="906" t="s">
        <v>2310</v>
      </c>
      <c r="C20" s="24">
        <f ca="1">ROUND(D20*E20/10000,0)</f>
        <v>599</v>
      </c>
      <c r="D20" s="952">
        <f ca="1">IF(C1="",'数据-汇总表'!E6,IF(INDIRECT("'数据-取费表'!c"&amp;$K$1)="住宅",INDIRECT("'数据-取费表'!s"&amp;$K$1),INDIRECT("'数据-取费表'!k"&amp;$K$1)+INDIRECT("'数据-取费表'!s"&amp;$K$1)))</f>
        <v>29932.760000000009</v>
      </c>
      <c r="E20" s="24">
        <f>'数据-取费表'!B28</f>
        <v>200</v>
      </c>
      <c r="F20" s="910"/>
      <c r="G20" s="15"/>
      <c r="H20" s="915"/>
      <c r="I20" s="915"/>
      <c r="J20" s="915"/>
      <c r="K20" s="916"/>
    </row>
    <row r="21" spans="1:33" s="909" customFormat="1" ht="13.5" customHeight="1">
      <c r="A21" s="895" t="s">
        <v>802</v>
      </c>
      <c r="B21" s="919" t="s">
        <v>2311</v>
      </c>
      <c r="C21" s="920">
        <f ca="1">C16+C17+C18</f>
        <v>599</v>
      </c>
      <c r="D21" s="921"/>
      <c r="E21" s="287"/>
      <c r="F21" s="287"/>
      <c r="G21" s="136" t="s">
        <v>2312</v>
      </c>
      <c r="H21" s="913"/>
      <c r="I21" s="913"/>
      <c r="J21" s="913"/>
      <c r="K21" s="914"/>
    </row>
    <row r="22" spans="1:33" s="909" customFormat="1" ht="13.5" customHeight="1">
      <c r="A22" s="895" t="s">
        <v>2284</v>
      </c>
      <c r="B22" s="919" t="s">
        <v>2313</v>
      </c>
      <c r="C22" s="920">
        <f ca="1">ROUND(C21*F22,0)</f>
        <v>12</v>
      </c>
      <c r="D22" s="287"/>
      <c r="E22" s="287"/>
      <c r="F22" s="922">
        <f>'数据-取费表'!B37</f>
        <v>0.02</v>
      </c>
      <c r="G22" s="8" t="s">
        <v>2314</v>
      </c>
      <c r="H22" s="902"/>
      <c r="I22" s="902"/>
      <c r="J22" s="902"/>
      <c r="K22" s="903"/>
    </row>
    <row r="23" spans="1:33" s="909" customFormat="1" ht="13.5" customHeight="1">
      <c r="A23" s="895" t="s">
        <v>2286</v>
      </c>
      <c r="B23" s="919" t="s">
        <v>2315</v>
      </c>
      <c r="C23" s="920">
        <f ca="1">ROUND(C4*F23*F11,0)</f>
        <v>0</v>
      </c>
      <c r="D23" s="287"/>
      <c r="E23" s="287"/>
      <c r="F23" s="922">
        <f>'数据-取费表'!B38</f>
        <v>0.02</v>
      </c>
      <c r="G23" s="8" t="s">
        <v>2316</v>
      </c>
      <c r="H23" s="902"/>
      <c r="I23" s="902"/>
      <c r="J23" s="902"/>
      <c r="K23" s="903"/>
    </row>
    <row r="24" spans="1:33" s="909" customFormat="1" ht="13.5" customHeight="1">
      <c r="A24" s="895" t="s">
        <v>2317</v>
      </c>
      <c r="B24" s="919" t="s">
        <v>2318</v>
      </c>
      <c r="C24" s="286">
        <f>ROUND(F24/(1+'数据-取费表'!C42),4)</f>
        <v>2.9000000000000001E-2</v>
      </c>
      <c r="D24" s="287" t="s">
        <v>15</v>
      </c>
      <c r="E24" s="287"/>
      <c r="F24" s="922">
        <f>IF(项目基本情况!B8="出让",0,'数据-取费表'!B48+'数据-取费表'!B49)</f>
        <v>3.0499999999999999E-2</v>
      </c>
      <c r="G24" s="8" t="s">
        <v>2319</v>
      </c>
      <c r="H24" s="924"/>
      <c r="I24" s="924"/>
      <c r="J24" s="924"/>
      <c r="K24" s="925"/>
    </row>
    <row r="25" spans="1:33" s="909" customFormat="1" ht="13.5" customHeight="1">
      <c r="A25" s="895" t="s">
        <v>2320</v>
      </c>
      <c r="B25" s="921" t="s">
        <v>2321</v>
      </c>
      <c r="C25" s="1257">
        <f ca="1">C27</f>
        <v>0</v>
      </c>
      <c r="D25" s="286">
        <f ca="1">C26</f>
        <v>0</v>
      </c>
      <c r="E25" s="288" t="s">
        <v>15</v>
      </c>
      <c r="F25" s="289">
        <f ca="1">'数据-取费表'!B40</f>
        <v>4.7500000000000001E-2</v>
      </c>
      <c r="G25" s="136" t="str">
        <f>IF('数据-取费表'!B22&lt;=1,"单利计息。","复利计息。")&amp;"后续开发成本、管理费用及销售费用产生的利息。"</f>
        <v>复利计息。后续开发成本、管理费用及销售费用产生的利息。</v>
      </c>
      <c r="H25" s="924"/>
      <c r="I25" s="924"/>
      <c r="J25" s="924"/>
      <c r="K25" s="925"/>
    </row>
    <row r="26" spans="1:33" s="927" customFormat="1" ht="13.5" customHeight="1">
      <c r="A26" s="905" t="s">
        <v>803</v>
      </c>
      <c r="B26" s="926" t="s">
        <v>2322</v>
      </c>
      <c r="C26" s="1258">
        <f ca="1">ROUND(IF('数据-取费表'!B22&lt;=1,(1+C24)*F25*'数据-取费表'!B24,(1+C24)*(POWER((1+F25),'数据-取费表'!B24)-1)),4)</f>
        <v>0</v>
      </c>
      <c r="D26" s="290"/>
      <c r="E26" s="291"/>
      <c r="F26" s="292"/>
      <c r="G26" s="2037" t="str">
        <f>IF('数据-取费表'!B22&lt;=1,"（(1)+取得税费率/(1+5%)）×年利率×建设期","（(1)+取得税费率）/(1+5%)×((1+年利率)^建设期-1)")</f>
        <v>（(1)+取得税费率）/(1+5%)×((1+年利率)^建设期-1)</v>
      </c>
      <c r="H26" s="913"/>
      <c r="I26" s="913"/>
      <c r="J26" s="913"/>
      <c r="K26" s="914"/>
    </row>
    <row r="27" spans="1:33" s="927" customFormat="1" ht="13.5" customHeight="1">
      <c r="A27" s="905" t="s">
        <v>804</v>
      </c>
      <c r="B27" s="926" t="s">
        <v>2323</v>
      </c>
      <c r="C27" s="1259">
        <f ca="1">ROUND(IF('数据-取费表'!B22&lt;=1,(C21+C22+C23)*F25*'数据-取费表'!B24/2,(C21+C22+C23)*(POWER((1+F25),'数据-取费表'!B24/2)-1)),0)</f>
        <v>0</v>
      </c>
      <c r="D27" s="290"/>
      <c r="E27" s="291"/>
      <c r="F27" s="292"/>
      <c r="G27" s="2037" t="str">
        <f>IF('数据-取费表'!B22&lt;=1,"（1）-（3）项×年利率×建设期÷2","（1）-（3）项×((1+年利率)^(建设期÷2)-1)")</f>
        <v>（1）-（3）项×((1+年利率)^(建设期÷2)-1)</v>
      </c>
      <c r="H27" s="913"/>
      <c r="I27" s="913"/>
      <c r="J27" s="913"/>
      <c r="K27" s="914"/>
    </row>
    <row r="28" spans="1:33" s="295" customFormat="1" ht="13.5" customHeight="1">
      <c r="A28" s="895" t="s">
        <v>2324</v>
      </c>
      <c r="B28" s="2038" t="s">
        <v>2325</v>
      </c>
      <c r="C28" s="293">
        <f ca="1">C30</f>
        <v>61</v>
      </c>
      <c r="D28" s="286">
        <f ca="1">C29</f>
        <v>0</v>
      </c>
      <c r="E28" s="288" t="s">
        <v>15</v>
      </c>
      <c r="F28" s="294">
        <f ca="1">IF(C1="",'数据-取费表'!Q16,INDIRECT("'数据-取费表'!q"&amp;$K$1))</f>
        <v>0.1</v>
      </c>
      <c r="G28" s="923"/>
      <c r="H28" s="924"/>
      <c r="I28" s="924"/>
      <c r="J28" s="924"/>
      <c r="K28" s="925"/>
    </row>
    <row r="29" spans="1:33" s="297" customFormat="1" ht="13.5" customHeight="1">
      <c r="A29" s="905" t="s">
        <v>803</v>
      </c>
      <c r="B29" s="928" t="s">
        <v>2326</v>
      </c>
      <c r="C29" s="290">
        <f ca="1">ROUND((1+C24)*F28*'数据-取费表'!B24/'数据-取费表'!B20,4)</f>
        <v>0</v>
      </c>
      <c r="D29" s="290"/>
      <c r="E29" s="291"/>
      <c r="F29" s="296"/>
      <c r="G29" s="136" t="s">
        <v>2327</v>
      </c>
      <c r="H29" s="913"/>
      <c r="I29" s="913"/>
      <c r="J29" s="913"/>
      <c r="K29" s="914"/>
    </row>
    <row r="30" spans="1:33" s="297" customFormat="1" ht="13.5" customHeight="1">
      <c r="A30" s="905" t="s">
        <v>804</v>
      </c>
      <c r="B30" s="928" t="s">
        <v>2328</v>
      </c>
      <c r="C30" s="298">
        <f ca="1">ROUND((C21+C22+C23)*F28,0)</f>
        <v>61</v>
      </c>
      <c r="D30" s="290"/>
      <c r="E30" s="291"/>
      <c r="F30" s="296"/>
      <c r="G30" s="136"/>
      <c r="H30" s="913"/>
      <c r="I30" s="913"/>
      <c r="J30" s="913"/>
      <c r="K30" s="914"/>
    </row>
    <row r="31" spans="1:33" s="909" customFormat="1" ht="13.5" customHeight="1" thickBot="1">
      <c r="A31" s="2039" t="s">
        <v>2329</v>
      </c>
      <c r="B31" s="939" t="s">
        <v>2330</v>
      </c>
      <c r="C31" s="940">
        <f>ROUND(C4*F31/(1+'数据-取费表'!C42),0)</f>
        <v>0</v>
      </c>
      <c r="D31" s="941"/>
      <c r="E31" s="942"/>
      <c r="F31" s="943">
        <f>'数据-取费表'!B41</f>
        <v>5.6000000000000001E-2</v>
      </c>
      <c r="G31" s="944" t="s">
        <v>2331</v>
      </c>
      <c r="H31" s="945"/>
      <c r="I31" s="945"/>
      <c r="J31" s="945"/>
      <c r="K31" s="946"/>
    </row>
    <row r="32" spans="1:33" s="904" customFormat="1" ht="13.5" customHeight="1" thickBot="1">
      <c r="A32" s="934" t="s">
        <v>2332</v>
      </c>
      <c r="B32" s="935"/>
      <c r="C32" s="936">
        <f ca="1">ROUND((C4-C21-C22-C23-C25-C28-C31)/(1+C24+D25+D28),0)</f>
        <v>-653</v>
      </c>
      <c r="D32" s="935"/>
      <c r="E32" s="935"/>
      <c r="F32" s="935"/>
      <c r="G32" s="937" t="s">
        <v>2333</v>
      </c>
      <c r="H32" s="935"/>
      <c r="I32" s="935"/>
      <c r="J32" s="935"/>
      <c r="K32" s="938"/>
    </row>
    <row r="34" ht="12.75" customHeight="1"/>
  </sheetData>
  <sheetProtection password="CEE9" sheet="1" objects="1" scenarios="1" formatCells="0" formatColumns="0" formatRows="0"/>
  <phoneticPr fontId="18" type="noConversion"/>
  <dataValidations count="2">
    <dataValidation type="list" allowBlank="1" showInputMessage="1" showErrorMessage="1" sqref="C5:K5 C1">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71"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83"/>
  <sheetViews>
    <sheetView view="pageBreakPreview" zoomScale="70" zoomScaleNormal="70" zoomScaleSheetLayoutView="70" workbookViewId="0">
      <selection activeCell="L32" sqref="L32"/>
    </sheetView>
  </sheetViews>
  <sheetFormatPr defaultColWidth="9" defaultRowHeight="12.75"/>
  <cols>
    <col min="1" max="1" width="9" style="264" customWidth="1"/>
    <col min="2" max="2" width="20.625" style="661" customWidth="1"/>
    <col min="3" max="3" width="11.875" style="661" customWidth="1"/>
    <col min="4" max="4" width="40.5" style="264" customWidth="1"/>
    <col min="5" max="5" width="15.75" style="264" customWidth="1"/>
    <col min="6" max="6" width="10.625" style="264" customWidth="1"/>
    <col min="7" max="7" width="4.875" style="264" customWidth="1"/>
    <col min="8" max="8" width="8.5" style="264" customWidth="1"/>
    <col min="9" max="9" width="21.25" style="264" customWidth="1"/>
    <col min="10" max="10" width="12.25" style="264" customWidth="1"/>
    <col min="11" max="11" width="45.125" style="1642" customWidth="1"/>
    <col min="12" max="12" width="16.375" style="264" customWidth="1"/>
    <col min="13" max="13" width="13" style="264" customWidth="1"/>
    <col min="14" max="14" width="13.75" style="1558" customWidth="1"/>
    <col min="15" max="15" width="5.125" style="1558" customWidth="1"/>
    <col min="16" max="16" width="25.75" style="1558" customWidth="1"/>
    <col min="17" max="17" width="13.75" style="1558" customWidth="1"/>
    <col min="18" max="18" width="20.5" style="1558" customWidth="1"/>
    <col min="19" max="19" width="13.25" style="1558" customWidth="1"/>
    <col min="20" max="37" width="9" style="1558"/>
    <col min="38" max="16384" width="9" style="264"/>
  </cols>
  <sheetData>
    <row r="1" spans="1:37" s="299" customFormat="1" ht="21">
      <c r="A1" s="1549" t="s">
        <v>1554</v>
      </c>
      <c r="B1" s="720"/>
      <c r="C1" s="1553" t="s">
        <v>3607</v>
      </c>
      <c r="D1" s="1536" t="s">
        <v>70</v>
      </c>
      <c r="E1" s="1537" t="s">
        <v>1352</v>
      </c>
      <c r="F1" s="1184">
        <f ca="1">J53</f>
        <v>32.74</v>
      </c>
      <c r="G1" s="1552">
        <f>MATCH(C1,'数据-取费表'!A6:A16,0)+5</f>
        <v>6</v>
      </c>
      <c r="H1" s="2902"/>
      <c r="I1" s="2903"/>
      <c r="J1" s="2903"/>
      <c r="K1" s="2904"/>
      <c r="L1" s="2903"/>
      <c r="M1" s="2903"/>
      <c r="N1" s="730"/>
      <c r="O1" s="730"/>
      <c r="P1" s="730"/>
      <c r="Q1" s="730"/>
      <c r="R1" s="730"/>
      <c r="S1" s="730"/>
      <c r="T1" s="730"/>
      <c r="U1" s="730"/>
      <c r="V1" s="730"/>
      <c r="W1" s="730"/>
      <c r="X1" s="730"/>
      <c r="Y1" s="730"/>
      <c r="Z1" s="730"/>
      <c r="AA1" s="730"/>
      <c r="AB1" s="730"/>
      <c r="AC1" s="730"/>
      <c r="AD1" s="730"/>
      <c r="AE1" s="730"/>
      <c r="AF1" s="730"/>
      <c r="AG1" s="730"/>
      <c r="AH1" s="730"/>
      <c r="AI1" s="730"/>
      <c r="AJ1" s="730"/>
      <c r="AK1" s="730"/>
    </row>
    <row r="2" spans="1:37" ht="18" customHeight="1">
      <c r="A2" s="1559" t="s">
        <v>1480</v>
      </c>
      <c r="B2" s="1560">
        <f ca="1">C40+J29+L46</f>
        <v>24262</v>
      </c>
      <c r="C2" s="1561" t="s">
        <v>1481</v>
      </c>
      <c r="D2" s="1561"/>
      <c r="E2" s="1562"/>
      <c r="F2" s="1563"/>
      <c r="G2" s="2916"/>
      <c r="H2" s="2905"/>
      <c r="I2" s="2905"/>
      <c r="J2" s="2905"/>
      <c r="K2" s="2906"/>
      <c r="L2" s="2905"/>
      <c r="M2" s="2905"/>
    </row>
    <row r="3" spans="1:37" ht="18" customHeight="1" thickBot="1">
      <c r="A3" s="1564" t="s">
        <v>1482</v>
      </c>
      <c r="B3" s="1565">
        <f ca="1">IF(ISERROR(B2*10000/F43),0,ROUND(B2*10000/F43,0))</f>
        <v>8194</v>
      </c>
      <c r="C3" s="1561" t="s">
        <v>1483</v>
      </c>
      <c r="D3" s="1561"/>
      <c r="E3" s="1562"/>
      <c r="F3" s="1563"/>
      <c r="G3" s="2916"/>
      <c r="H3" s="690" t="s">
        <v>1553</v>
      </c>
      <c r="I3" s="1556"/>
      <c r="J3" s="1556"/>
      <c r="K3" s="1557"/>
      <c r="L3" s="1556"/>
      <c r="M3" s="1556"/>
    </row>
    <row r="4" spans="1:37" ht="18" customHeight="1">
      <c r="A4" s="301" t="s">
        <v>1361</v>
      </c>
      <c r="B4" s="302" t="s">
        <v>1362</v>
      </c>
      <c r="C4" s="302" t="s">
        <v>1363</v>
      </c>
      <c r="D4" s="302" t="s">
        <v>1364</v>
      </c>
      <c r="E4" s="303" t="s">
        <v>1365</v>
      </c>
      <c r="F4" s="304"/>
      <c r="G4" s="1558"/>
      <c r="H4" s="301" t="s">
        <v>1361</v>
      </c>
      <c r="I4" s="302" t="s">
        <v>1362</v>
      </c>
      <c r="J4" s="302" t="s">
        <v>1363</v>
      </c>
      <c r="K4" s="302" t="s">
        <v>1364</v>
      </c>
      <c r="L4" s="303" t="s">
        <v>1365</v>
      </c>
      <c r="M4" s="304"/>
    </row>
    <row r="5" spans="1:37" ht="18" customHeight="1">
      <c r="A5" s="305">
        <v>1</v>
      </c>
      <c r="B5" s="306" t="s">
        <v>1366</v>
      </c>
      <c r="C5" s="1193">
        <f ca="1">C6+C10+C12</f>
        <v>1947</v>
      </c>
      <c r="D5" s="1538" t="s">
        <v>1367</v>
      </c>
      <c r="E5" s="1194"/>
      <c r="F5" s="1195"/>
      <c r="G5" s="1558"/>
      <c r="H5" s="305">
        <v>1</v>
      </c>
      <c r="I5" s="306" t="s">
        <v>1366</v>
      </c>
      <c r="J5" s="1193">
        <f ca="1">J6+J10+J12</f>
        <v>0</v>
      </c>
      <c r="K5" s="1538" t="s">
        <v>1367</v>
      </c>
      <c r="L5" s="1194"/>
      <c r="M5" s="1195"/>
    </row>
    <row r="6" spans="1:37" ht="18" customHeight="1">
      <c r="A6" s="1192" t="s">
        <v>1003</v>
      </c>
      <c r="B6" s="3430" t="s">
        <v>1368</v>
      </c>
      <c r="C6" s="1197">
        <f ca="1">ROUND(F6*F8*F7*(1-F9)/10000,0)</f>
        <v>1945</v>
      </c>
      <c r="D6" s="160" t="s">
        <v>2834</v>
      </c>
      <c r="E6" s="308" t="s">
        <v>1370</v>
      </c>
      <c r="F6" s="309">
        <f ca="1">INDIRECT("'数据-取费表'!u"&amp;$G$1)</f>
        <v>2</v>
      </c>
      <c r="G6" s="1558"/>
      <c r="H6" s="1192" t="s">
        <v>1003</v>
      </c>
      <c r="I6" s="3430" t="s">
        <v>1368</v>
      </c>
      <c r="J6" s="307">
        <f ca="1">ROUND(M6*M8*M7*(1-M9)/10000,0)</f>
        <v>0</v>
      </c>
      <c r="K6" s="160" t="s">
        <v>2833</v>
      </c>
      <c r="L6" s="308" t="s">
        <v>1370</v>
      </c>
      <c r="M6" s="309">
        <f ca="1">INDIRECT("'数据-取费表'!z"&amp;$G$1)</f>
        <v>0</v>
      </c>
    </row>
    <row r="7" spans="1:37" ht="18" customHeight="1">
      <c r="A7" s="1196"/>
      <c r="B7" s="3431"/>
      <c r="C7" s="1198"/>
      <c r="D7" s="313"/>
      <c r="E7" s="1199" t="s">
        <v>1371</v>
      </c>
      <c r="F7" s="309">
        <f ca="1">IF(INDIRECT("'数据-取费表'!ah"&amp;$G$1)="",INDIRECT("'数据-取费表'!k"&amp;$G$1),INDIRECT("'数据-取费表'!ah"&amp;$G$1))</f>
        <v>29610.970000000008</v>
      </c>
      <c r="G7" s="1558"/>
      <c r="H7" s="310"/>
      <c r="I7" s="3431"/>
      <c r="J7" s="312"/>
      <c r="K7" s="313"/>
      <c r="L7" s="308" t="s">
        <v>1371</v>
      </c>
      <c r="M7" s="309">
        <f ca="1">F7</f>
        <v>29610.970000000008</v>
      </c>
    </row>
    <row r="8" spans="1:37" ht="18" customHeight="1">
      <c r="A8" s="310"/>
      <c r="B8" s="3431"/>
      <c r="C8" s="312"/>
      <c r="D8" s="313"/>
      <c r="E8" s="308" t="s">
        <v>1372</v>
      </c>
      <c r="F8" s="309">
        <f ca="1">INDIRECT("'数据-取费表'!ai"&amp;$G$1)</f>
        <v>365</v>
      </c>
      <c r="G8" s="1558"/>
      <c r="H8" s="310"/>
      <c r="I8" s="3431"/>
      <c r="J8" s="312"/>
      <c r="K8" s="313"/>
      <c r="L8" s="308" t="s">
        <v>1372</v>
      </c>
      <c r="M8" s="309">
        <f ca="1">INDIRECT("'数据-取费表'!ai"&amp;$G$1)</f>
        <v>365</v>
      </c>
    </row>
    <row r="9" spans="1:37" ht="18" customHeight="1">
      <c r="A9" s="310"/>
      <c r="B9" s="3432"/>
      <c r="C9" s="312"/>
      <c r="D9" s="313"/>
      <c r="E9" s="308" t="s">
        <v>1373</v>
      </c>
      <c r="F9" s="318">
        <f ca="1">INDIRECT("'数据-取费表'!w"&amp;$G$1)</f>
        <v>0.1</v>
      </c>
      <c r="G9" s="1558"/>
      <c r="H9" s="310"/>
      <c r="I9" s="3432"/>
      <c r="J9" s="312"/>
      <c r="K9" s="313"/>
      <c r="L9" s="319" t="s">
        <v>1373</v>
      </c>
      <c r="M9" s="320">
        <f ca="1">INDIRECT("'数据-取费表'!ab"&amp;$G$1)</f>
        <v>0</v>
      </c>
    </row>
    <row r="10" spans="1:37" ht="18" customHeight="1">
      <c r="A10" s="1192" t="s">
        <v>1007</v>
      </c>
      <c r="B10" s="1539" t="s">
        <v>1374</v>
      </c>
      <c r="C10" s="322">
        <f ca="1">ROUND(IF(F10="押一",C6/12*F11,IF(F10="押二",C6/12*2*F11,IF(F10="押三",C6/12*3*F11,C11*F11))),0)</f>
        <v>2</v>
      </c>
      <c r="D10" s="1540" t="s">
        <v>2842</v>
      </c>
      <c r="E10" s="319" t="s">
        <v>1375</v>
      </c>
      <c r="F10" s="1267" t="s">
        <v>3534</v>
      </c>
      <c r="G10" s="1558"/>
      <c r="H10" s="1192" t="s">
        <v>1007</v>
      </c>
      <c r="I10" s="1539" t="s">
        <v>1374</v>
      </c>
      <c r="J10" s="307">
        <f ca="1">ROUND(IF(M10="押一",J6/12*M11,IF(M10="押二",J6/12*2*M11,IF(M10="押三",J6/12*3*M11,J11*M11))),0)</f>
        <v>0</v>
      </c>
      <c r="K10" s="1540" t="s">
        <v>2841</v>
      </c>
      <c r="L10" s="319" t="s">
        <v>1375</v>
      </c>
      <c r="M10" s="1267" t="s">
        <v>1376</v>
      </c>
    </row>
    <row r="11" spans="1:37" ht="18" customHeight="1">
      <c r="A11" s="314"/>
      <c r="B11" s="1541" t="s">
        <v>1353</v>
      </c>
      <c r="C11" s="1081"/>
      <c r="D11" s="1542"/>
      <c r="E11" s="319" t="s">
        <v>1377</v>
      </c>
      <c r="F11" s="320">
        <f ca="1">'数据-取费表'!B39</f>
        <v>1.4999999999999999E-2</v>
      </c>
      <c r="G11" s="1558"/>
      <c r="H11" s="1200"/>
      <c r="I11" s="1541" t="s">
        <v>1353</v>
      </c>
      <c r="J11" s="1081"/>
      <c r="K11" s="691"/>
      <c r="L11" s="319" t="s">
        <v>1377</v>
      </c>
      <c r="M11" s="968">
        <f ca="1">'数据-取费表'!B39</f>
        <v>1.4999999999999999E-2</v>
      </c>
    </row>
    <row r="12" spans="1:37" ht="18" customHeight="1" thickBot="1">
      <c r="A12" s="1234" t="s">
        <v>1043</v>
      </c>
      <c r="B12" s="1543" t="s">
        <v>1378</v>
      </c>
      <c r="C12" s="1235"/>
      <c r="D12" s="1236"/>
      <c r="E12" s="1241"/>
      <c r="F12" s="1237"/>
      <c r="G12" s="1558"/>
      <c r="H12" s="1234" t="s">
        <v>1043</v>
      </c>
      <c r="I12" s="1543" t="s">
        <v>1378</v>
      </c>
      <c r="J12" s="1235"/>
      <c r="K12" s="1249"/>
      <c r="L12" s="1241"/>
      <c r="M12" s="1250"/>
    </row>
    <row r="13" spans="1:37" ht="18" customHeight="1" thickTop="1">
      <c r="A13" s="1230">
        <v>2</v>
      </c>
      <c r="B13" s="1231" t="s">
        <v>1379</v>
      </c>
      <c r="C13" s="316">
        <f ca="1">ROUND(C29*F13,0)</f>
        <v>24991</v>
      </c>
      <c r="D13" s="1232" t="s">
        <v>1380</v>
      </c>
      <c r="E13" s="1232" t="s">
        <v>1381</v>
      </c>
      <c r="F13" s="1233">
        <f ca="1">INDIRECT("'数据-取费表'!y"&amp;$G$1)</f>
        <v>1</v>
      </c>
      <c r="G13" s="1558"/>
      <c r="H13" s="1230">
        <v>2</v>
      </c>
      <c r="I13" s="1231" t="s">
        <v>1379</v>
      </c>
      <c r="J13" s="1191">
        <f ca="1">ROUND(J14*J15,0)</f>
        <v>0</v>
      </c>
      <c r="K13" s="1238" t="s">
        <v>1380</v>
      </c>
      <c r="L13" s="1566"/>
      <c r="M13" s="1567"/>
    </row>
    <row r="14" spans="1:37" ht="18" customHeight="1">
      <c r="A14" s="1104" t="s">
        <v>1002</v>
      </c>
      <c r="B14" s="308" t="s">
        <v>1382</v>
      </c>
      <c r="C14" s="324">
        <f ca="1">INDIRECT("'数据-取费表'!m"&amp;$G$1)+INDIRECT("'数据-取费表'!t"&amp;$G$1)</f>
        <v>17896</v>
      </c>
      <c r="D14" s="1519" t="s">
        <v>1383</v>
      </c>
      <c r="E14" s="1516"/>
      <c r="F14" s="325"/>
      <c r="G14" s="1558"/>
      <c r="H14" s="1104" t="s">
        <v>1003</v>
      </c>
      <c r="I14" s="308" t="s">
        <v>1384</v>
      </c>
      <c r="J14" s="24">
        <f ca="1">C29</f>
        <v>24991</v>
      </c>
      <c r="K14" s="15"/>
      <c r="L14" s="913"/>
      <c r="M14" s="914"/>
    </row>
    <row r="15" spans="1:37" s="1571" customFormat="1" ht="18" customHeight="1" thickBot="1">
      <c r="A15" s="1104" t="s">
        <v>1004</v>
      </c>
      <c r="B15" s="308" t="s">
        <v>1385</v>
      </c>
      <c r="C15" s="24">
        <f ca="1">ROUND(C14*F15,0)</f>
        <v>537</v>
      </c>
      <c r="D15" s="326" t="s">
        <v>1386</v>
      </c>
      <c r="E15" s="326" t="s">
        <v>1387</v>
      </c>
      <c r="F15" s="327">
        <f>'数据-取费表'!B33</f>
        <v>0.03</v>
      </c>
      <c r="G15" s="1570"/>
      <c r="H15" s="1240" t="s">
        <v>1007</v>
      </c>
      <c r="I15" s="1241" t="s">
        <v>1381</v>
      </c>
      <c r="J15" s="1250">
        <f ca="1">INDIRECT("'数据-取费表'!ad"&amp;$G$1)</f>
        <v>0</v>
      </c>
      <c r="K15" s="1251"/>
      <c r="L15" s="1568"/>
      <c r="M15" s="1569"/>
      <c r="N15" s="1570"/>
      <c r="O15" s="1570"/>
      <c r="P15" s="1570"/>
      <c r="Q15" s="1570"/>
      <c r="R15" s="1570"/>
      <c r="S15" s="1570"/>
      <c r="T15" s="1570"/>
      <c r="U15" s="1570"/>
      <c r="V15" s="1570"/>
      <c r="W15" s="1570"/>
      <c r="X15" s="1570"/>
      <c r="Y15" s="1570"/>
      <c r="Z15" s="1570"/>
      <c r="AA15" s="1570"/>
      <c r="AB15" s="1570"/>
      <c r="AC15" s="1570"/>
      <c r="AD15" s="1570"/>
      <c r="AE15" s="1570"/>
      <c r="AF15" s="1570"/>
      <c r="AG15" s="1570"/>
      <c r="AH15" s="1570"/>
      <c r="AI15" s="1570"/>
      <c r="AJ15" s="1570"/>
      <c r="AK15" s="1570"/>
    </row>
    <row r="16" spans="1:37" ht="18" customHeight="1" thickTop="1">
      <c r="A16" s="1104" t="s">
        <v>1354</v>
      </c>
      <c r="B16" s="308" t="s">
        <v>1388</v>
      </c>
      <c r="C16" s="24">
        <f ca="1">ROUND(INDIRECT("'数据-取费表'!m"&amp;$G$1)*F16,0)</f>
        <v>0</v>
      </c>
      <c r="D16" s="308" t="s">
        <v>1386</v>
      </c>
      <c r="E16" s="308" t="s">
        <v>1387</v>
      </c>
      <c r="F16" s="328">
        <f ca="1">IF(INDIRECT("'数据-取费表'!c"&amp;$G$1)="住宅",'数据-取费表'!B34,0)</f>
        <v>0</v>
      </c>
      <c r="G16" s="1558"/>
      <c r="H16" s="1230" t="s">
        <v>998</v>
      </c>
      <c r="I16" s="1231" t="s">
        <v>1389</v>
      </c>
      <c r="J16" s="316">
        <f ca="1">ROUND(J17+J22+J23+J24,0)</f>
        <v>585</v>
      </c>
      <c r="K16" s="1238" t="s">
        <v>1390</v>
      </c>
      <c r="L16" s="1239"/>
      <c r="M16" s="1195"/>
    </row>
    <row r="17" spans="1:37" s="1571" customFormat="1" ht="18" customHeight="1">
      <c r="A17" s="1104" t="s">
        <v>1355</v>
      </c>
      <c r="B17" s="308" t="s">
        <v>1391</v>
      </c>
      <c r="C17" s="24">
        <f ca="1">ROUND(F17*(F43+INDIRECT("'数据-取费表'!S"&amp;$G$1))/10000,0)</f>
        <v>599</v>
      </c>
      <c r="D17" s="308" t="s">
        <v>1392</v>
      </c>
      <c r="E17" s="308" t="s">
        <v>1393</v>
      </c>
      <c r="F17" s="26">
        <f>'数据-取费表'!B35</f>
        <v>200</v>
      </c>
      <c r="G17" s="1570"/>
      <c r="H17" s="1104" t="s">
        <v>1003</v>
      </c>
      <c r="I17" s="308" t="s">
        <v>1394</v>
      </c>
      <c r="J17" s="2518">
        <f ca="1">ROUND(IF(AND(项目基本情况!B11="自然人",项目基本情况!B10="北京市"),J6*M17/(1+'数据-取费表'!C42),J18+J19+J20),0)</f>
        <v>210</v>
      </c>
      <c r="K17" s="1519" t="s">
        <v>1395</v>
      </c>
      <c r="L17" s="1518" t="s">
        <v>1396</v>
      </c>
      <c r="M17" s="2517">
        <f ca="1">IF(项目基本情况!B11="企业","",IF('数据-取费表'!B10="住宅",IF(M6*M7*M8/12/(1+'数据-取费表'!F30)&gt;100000,4%,2.5%),IF(M6*M7*M8/12/(1+'数据-取费表'!F30)&gt;100000,12%,7%)))</f>
        <v>7.0000000000000007E-2</v>
      </c>
      <c r="N17" s="1570"/>
      <c r="O17" s="1570"/>
      <c r="P17" s="1570"/>
      <c r="Q17" s="1570"/>
      <c r="R17" s="1570"/>
      <c r="S17" s="1570"/>
      <c r="T17" s="1570"/>
      <c r="U17" s="1570"/>
      <c r="V17" s="1570"/>
      <c r="W17" s="1570"/>
      <c r="X17" s="1570"/>
      <c r="Y17" s="1570"/>
      <c r="Z17" s="1570"/>
      <c r="AA17" s="1570"/>
      <c r="AB17" s="1570"/>
      <c r="AC17" s="1570"/>
      <c r="AD17" s="1570"/>
      <c r="AE17" s="1570"/>
      <c r="AF17" s="1570"/>
      <c r="AG17" s="1570"/>
      <c r="AH17" s="1570"/>
      <c r="AI17" s="1570"/>
      <c r="AJ17" s="1570"/>
      <c r="AK17" s="1570"/>
    </row>
    <row r="18" spans="1:37" s="1571" customFormat="1" ht="18" customHeight="1">
      <c r="A18" s="1104" t="s">
        <v>1356</v>
      </c>
      <c r="B18" s="308" t="s">
        <v>1397</v>
      </c>
      <c r="C18" s="24">
        <f ca="1">ROUND(C14*F18,0)</f>
        <v>268</v>
      </c>
      <c r="D18" s="308" t="s">
        <v>1386</v>
      </c>
      <c r="E18" s="308" t="s">
        <v>1387</v>
      </c>
      <c r="F18" s="328">
        <f>'数据-取费表'!B36</f>
        <v>1.4999999999999999E-2</v>
      </c>
      <c r="G18" s="1570"/>
      <c r="H18" s="1104" t="s">
        <v>1002</v>
      </c>
      <c r="I18" s="308" t="s">
        <v>1398</v>
      </c>
      <c r="J18" s="24">
        <f ca="1">ROUND(J6*M18/(1+'数据-取费表'!C42),2)</f>
        <v>0</v>
      </c>
      <c r="K18" s="1518" t="s">
        <v>1399</v>
      </c>
      <c r="L18" s="308" t="s">
        <v>1387</v>
      </c>
      <c r="M18" s="328">
        <f>'数据-取费表'!B41</f>
        <v>5.6000000000000001E-2</v>
      </c>
      <c r="N18" s="1570"/>
      <c r="O18" s="1570"/>
      <c r="P18" s="1570"/>
      <c r="Q18" s="1570"/>
      <c r="R18" s="1570"/>
      <c r="S18" s="1570"/>
      <c r="T18" s="1570"/>
      <c r="U18" s="1570"/>
      <c r="V18" s="1570"/>
      <c r="W18" s="1570"/>
      <c r="X18" s="1570"/>
      <c r="Y18" s="1570"/>
      <c r="Z18" s="1570"/>
      <c r="AA18" s="1570"/>
      <c r="AB18" s="1570"/>
      <c r="AC18" s="1570"/>
      <c r="AD18" s="1570"/>
      <c r="AE18" s="1570"/>
      <c r="AF18" s="1570"/>
      <c r="AG18" s="1570"/>
      <c r="AH18" s="1570"/>
      <c r="AI18" s="1570"/>
      <c r="AJ18" s="1570"/>
      <c r="AK18" s="1570"/>
    </row>
    <row r="19" spans="1:37" ht="18" customHeight="1">
      <c r="A19" s="1104" t="s">
        <v>1003</v>
      </c>
      <c r="B19" s="308" t="s">
        <v>1400</v>
      </c>
      <c r="C19" s="24">
        <f ca="1">SUM(C14:C18)</f>
        <v>19300</v>
      </c>
      <c r="D19" s="136" t="s">
        <v>1401</v>
      </c>
      <c r="E19" s="1534"/>
      <c r="F19" s="26"/>
      <c r="G19" s="1558"/>
      <c r="H19" s="1104" t="s">
        <v>1004</v>
      </c>
      <c r="I19" s="308" t="s">
        <v>1402</v>
      </c>
      <c r="J19" s="24">
        <f ca="1">IF(K19="按租金收入计税",ROUND(J6*M19/(1+'数据-取费表'!C42),2),ROUND(C29*M19*0.7,2))</f>
        <v>209.92</v>
      </c>
      <c r="K19" s="1544" t="s">
        <v>1403</v>
      </c>
      <c r="L19" s="308" t="s">
        <v>1387</v>
      </c>
      <c r="M19" s="328">
        <f>IF(K19="按租金收入计税",'数据-取费表'!B51,'数据-取费表'!B50)</f>
        <v>1.2E-2</v>
      </c>
    </row>
    <row r="20" spans="1:37" s="1571" customFormat="1" ht="18" customHeight="1">
      <c r="A20" s="1104" t="s">
        <v>1007</v>
      </c>
      <c r="B20" s="308" t="s">
        <v>1404</v>
      </c>
      <c r="C20" s="24">
        <f ca="1">ROUND(C19*F20,0)</f>
        <v>386</v>
      </c>
      <c r="D20" s="329" t="s">
        <v>1405</v>
      </c>
      <c r="E20" s="308" t="s">
        <v>1387</v>
      </c>
      <c r="F20" s="328">
        <f>'数据-取费表'!B37</f>
        <v>0.02</v>
      </c>
      <c r="G20" s="1570"/>
      <c r="H20" s="1104" t="s">
        <v>1354</v>
      </c>
      <c r="I20" s="160" t="s">
        <v>1406</v>
      </c>
      <c r="J20" s="25">
        <f ca="1">ROUND(M20*M21/10000,2)</f>
        <v>0</v>
      </c>
      <c r="K20" s="330" t="s">
        <v>1407</v>
      </c>
      <c r="L20" s="308" t="s">
        <v>1408</v>
      </c>
      <c r="M20" s="331">
        <f>'数据-取费表'!B52</f>
        <v>0</v>
      </c>
      <c r="N20" s="1570"/>
      <c r="O20" s="1570"/>
      <c r="P20" s="1570"/>
      <c r="Q20" s="1570"/>
      <c r="R20" s="1570"/>
      <c r="S20" s="1570"/>
      <c r="T20" s="1570"/>
      <c r="U20" s="1570"/>
      <c r="V20" s="1570"/>
      <c r="W20" s="1570"/>
      <c r="X20" s="1570"/>
      <c r="Y20" s="1570"/>
      <c r="Z20" s="1570"/>
      <c r="AA20" s="1570"/>
      <c r="AB20" s="1570"/>
      <c r="AC20" s="1570"/>
      <c r="AD20" s="1570"/>
      <c r="AE20" s="1570"/>
      <c r="AF20" s="1570"/>
      <c r="AG20" s="1570"/>
      <c r="AH20" s="1570"/>
      <c r="AI20" s="1570"/>
      <c r="AJ20" s="1570"/>
      <c r="AK20" s="1570"/>
    </row>
    <row r="21" spans="1:37" s="1571" customFormat="1" ht="18" customHeight="1">
      <c r="A21" s="1104" t="s">
        <v>1043</v>
      </c>
      <c r="B21" s="308" t="s">
        <v>1409</v>
      </c>
      <c r="C21" s="24" t="s">
        <v>18</v>
      </c>
      <c r="D21" s="329" t="s">
        <v>1410</v>
      </c>
      <c r="E21" s="308" t="s">
        <v>1411</v>
      </c>
      <c r="F21" s="328">
        <f>'数据-取费表'!B38</f>
        <v>0.02</v>
      </c>
      <c r="G21" s="1570"/>
      <c r="H21" s="332"/>
      <c r="I21" s="317"/>
      <c r="J21" s="29"/>
      <c r="K21" s="333"/>
      <c r="L21" s="308" t="s">
        <v>1412</v>
      </c>
      <c r="M21" s="309">
        <f ca="1">INDIRECT("'数据-取费表'!r"&amp;$G$1)</f>
        <v>0</v>
      </c>
      <c r="N21" s="1570"/>
      <c r="O21" s="1570"/>
      <c r="P21" s="1570"/>
      <c r="Q21" s="1570"/>
      <c r="R21" s="1570"/>
      <c r="S21" s="1570"/>
      <c r="T21" s="1570"/>
      <c r="U21" s="1570"/>
      <c r="V21" s="1570"/>
      <c r="W21" s="1570"/>
      <c r="X21" s="1570"/>
      <c r="Y21" s="1570"/>
      <c r="Z21" s="1570"/>
      <c r="AA21" s="1570"/>
      <c r="AB21" s="1570"/>
      <c r="AC21" s="1570"/>
      <c r="AD21" s="1570"/>
      <c r="AE21" s="1570"/>
      <c r="AF21" s="1570"/>
      <c r="AG21" s="1570"/>
      <c r="AH21" s="1570"/>
      <c r="AI21" s="1570"/>
      <c r="AJ21" s="1570"/>
      <c r="AK21" s="1570"/>
    </row>
    <row r="22" spans="1:37" ht="18" customHeight="1">
      <c r="A22" s="1104" t="s">
        <v>1357</v>
      </c>
      <c r="B22" s="308" t="s">
        <v>1413</v>
      </c>
      <c r="C22" s="24"/>
      <c r="D22" s="136" t="str">
        <f>IF(F23&lt;=1,"单利计息。","复利计息。")&amp;"建造成本、管理费用、销售费用产生的利息。"</f>
        <v>复利计息。建造成本、管理费用、销售费用产生的利息。</v>
      </c>
      <c r="E22" s="1534"/>
      <c r="F22" s="26"/>
      <c r="G22" s="1558"/>
      <c r="H22" s="1104" t="s">
        <v>1007</v>
      </c>
      <c r="I22" s="308" t="s">
        <v>1414</v>
      </c>
      <c r="J22" s="24">
        <f ca="1">ROUND(J14*M22,1)</f>
        <v>374.9</v>
      </c>
      <c r="K22" s="1518" t="s">
        <v>1415</v>
      </c>
      <c r="L22" s="308" t="s">
        <v>1387</v>
      </c>
      <c r="M22" s="334">
        <f ca="1">INDIRECT("'数据-取费表'!Ak"&amp;$G$1)</f>
        <v>1.4999999999999999E-2</v>
      </c>
    </row>
    <row r="23" spans="1:37" s="1571" customFormat="1" ht="18" customHeight="1">
      <c r="A23" s="1104" t="s">
        <v>1002</v>
      </c>
      <c r="B23" s="308" t="s">
        <v>1416</v>
      </c>
      <c r="C23" s="24">
        <f ca="1">IF('数据-取费表'!B22&lt;=1,ROUND(C19*F24*F23/2,0)+ROUND(C20*F24*F23/2,0),ROUND(C19*(POWER((1+F24),F23/2)-1),0)+ROUND(C20*(POWER((1+F24),F23/2)-1),0))</f>
        <v>1419</v>
      </c>
      <c r="D23" s="335" t="str">
        <f>IF(F23&lt;=1,"(建造成本+管理费用)×利率×(建设周期÷2)","(建造成本+管理费用)×((1+利率)^(建设周期÷2)-1)")</f>
        <v>(建造成本+管理费用)×((1+利率)^(建设周期÷2)-1)</v>
      </c>
      <c r="E23" s="308" t="s">
        <v>1417</v>
      </c>
      <c r="F23" s="331">
        <f>'数据-取费表'!B20</f>
        <v>3</v>
      </c>
      <c r="G23" s="1570"/>
      <c r="H23" s="1104" t="s">
        <v>1043</v>
      </c>
      <c r="I23" s="308" t="s">
        <v>1418</v>
      </c>
      <c r="J23" s="24">
        <f ca="1">ROUND(J13*M23,1)</f>
        <v>0</v>
      </c>
      <c r="K23" s="1518" t="s">
        <v>1419</v>
      </c>
      <c r="L23" s="308" t="s">
        <v>1420</v>
      </c>
      <c r="M23" s="336">
        <f ca="1">INDIRECT("'数据-取费表'!Al"&amp;$G$1)</f>
        <v>1.5E-3</v>
      </c>
      <c r="N23" s="1570"/>
      <c r="O23" s="1570"/>
      <c r="P23" s="1570"/>
      <c r="Q23" s="1570"/>
      <c r="R23" s="1570"/>
      <c r="S23" s="1570"/>
      <c r="T23" s="1570"/>
      <c r="U23" s="1570"/>
      <c r="V23" s="1570"/>
      <c r="W23" s="1570"/>
      <c r="X23" s="1570"/>
      <c r="Y23" s="1570"/>
      <c r="Z23" s="1570"/>
      <c r="AA23" s="1570"/>
      <c r="AB23" s="1570"/>
      <c r="AC23" s="1570"/>
      <c r="AD23" s="1570"/>
      <c r="AE23" s="1570"/>
      <c r="AF23" s="1570"/>
      <c r="AG23" s="1570"/>
      <c r="AH23" s="1570"/>
      <c r="AI23" s="1570"/>
      <c r="AJ23" s="1570"/>
      <c r="AK23" s="1570"/>
    </row>
    <row r="24" spans="1:37" s="1571" customFormat="1" ht="18" customHeight="1" thickBot="1">
      <c r="A24" s="1104" t="s">
        <v>1421</v>
      </c>
      <c r="B24" s="308" t="s">
        <v>1422</v>
      </c>
      <c r="C24" s="24">
        <f ca="1">ROUND(IF('数据-取费表'!B22&lt;=1,F21*F24*F23/2,F21*(POWER((1+F24),F23/2)-1)),4)</f>
        <v>1.4E-3</v>
      </c>
      <c r="D24" s="335" t="str">
        <f>IF(F23&lt;=1,"销售费用×利率×(建设周期÷2)","销售费用×((1+利率)^(建设周期÷2)-1)")</f>
        <v>销售费用×((1+利率)^(建设周期÷2)-1)</v>
      </c>
      <c r="E24" s="308" t="s">
        <v>1423</v>
      </c>
      <c r="F24" s="337">
        <f ca="1">'数据-取费表'!B40</f>
        <v>4.7500000000000001E-2</v>
      </c>
      <c r="G24" s="1570"/>
      <c r="H24" s="1240" t="s">
        <v>1358</v>
      </c>
      <c r="I24" s="1241" t="s">
        <v>1404</v>
      </c>
      <c r="J24" s="1242">
        <f ca="1">ROUND(J5*M24,1)</f>
        <v>0</v>
      </c>
      <c r="K24" s="1243" t="s">
        <v>1424</v>
      </c>
      <c r="L24" s="1241" t="s">
        <v>1420</v>
      </c>
      <c r="M24" s="1237">
        <f ca="1">INDIRECT("'数据-取费表'!Am"&amp;$G$1)</f>
        <v>1.4999999999999999E-2</v>
      </c>
      <c r="N24" s="1570"/>
      <c r="O24" s="1570"/>
      <c r="P24" s="1570"/>
      <c r="Q24" s="1570"/>
      <c r="R24" s="1570"/>
      <c r="S24" s="1570"/>
      <c r="T24" s="1570"/>
      <c r="U24" s="1570"/>
      <c r="V24" s="1570"/>
      <c r="W24" s="1570"/>
      <c r="X24" s="1570"/>
      <c r="Y24" s="1570"/>
      <c r="Z24" s="1570"/>
      <c r="AA24" s="1570"/>
      <c r="AB24" s="1570"/>
      <c r="AC24" s="1570"/>
      <c r="AD24" s="1570"/>
      <c r="AE24" s="1570"/>
      <c r="AF24" s="1570"/>
      <c r="AG24" s="1570"/>
      <c r="AH24" s="1570"/>
      <c r="AI24" s="1570"/>
      <c r="AJ24" s="1570"/>
      <c r="AK24" s="1570"/>
    </row>
    <row r="25" spans="1:37" ht="24" customHeight="1" thickTop="1">
      <c r="A25" s="1104" t="s">
        <v>1425</v>
      </c>
      <c r="B25" s="308" t="s">
        <v>1426</v>
      </c>
      <c r="C25" s="24"/>
      <c r="D25" s="136" t="s">
        <v>1427</v>
      </c>
      <c r="E25" s="1534"/>
      <c r="F25" s="26"/>
      <c r="G25" s="1558"/>
      <c r="H25" s="1230" t="s">
        <v>999</v>
      </c>
      <c r="I25" s="1245" t="s">
        <v>1428</v>
      </c>
      <c r="J25" s="316">
        <f ca="1">J5-J16</f>
        <v>-585</v>
      </c>
      <c r="K25" s="1246" t="s">
        <v>1429</v>
      </c>
      <c r="L25" s="1247"/>
      <c r="M25" s="1248"/>
    </row>
    <row r="26" spans="1:37">
      <c r="A26" s="1104" t="s">
        <v>1002</v>
      </c>
      <c r="B26" s="308" t="s">
        <v>1430</v>
      </c>
      <c r="C26" s="24">
        <f ca="1">ROUND((C19+C20)*F26,0)</f>
        <v>1969</v>
      </c>
      <c r="D26" s="329" t="s">
        <v>1431</v>
      </c>
      <c r="E26" s="319" t="s">
        <v>1432</v>
      </c>
      <c r="F26" s="318">
        <f ca="1">INDIRECT("'数据-取费表'!q"&amp;$G$1)</f>
        <v>0.1</v>
      </c>
      <c r="G26" s="1558"/>
      <c r="H26" s="305" t="s">
        <v>1000</v>
      </c>
      <c r="I26" s="306" t="s">
        <v>1433</v>
      </c>
      <c r="J26" s="307">
        <f ca="1">IF(J5&lt;&gt;0,ROUND(J25*(1-((1+M28)/(1+M26))^M27)/(M26-M28),0),0)</f>
        <v>0</v>
      </c>
      <c r="K26" s="330" t="s">
        <v>1434</v>
      </c>
      <c r="L26" s="308" t="s">
        <v>1435</v>
      </c>
      <c r="M26" s="318">
        <f ca="1">INDIRECT("'数据-取费表'!I"&amp;$G$1)</f>
        <v>5.5E-2</v>
      </c>
    </row>
    <row r="27" spans="1:37" ht="18" customHeight="1">
      <c r="A27" s="1104" t="s">
        <v>1004</v>
      </c>
      <c r="B27" s="308" t="s">
        <v>1436</v>
      </c>
      <c r="C27" s="24">
        <f ca="1">ROUND(F21*F26,4)</f>
        <v>2E-3</v>
      </c>
      <c r="D27" s="329" t="s">
        <v>1437</v>
      </c>
      <c r="E27" s="326"/>
      <c r="F27" s="327"/>
      <c r="G27" s="1558"/>
      <c r="H27" s="310"/>
      <c r="I27" s="311"/>
      <c r="J27" s="312"/>
      <c r="K27" s="338" t="s">
        <v>1438</v>
      </c>
      <c r="L27" s="308" t="s">
        <v>1439</v>
      </c>
      <c r="M27" s="339">
        <f ca="1">INDIRECT("'数据-取费表'!ag"&amp;$G$1)</f>
        <v>0</v>
      </c>
    </row>
    <row r="28" spans="1:37" s="1571" customFormat="1" ht="18" customHeight="1">
      <c r="A28" s="1104" t="s">
        <v>1005</v>
      </c>
      <c r="B28" s="308" t="s">
        <v>1440</v>
      </c>
      <c r="C28" s="24">
        <f>ROUND(F28/(1+'数据-取费表'!C42),4)</f>
        <v>5.33E-2</v>
      </c>
      <c r="D28" s="329" t="s">
        <v>1441</v>
      </c>
      <c r="E28" s="308" t="s">
        <v>1387</v>
      </c>
      <c r="F28" s="328">
        <f>'数据-取费表'!B41</f>
        <v>5.6000000000000001E-2</v>
      </c>
      <c r="G28" s="1570"/>
      <c r="H28" s="314"/>
      <c r="I28" s="315"/>
      <c r="J28" s="316"/>
      <c r="K28" s="333"/>
      <c r="L28" s="308" t="s">
        <v>1442</v>
      </c>
      <c r="M28" s="318">
        <f ca="1">INDIRECT("'数据-取费表'!aa"&amp;$G$1)</f>
        <v>0</v>
      </c>
      <c r="N28" s="1570"/>
      <c r="O28" s="1570"/>
      <c r="P28" s="1570"/>
      <c r="Q28" s="1570"/>
      <c r="R28" s="1570"/>
      <c r="S28" s="1570"/>
      <c r="T28" s="1570"/>
      <c r="U28" s="1570"/>
      <c r="V28" s="1570"/>
      <c r="W28" s="1570"/>
      <c r="X28" s="1570"/>
      <c r="Y28" s="1570"/>
      <c r="Z28" s="1570"/>
      <c r="AA28" s="1570"/>
      <c r="AB28" s="1570"/>
      <c r="AC28" s="1570"/>
      <c r="AD28" s="1570"/>
      <c r="AE28" s="1570"/>
      <c r="AF28" s="1570"/>
      <c r="AG28" s="1570"/>
      <c r="AH28" s="1570"/>
      <c r="AI28" s="1570"/>
      <c r="AJ28" s="1570"/>
      <c r="AK28" s="1570"/>
    </row>
    <row r="29" spans="1:37" s="1571" customFormat="1" ht="18" customHeight="1" thickBot="1">
      <c r="A29" s="1240" t="s">
        <v>1006</v>
      </c>
      <c r="B29" s="1241" t="s">
        <v>1443</v>
      </c>
      <c r="C29" s="1242">
        <f ca="1">ROUND((C19+C20+C23+C26)/(1-F21-C24-C27-C28),0)</f>
        <v>24991</v>
      </c>
      <c r="D29" s="1243"/>
      <c r="E29" s="1241"/>
      <c r="F29" s="1244"/>
      <c r="G29" s="1570"/>
      <c r="H29" s="340" t="s">
        <v>1001</v>
      </c>
      <c r="I29" s="341" t="s">
        <v>1444</v>
      </c>
      <c r="J29" s="342">
        <f ca="1">ROUND(J26/(1+F40)^F41,0)</f>
        <v>0</v>
      </c>
      <c r="K29" s="343" t="s">
        <v>1445</v>
      </c>
      <c r="L29" s="344"/>
      <c r="M29" s="345">
        <f ca="1">INDIRECT("'数据-取费表'!k"&amp;$G$1)</f>
        <v>29610.970000000008</v>
      </c>
      <c r="N29" s="1570"/>
      <c r="O29" s="1570"/>
      <c r="P29" s="1570"/>
      <c r="Q29" s="1570"/>
      <c r="R29" s="1570"/>
      <c r="S29" s="1570"/>
      <c r="T29" s="1570"/>
      <c r="U29" s="1570"/>
      <c r="V29" s="1570"/>
      <c r="W29" s="1570"/>
      <c r="X29" s="1570"/>
      <c r="Y29" s="1570"/>
      <c r="Z29" s="1570"/>
      <c r="AA29" s="1570"/>
      <c r="AB29" s="1570"/>
      <c r="AC29" s="1570"/>
      <c r="AD29" s="1570"/>
      <c r="AE29" s="1570"/>
      <c r="AF29" s="1570"/>
      <c r="AG29" s="1570"/>
      <c r="AH29" s="1570"/>
      <c r="AI29" s="1570"/>
      <c r="AJ29" s="1570"/>
      <c r="AK29" s="1570"/>
    </row>
    <row r="30" spans="1:37" ht="18" customHeight="1" thickTop="1">
      <c r="A30" s="1230" t="s">
        <v>998</v>
      </c>
      <c r="B30" s="1231" t="s">
        <v>1389</v>
      </c>
      <c r="C30" s="316">
        <f ca="1">ROUND(C31+C36+C37+C38,0)</f>
        <v>756</v>
      </c>
      <c r="D30" s="1238" t="s">
        <v>1390</v>
      </c>
      <c r="E30" s="1239"/>
      <c r="F30" s="1195"/>
      <c r="G30" s="1558"/>
      <c r="H30" s="2907"/>
      <c r="I30" s="1572"/>
      <c r="J30" s="1573"/>
      <c r="K30" s="2683"/>
      <c r="L30" s="2908"/>
      <c r="M30" s="2909"/>
    </row>
    <row r="31" spans="1:37" ht="18" customHeight="1">
      <c r="A31" s="1104" t="s">
        <v>1003</v>
      </c>
      <c r="B31" s="308" t="s">
        <v>1394</v>
      </c>
      <c r="C31" s="2518">
        <f ca="1">ROUND(IF(AND(项目基本情况!B11="自然人",项目基本情况!B10="北京市"),C6*F31/(1+'数据-取费表'!C42),C32+C33+C34),0)</f>
        <v>314</v>
      </c>
      <c r="D31" s="1519" t="s">
        <v>1395</v>
      </c>
      <c r="E31" s="1518" t="s">
        <v>1446</v>
      </c>
      <c r="F31" s="2517">
        <f ca="1">IF(项目基本情况!B11="企业","——",IF('数据-取费表'!B10="住宅",IF(F6*F7*F8/12/(1+'数据-取费表'!F30)&gt;100000,4%,2.5%),IF(F6*F7*F8/12/(1+'数据-取费表'!F30)&gt;100000,12%,7%)))</f>
        <v>0.12</v>
      </c>
      <c r="G31" s="1558"/>
      <c r="H31" s="3019" t="s">
        <v>3038</v>
      </c>
      <c r="I31" s="1572"/>
      <c r="J31" s="1573"/>
      <c r="K31" s="2683"/>
      <c r="L31" s="2908"/>
      <c r="M31" s="2909"/>
    </row>
    <row r="32" spans="1:37" ht="18" customHeight="1">
      <c r="A32" s="1104" t="s">
        <v>1002</v>
      </c>
      <c r="B32" s="308" t="s">
        <v>1398</v>
      </c>
      <c r="C32" s="24">
        <f ca="1">IF(项目基本情况!B11="自然人","——",ROUND(C6*F32/(1+'数据-取费表'!C42),2))</f>
        <v>103.73</v>
      </c>
      <c r="D32" s="1518" t="s">
        <v>1399</v>
      </c>
      <c r="E32" s="308" t="s">
        <v>1387</v>
      </c>
      <c r="F32" s="337">
        <f>'数据-取费表'!B41</f>
        <v>5.6000000000000001E-2</v>
      </c>
      <c r="G32" s="1558"/>
      <c r="H32" s="2907"/>
      <c r="I32" s="1572"/>
      <c r="J32" s="1573"/>
      <c r="K32" s="2683"/>
      <c r="L32" s="2908"/>
      <c r="M32" s="2909"/>
    </row>
    <row r="33" spans="1:18" ht="18" customHeight="1">
      <c r="A33" s="1104" t="s">
        <v>1004</v>
      </c>
      <c r="B33" s="308" t="s">
        <v>1402</v>
      </c>
      <c r="C33" s="24">
        <f ca="1">IF(项目基本情况!B11="自然人","——",IF(D33="按租金收入计税",ROUND(C6*F33/(1+'数据-取费表'!C42),2),IF(D33="按房产原值计税",ROUND(C29*F33*0.7,2),INDIRECT("'数据-取费表'!Aj"&amp;$G$1))))</f>
        <v>209.92</v>
      </c>
      <c r="D33" s="1544" t="s">
        <v>3894</v>
      </c>
      <c r="E33" s="308" t="s">
        <v>1387</v>
      </c>
      <c r="F33" s="328">
        <f>IF(D33="按票据","——",IF(D33="按租金收入计税",'数据-取费表'!B51,'数据-取费表'!B50))</f>
        <v>1.2E-2</v>
      </c>
      <c r="G33" s="1558"/>
      <c r="H33" s="2910"/>
      <c r="I33" s="1572"/>
      <c r="J33" s="1573"/>
      <c r="K33" s="2911"/>
      <c r="L33" s="2910"/>
      <c r="M33" s="2910"/>
    </row>
    <row r="34" spans="1:18" ht="18" customHeight="1">
      <c r="A34" s="1192" t="s">
        <v>1354</v>
      </c>
      <c r="B34" s="160" t="s">
        <v>1406</v>
      </c>
      <c r="C34" s="25">
        <f ca="1">IF(项目基本情况!B11="自然人","——",ROUND(F34*F35/10000,2))</f>
        <v>0</v>
      </c>
      <c r="D34" s="330" t="s">
        <v>1407</v>
      </c>
      <c r="E34" s="308" t="s">
        <v>1408</v>
      </c>
      <c r="F34" s="331">
        <f>'数据-取费表'!B52</f>
        <v>0</v>
      </c>
      <c r="G34" s="1558"/>
      <c r="H34" s="2907"/>
      <c r="I34" s="1572"/>
      <c r="J34" s="1573"/>
      <c r="K34" s="2912"/>
      <c r="L34" s="2913"/>
      <c r="M34" s="2913"/>
    </row>
    <row r="35" spans="1:18" ht="18" customHeight="1">
      <c r="A35" s="1254"/>
      <c r="B35" s="1252"/>
      <c r="C35" s="29"/>
      <c r="D35" s="333"/>
      <c r="E35" s="308" t="s">
        <v>1412</v>
      </c>
      <c r="F35" s="309">
        <f ca="1">INDIRECT("'数据-取费表'!r"&amp;$G$1)</f>
        <v>0</v>
      </c>
      <c r="G35" s="1558"/>
      <c r="H35" s="2907"/>
      <c r="I35" s="1572"/>
      <c r="J35" s="1573"/>
      <c r="K35" s="2911"/>
      <c r="L35" s="2910"/>
      <c r="M35" s="2910"/>
    </row>
    <row r="36" spans="1:18" ht="18" customHeight="1">
      <c r="A36" s="1253" t="s">
        <v>1007</v>
      </c>
      <c r="B36" s="308" t="s">
        <v>1414</v>
      </c>
      <c r="C36" s="24">
        <f ca="1">ROUND(C29*F36,1)</f>
        <v>374.9</v>
      </c>
      <c r="D36" s="1518" t="s">
        <v>1447</v>
      </c>
      <c r="E36" s="308" t="s">
        <v>1387</v>
      </c>
      <c r="F36" s="334">
        <f ca="1">INDIRECT("'数据-取费表'!Ak"&amp;$G$1)</f>
        <v>1.4999999999999999E-2</v>
      </c>
      <c r="G36" s="1558"/>
      <c r="H36" s="2910"/>
      <c r="I36" s="1572"/>
      <c r="J36" s="1573"/>
      <c r="K36" s="2752"/>
      <c r="L36" s="2910"/>
      <c r="M36" s="2910"/>
    </row>
    <row r="37" spans="1:18" ht="18" customHeight="1">
      <c r="A37" s="1104" t="s">
        <v>1043</v>
      </c>
      <c r="B37" s="308" t="s">
        <v>1418</v>
      </c>
      <c r="C37" s="24">
        <f ca="1">ROUND(C13*F37,1)</f>
        <v>37.5</v>
      </c>
      <c r="D37" s="1518" t="s">
        <v>1419</v>
      </c>
      <c r="E37" s="308" t="s">
        <v>1420</v>
      </c>
      <c r="F37" s="336">
        <f ca="1">INDIRECT("'数据-取费表'!Al"&amp;$G$1)</f>
        <v>1.5E-3</v>
      </c>
      <c r="G37" s="1558"/>
      <c r="H37" s="2910"/>
      <c r="I37" s="1572"/>
      <c r="J37" s="1573"/>
      <c r="K37" s="2752"/>
      <c r="L37" s="2910"/>
      <c r="M37" s="2910"/>
    </row>
    <row r="38" spans="1:18" ht="18" customHeight="1" thickBot="1">
      <c r="A38" s="1240" t="s">
        <v>1358</v>
      </c>
      <c r="B38" s="1241" t="s">
        <v>1404</v>
      </c>
      <c r="C38" s="1242">
        <f ca="1">ROUND(C5*F38,1)</f>
        <v>29.2</v>
      </c>
      <c r="D38" s="1243" t="s">
        <v>1424</v>
      </c>
      <c r="E38" s="1241" t="s">
        <v>1420</v>
      </c>
      <c r="F38" s="1237">
        <f ca="1">INDIRECT("'数据-取费表'!Am"&amp;$G$1)</f>
        <v>1.4999999999999999E-2</v>
      </c>
      <c r="G38" s="1558"/>
      <c r="H38" s="2910"/>
      <c r="I38" s="1572"/>
      <c r="J38" s="1573"/>
      <c r="K38" s="2914"/>
      <c r="L38" s="2910"/>
      <c r="M38" s="2910"/>
    </row>
    <row r="39" spans="1:18" ht="24.6" customHeight="1" thickTop="1">
      <c r="A39" s="1230" t="s">
        <v>999</v>
      </c>
      <c r="B39" s="1245" t="s">
        <v>1448</v>
      </c>
      <c r="C39" s="316">
        <f ca="1">C5-C30</f>
        <v>1191</v>
      </c>
      <c r="D39" s="1246" t="s">
        <v>1449</v>
      </c>
      <c r="E39" s="1247"/>
      <c r="F39" s="1248"/>
      <c r="G39" s="1558"/>
      <c r="H39" s="2910"/>
      <c r="I39" s="1572"/>
      <c r="J39" s="1573"/>
      <c r="K39" s="2914"/>
      <c r="L39" s="2910"/>
      <c r="M39" s="2910"/>
    </row>
    <row r="40" spans="1:18" ht="18" customHeight="1">
      <c r="A40" s="305" t="s">
        <v>1000</v>
      </c>
      <c r="B40" s="306" t="s">
        <v>1450</v>
      </c>
      <c r="C40" s="307">
        <f ca="1">ROUND(C39*(1-((1+F42)/(1+F40))^F41)/(F40-F42),0)</f>
        <v>24262</v>
      </c>
      <c r="D40" s="330" t="s">
        <v>1434</v>
      </c>
      <c r="E40" s="308" t="s">
        <v>1435</v>
      </c>
      <c r="F40" s="318">
        <f ca="1">INDIRECT("'数据-取费表'!I"&amp;$G$1)</f>
        <v>5.5E-2</v>
      </c>
      <c r="G40" s="1558"/>
      <c r="H40" s="1635"/>
      <c r="I40" s="1572"/>
      <c r="J40" s="1573"/>
      <c r="K40" s="2914"/>
      <c r="L40" s="1635"/>
      <c r="M40" s="1635"/>
    </row>
    <row r="41" spans="1:18" ht="18" customHeight="1">
      <c r="A41" s="310"/>
      <c r="B41" s="311"/>
      <c r="C41" s="312"/>
      <c r="D41" s="338" t="s">
        <v>1451</v>
      </c>
      <c r="E41" s="308" t="s">
        <v>1439</v>
      </c>
      <c r="F41" s="339">
        <f ca="1">IF(INDIRECT("'数据-取费表'!af"&amp;$G$1)=0,INDIRECT("'数据-取费表'!ae"&amp;$G$1),INDIRECT("'数据-取费表'!af"&amp;$G$1))</f>
        <v>32.74</v>
      </c>
      <c r="G41" s="1558"/>
      <c r="H41" s="1341"/>
      <c r="I41" s="1572"/>
      <c r="J41" s="1573"/>
      <c r="K41" s="2752"/>
      <c r="L41" s="1341"/>
      <c r="M41" s="1341"/>
    </row>
    <row r="42" spans="1:18" ht="18" customHeight="1">
      <c r="A42" s="314"/>
      <c r="B42" s="315"/>
      <c r="C42" s="316"/>
      <c r="D42" s="333"/>
      <c r="E42" s="308" t="s">
        <v>1442</v>
      </c>
      <c r="F42" s="318">
        <f ca="1">INDIRECT("'数据-取费表'!v"&amp;$G$1)</f>
        <v>2.5000000000000001E-2</v>
      </c>
      <c r="G42" s="1558"/>
      <c r="H42" s="1341"/>
      <c r="I42" s="1572"/>
      <c r="J42" s="1573"/>
      <c r="K42" s="2752"/>
      <c r="L42" s="1341"/>
      <c r="M42" s="1341"/>
    </row>
    <row r="43" spans="1:18" ht="18" customHeight="1" thickBot="1">
      <c r="A43" s="340" t="s">
        <v>1001</v>
      </c>
      <c r="B43" s="341" t="s">
        <v>1452</v>
      </c>
      <c r="C43" s="342">
        <f ca="1">ROUND(C40*10000/F43,0)</f>
        <v>8194</v>
      </c>
      <c r="D43" s="343" t="s">
        <v>1453</v>
      </c>
      <c r="E43" s="344" t="s">
        <v>1454</v>
      </c>
      <c r="F43" s="345">
        <f ca="1">INDIRECT("'数据-取费表'!k"&amp;$G$1)</f>
        <v>29610.970000000008</v>
      </c>
      <c r="G43" s="1558"/>
      <c r="H43" s="1341"/>
      <c r="I43" s="1341"/>
      <c r="J43" s="1341"/>
      <c r="K43" s="2752"/>
      <c r="L43" s="1341"/>
      <c r="M43" s="1341"/>
    </row>
    <row r="44" spans="1:18" s="1558" customFormat="1" ht="18" customHeight="1">
      <c r="A44" s="1574"/>
      <c r="B44" s="1574"/>
      <c r="C44" s="1575"/>
      <c r="D44" s="1574"/>
      <c r="E44" s="1574"/>
      <c r="F44" s="1574"/>
      <c r="K44" s="1576"/>
    </row>
    <row r="45" spans="1:18" s="1558" customFormat="1" ht="18" customHeight="1" thickBot="1">
      <c r="A45" s="1574"/>
      <c r="B45" s="1574"/>
      <c r="C45" s="1575"/>
      <c r="D45" s="1574"/>
      <c r="E45" s="1574"/>
      <c r="F45" s="1574"/>
      <c r="J45" s="732"/>
      <c r="O45" s="2915" t="s">
        <v>1484</v>
      </c>
      <c r="P45" s="1635"/>
      <c r="Q45" s="1635"/>
      <c r="R45" s="1635"/>
    </row>
    <row r="46" spans="1:18" s="1558" customFormat="1" ht="13.5" thickBot="1">
      <c r="A46" s="1578" t="s">
        <v>1485</v>
      </c>
      <c r="C46" s="1579">
        <f ca="1">C68-C40</f>
        <v>-33612</v>
      </c>
      <c r="D46" s="1580" t="str">
        <f>C2</f>
        <v>万元</v>
      </c>
      <c r="E46" s="1574"/>
      <c r="F46" s="1574"/>
      <c r="I46" s="1581" t="s">
        <v>1486</v>
      </c>
      <c r="J46" s="1582"/>
      <c r="K46" s="1583"/>
      <c r="L46" s="1584" t="str">
        <f ca="1">IF(M47="住宅",0,IF(L48&gt;J51,L60,J60))</f>
        <v>0</v>
      </c>
      <c r="O46" s="1585" t="s">
        <v>1487</v>
      </c>
      <c r="P46" s="1586" t="s">
        <v>1488</v>
      </c>
      <c r="Q46" s="1587" t="s">
        <v>1489</v>
      </c>
      <c r="R46" s="1587" t="s">
        <v>1490</v>
      </c>
    </row>
    <row r="47" spans="1:18" s="1558" customFormat="1" ht="13.5" thickBot="1">
      <c r="A47" s="1068" t="s">
        <v>1361</v>
      </c>
      <c r="B47" s="1100" t="s">
        <v>1362</v>
      </c>
      <c r="C47" s="1268" t="s">
        <v>1363</v>
      </c>
      <c r="D47" s="1100" t="s">
        <v>1364</v>
      </c>
      <c r="E47" s="1180" t="s">
        <v>1365</v>
      </c>
      <c r="F47" s="1181"/>
      <c r="G47" s="728"/>
      <c r="I47" s="1588" t="s">
        <v>1491</v>
      </c>
      <c r="J47" s="1589" t="s">
        <v>3895</v>
      </c>
      <c r="K47" s="1590" t="s">
        <v>1492</v>
      </c>
      <c r="L47" s="1591">
        <f ca="1">INDIRECT("'数据-取费表'!d"&amp;$G$1)</f>
        <v>40</v>
      </c>
      <c r="M47" s="1554" t="str">
        <f>IF(ISNUMBER(FIND("住宅",C1)),"住宅","非住宅")</f>
        <v>非住宅</v>
      </c>
      <c r="O47" s="1592" t="s">
        <v>1008</v>
      </c>
      <c r="P47" s="1593" t="s">
        <v>1493</v>
      </c>
      <c r="Q47" s="1594">
        <f ca="1">C40+J29</f>
        <v>24262</v>
      </c>
      <c r="R47" s="1594" t="s">
        <v>1494</v>
      </c>
    </row>
    <row r="48" spans="1:18" s="1558" customFormat="1" ht="28.5" thickBot="1">
      <c r="A48" s="1261" t="s">
        <v>1103</v>
      </c>
      <c r="B48" s="306" t="s">
        <v>1366</v>
      </c>
      <c r="C48" s="1533">
        <f ca="1">C49+C53+C55</f>
        <v>0</v>
      </c>
      <c r="D48" s="1263"/>
      <c r="E48" s="1264"/>
      <c r="F48" s="1084"/>
      <c r="G48" s="728"/>
      <c r="H48" s="729"/>
      <c r="I48" s="1595" t="s">
        <v>1495</v>
      </c>
      <c r="J48" s="1596" t="s">
        <v>3896</v>
      </c>
      <c r="K48" s="1597" t="s">
        <v>1496</v>
      </c>
      <c r="L48" s="1598">
        <f ca="1">INDIRECT("'数据-取费表'!f"&amp;$G$1)</f>
        <v>32.74</v>
      </c>
      <c r="O48" s="1592" t="s">
        <v>1009</v>
      </c>
      <c r="P48" s="1593" t="s">
        <v>1497</v>
      </c>
      <c r="Q48" s="1594" t="str">
        <f ca="1">J60</f>
        <v>0</v>
      </c>
      <c r="R48" s="1594" t="s">
        <v>1498</v>
      </c>
    </row>
    <row r="49" spans="1:18" s="1558" customFormat="1" ht="13.5" thickBot="1">
      <c r="A49" s="1097" t="s">
        <v>1104</v>
      </c>
      <c r="B49" s="1545" t="s">
        <v>1455</v>
      </c>
      <c r="C49" s="1265">
        <f ca="1">ROUND(F49*F51*F50*(1-F52)/10000,0)</f>
        <v>0</v>
      </c>
      <c r="D49" s="1177" t="s">
        <v>2835</v>
      </c>
      <c r="E49" s="1546" t="s">
        <v>1456</v>
      </c>
      <c r="F49" s="1182"/>
      <c r="G49" s="1599"/>
      <c r="H49" s="729"/>
      <c r="I49" s="1595" t="s">
        <v>1499</v>
      </c>
      <c r="J49" s="1600"/>
      <c r="K49" s="1597" t="s">
        <v>1500</v>
      </c>
      <c r="L49" s="1601"/>
      <c r="O49" s="1602" t="s">
        <v>1010</v>
      </c>
      <c r="P49" s="1593" t="s">
        <v>1501</v>
      </c>
      <c r="Q49" s="1594">
        <f ca="1">C29</f>
        <v>24991</v>
      </c>
      <c r="R49" s="1594" t="s">
        <v>1494</v>
      </c>
    </row>
    <row r="50" spans="1:18" s="1558" customFormat="1" ht="13.5" thickBot="1">
      <c r="A50" s="1098"/>
      <c r="B50" s="1101"/>
      <c r="C50" s="1269"/>
      <c r="D50" s="1075"/>
      <c r="E50" s="1178" t="s">
        <v>1371</v>
      </c>
      <c r="F50" s="1179">
        <f ca="1">F7</f>
        <v>29610.970000000008</v>
      </c>
      <c r="H50" s="729"/>
      <c r="I50" s="1595" t="s">
        <v>1502</v>
      </c>
      <c r="J50" s="1603">
        <f>SUMPRODUCT((I63:I65=J47)*(J62:L62=J48)*(J63:L65))</f>
        <v>60</v>
      </c>
      <c r="K50" s="1597" t="s">
        <v>1503</v>
      </c>
      <c r="L50" s="1601"/>
      <c r="M50" s="1604"/>
      <c r="O50" s="1602" t="s">
        <v>1011</v>
      </c>
      <c r="P50" s="1593" t="s">
        <v>1504</v>
      </c>
      <c r="Q50" s="1605" t="e">
        <f ca="1">J58</f>
        <v>#VALUE!</v>
      </c>
      <c r="R50" s="1594"/>
    </row>
    <row r="51" spans="1:18" s="1558" customFormat="1" ht="13.5" thickBot="1">
      <c r="A51" s="1099"/>
      <c r="B51" s="1101"/>
      <c r="C51" s="1102"/>
      <c r="D51" s="1075"/>
      <c r="E51" s="1103" t="s">
        <v>1372</v>
      </c>
      <c r="F51" s="309">
        <f ca="1">F8</f>
        <v>365</v>
      </c>
      <c r="I51" s="1606" t="s">
        <v>1505</v>
      </c>
      <c r="J51" s="1607">
        <f>IF(J49="",J50,J49+J50-YEAR('数据-取费表'!B2))</f>
        <v>60</v>
      </c>
      <c r="K51" s="1608" t="s">
        <v>1506</v>
      </c>
      <c r="L51" s="1609">
        <f ca="1">ROUND(-PV(INDIRECT("'数据-取费表'!h"&amp;$G$1),J51,(C39-C13*C76),0),0)</f>
        <v>-17665</v>
      </c>
      <c r="M51" s="1610"/>
      <c r="O51" s="1602" t="s">
        <v>1012</v>
      </c>
      <c r="P51" s="1593" t="s">
        <v>1507</v>
      </c>
      <c r="Q51" s="1605">
        <f>J52</f>
        <v>0</v>
      </c>
      <c r="R51" s="1594"/>
    </row>
    <row r="52" spans="1:18" s="1558" customFormat="1" ht="13.5" thickBot="1">
      <c r="A52" s="1099"/>
      <c r="B52" s="1101"/>
      <c r="C52" s="1102"/>
      <c r="D52" s="1075"/>
      <c r="E52" s="1103" t="s">
        <v>1373</v>
      </c>
      <c r="F52" s="1176"/>
      <c r="I52" s="1611" t="s">
        <v>1508</v>
      </c>
      <c r="J52" s="1612"/>
      <c r="K52" s="1611" t="s">
        <v>1509</v>
      </c>
      <c r="L52" s="1612"/>
      <c r="O52" s="1602" t="s">
        <v>1013</v>
      </c>
      <c r="P52" s="1593" t="s">
        <v>1510</v>
      </c>
      <c r="Q52" s="1594">
        <f ca="1">J53</f>
        <v>32.74</v>
      </c>
      <c r="R52" s="1594" t="s">
        <v>1511</v>
      </c>
    </row>
    <row r="53" spans="1:18" s="1558" customFormat="1" ht="24.75" thickBot="1">
      <c r="A53" s="1303" t="s">
        <v>1105</v>
      </c>
      <c r="B53" s="1547" t="s">
        <v>1374</v>
      </c>
      <c r="C53" s="322">
        <f ca="1">ROUND(IF(F53="押一",C49/12*F11,IF(F53="押二",C49/12*2*F11,IF(F53="押三",C49/12*3*F11,C54*F11))),0)</f>
        <v>0</v>
      </c>
      <c r="D53" s="1540" t="s">
        <v>2841</v>
      </c>
      <c r="E53" s="319" t="s">
        <v>1375</v>
      </c>
      <c r="F53" s="1267"/>
      <c r="I53" s="1613" t="s">
        <v>1512</v>
      </c>
      <c r="J53" s="2370">
        <f ca="1">IF(M47="住宅",IF(D1="——",MAX(J51,L48),MAX(J51,L48-'数据-取费表'!B24)),IF(D1="——",MIN(J51,L48),MIN(J51,L48-'数据-取费表'!B24)))</f>
        <v>32.74</v>
      </c>
      <c r="K53" s="3428" t="s">
        <v>1513</v>
      </c>
      <c r="L53" s="3429"/>
      <c r="O53" s="1592" t="s">
        <v>1014</v>
      </c>
      <c r="P53" s="1593" t="s">
        <v>1514</v>
      </c>
      <c r="Q53" s="1594">
        <f ca="1">Q47+Q48</f>
        <v>24262</v>
      </c>
      <c r="R53" s="1594" t="s">
        <v>1015</v>
      </c>
    </row>
    <row r="54" spans="1:18" s="1558" customFormat="1" ht="13.5" thickBot="1">
      <c r="A54" s="1304"/>
      <c r="B54" s="1541" t="s">
        <v>1353</v>
      </c>
      <c r="C54" s="1081"/>
      <c r="D54" s="1540"/>
      <c r="E54" s="1548"/>
      <c r="F54" s="1614"/>
      <c r="I54" s="1615"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616"/>
      <c r="K54" s="1616"/>
      <c r="L54" s="1616"/>
      <c r="M54" s="1599"/>
      <c r="O54" s="1577" t="s">
        <v>1515</v>
      </c>
      <c r="P54" s="1555"/>
      <c r="Q54" s="1555"/>
      <c r="R54" s="1555"/>
    </row>
    <row r="55" spans="1:18" s="1558" customFormat="1" ht="13.5" thickBot="1">
      <c r="A55" s="1234" t="s">
        <v>1043</v>
      </c>
      <c r="B55" s="1543" t="s">
        <v>1378</v>
      </c>
      <c r="C55" s="1235"/>
      <c r="D55" s="1540"/>
      <c r="E55" s="1548"/>
      <c r="F55" s="1614"/>
      <c r="I55" s="1617" t="s">
        <v>1516</v>
      </c>
      <c r="J55" s="1618" t="e">
        <f ca="1">ROUND(IF(J47="钢混",J57/J50,1-(1-2%)*(J50-J57)/J50),3)</f>
        <v>#VALUE!</v>
      </c>
      <c r="K55" s="1619" t="s">
        <v>1517</v>
      </c>
      <c r="L55" s="1620" t="s">
        <v>1518</v>
      </c>
      <c r="O55" s="1585" t="s">
        <v>1487</v>
      </c>
      <c r="P55" s="1586" t="s">
        <v>1488</v>
      </c>
      <c r="Q55" s="1587" t="s">
        <v>1489</v>
      </c>
      <c r="R55" s="1587" t="s">
        <v>1490</v>
      </c>
    </row>
    <row r="56" spans="1:18" s="1558" customFormat="1" ht="25.5" thickTop="1" thickBot="1">
      <c r="A56" s="1079">
        <v>2</v>
      </c>
      <c r="B56" s="1080" t="s">
        <v>1379</v>
      </c>
      <c r="C56" s="238">
        <f ca="1">C13</f>
        <v>24991</v>
      </c>
      <c r="D56" s="1621"/>
      <c r="E56" s="1622"/>
      <c r="F56" s="1614"/>
      <c r="I56" s="1623" t="s">
        <v>1519</v>
      </c>
      <c r="J56" s="1624" t="s">
        <v>3058</v>
      </c>
      <c r="K56" s="1595" t="s">
        <v>1520</v>
      </c>
      <c r="L56" s="1598" t="str">
        <f ca="1">IF(L48&lt;J51,"——",L48-J53)</f>
        <v>——</v>
      </c>
      <c r="O56" s="1592" t="s">
        <v>1008</v>
      </c>
      <c r="P56" s="1593" t="s">
        <v>1493</v>
      </c>
      <c r="Q56" s="1594">
        <f ca="1">C40+J29</f>
        <v>24262</v>
      </c>
      <c r="R56" s="1594" t="s">
        <v>1494</v>
      </c>
    </row>
    <row r="57" spans="1:18" s="1558" customFormat="1" ht="24.75" thickBot="1">
      <c r="A57" s="1625"/>
      <c r="B57" s="1072" t="s">
        <v>1443</v>
      </c>
      <c r="C57" s="244">
        <f ca="1">C29</f>
        <v>24991</v>
      </c>
      <c r="D57" s="1626"/>
      <c r="E57" s="1627"/>
      <c r="F57" s="1628"/>
      <c r="I57" s="1629" t="s">
        <v>1521</v>
      </c>
      <c r="J57" s="1630" t="str">
        <f ca="1">IF(OR(M47="住宅",J51&lt;L48,J56="是"),"——",J51-L48)</f>
        <v>——</v>
      </c>
      <c r="K57" s="1595" t="s">
        <v>1522</v>
      </c>
      <c r="L57" s="1598" t="str">
        <f ca="1">IF(L48&lt;J51,"——",IF(L55="比较法",L49,IF(L55="基准地价",L50,L51)))</f>
        <v>——</v>
      </c>
      <c r="O57" s="1592" t="s">
        <v>1009</v>
      </c>
      <c r="P57" s="1593" t="s">
        <v>1523</v>
      </c>
      <c r="Q57" s="1594">
        <f ca="1">L60</f>
        <v>0</v>
      </c>
      <c r="R57" s="1594" t="s">
        <v>1524</v>
      </c>
    </row>
    <row r="58" spans="1:18" s="1558" customFormat="1" ht="24.75" thickBot="1">
      <c r="A58" s="321" t="s">
        <v>998</v>
      </c>
      <c r="B58" s="1080" t="s">
        <v>1389</v>
      </c>
      <c r="C58" s="322">
        <f ca="1">ROUND(C59+C64+C65+C66,0)</f>
        <v>622</v>
      </c>
      <c r="D58" s="1082" t="s">
        <v>1390</v>
      </c>
      <c r="E58" s="1083"/>
      <c r="F58" s="1084"/>
      <c r="I58" s="1629" t="s">
        <v>1525</v>
      </c>
      <c r="J58" s="1631" t="e">
        <f ca="1">IF(J55&lt;0.4,0.4,J55)</f>
        <v>#VALUE!</v>
      </c>
      <c r="K58" s="1608" t="s">
        <v>1526</v>
      </c>
      <c r="L58" s="1598" t="e">
        <f ca="1">ROUND(POWER(1+L52,L47-L48)*(POWER(1+L52,L48)-1)/(POWER(1+L52,L47)-1),4)</f>
        <v>#DIV/0!</v>
      </c>
      <c r="O58" s="1602" t="s">
        <v>1010</v>
      </c>
      <c r="P58" s="1593" t="s">
        <v>1527</v>
      </c>
      <c r="Q58" s="1594">
        <f>IF(L55="比较法",L49,IF(L55="基准地价",L50,0))</f>
        <v>0</v>
      </c>
      <c r="R58" s="1594" t="s">
        <v>1494</v>
      </c>
    </row>
    <row r="59" spans="1:18" s="1558" customFormat="1" ht="24.75" thickBot="1">
      <c r="A59" s="1104" t="s">
        <v>1003</v>
      </c>
      <c r="B59" s="1072" t="s">
        <v>1394</v>
      </c>
      <c r="C59" s="2518">
        <f ca="1">ROUND(IF(AND(项目基本情况!B11="自然人",项目基本情况!B10="北京市"),C49*F59/(1+'数据-取费表'!C42),C60+C61+C62),0)</f>
        <v>210</v>
      </c>
      <c r="D59" s="1085" t="s">
        <v>1395</v>
      </c>
      <c r="E59" s="1086" t="s">
        <v>1396</v>
      </c>
      <c r="F59" s="2517">
        <f ca="1">IF(项目基本情况!B11="企业","——",IF('数据-取费表'!B10="住宅",IF(F49*F50*F51/12/(1+'数据-取费表'!F30)&gt;100000,4%,2.5%),IF(F49*F50*F51/12/(1+'数据-取费表'!F30)&gt;100000,12%,7%)))</f>
        <v>7.0000000000000007E-2</v>
      </c>
      <c r="I59" s="1629" t="s">
        <v>1528</v>
      </c>
      <c r="J59" s="1630" t="str">
        <f ca="1">IF(OR(M47="住宅",J51&lt;L48,J56="是"),"——",ROUND(C29*J58,0))</f>
        <v>——</v>
      </c>
      <c r="K59" s="1595"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598" t="e">
        <f ca="1">ROUND(IF(D1="在建（套用方法）",M59,IF(D1="土地（套用方法）",N59,POWER(1+L52,L47-J51)*(POWER(1+L52,J51)-1)/(POWER(1+L52,L47)-1))),4)</f>
        <v>#DIV/0!</v>
      </c>
      <c r="M59" s="1554" t="e">
        <f ca="1">ROUND(POWER(1+L52,L47-(J51+'数据-取费表'!B24))*(POWER(1+L52,(J51+'数据-取费表'!B24))-1)/(POWER(1+L52,L47)-1),4)</f>
        <v>#DIV/0!</v>
      </c>
      <c r="N59" s="1554" t="e">
        <f ca="1">ROUND(POWER(1+L52,L47-(J51+'数据-取费表'!B20))*(POWER(1+L52,(J51+'数据-取费表'!B20))-1)/(POWER(1+L52,L47)-1),4)</f>
        <v>#DIV/0!</v>
      </c>
      <c r="O59" s="1602" t="s">
        <v>1011</v>
      </c>
      <c r="P59" s="1593" t="s">
        <v>1529</v>
      </c>
      <c r="Q59" s="1605">
        <f>L52</f>
        <v>0</v>
      </c>
      <c r="R59" s="1594"/>
    </row>
    <row r="60" spans="1:18" s="1558" customFormat="1" ht="16.5" thickBot="1">
      <c r="A60" s="1104" t="s">
        <v>1002</v>
      </c>
      <c r="B60" s="1072" t="s">
        <v>1398</v>
      </c>
      <c r="C60" s="24">
        <f ca="1">IF(项目基本情况!B11="自然人","——",ROUND(C48*F60/(1+'数据-取费表'!C42),2))</f>
        <v>0</v>
      </c>
      <c r="D60" s="1086" t="s">
        <v>1399</v>
      </c>
      <c r="E60" s="1072" t="s">
        <v>1387</v>
      </c>
      <c r="F60" s="337">
        <f t="shared" ref="F60:F66" si="0">F32</f>
        <v>5.6000000000000001E-2</v>
      </c>
      <c r="I60" s="1632" t="s">
        <v>1530</v>
      </c>
      <c r="J60" s="1633" t="str">
        <f ca="1">IF(OR(M47="住宅",J51&lt;L48,J56="是"),"0",ROUND(J59/(1+J52)^J53,0))</f>
        <v>0</v>
      </c>
      <c r="K60" s="1634" t="s">
        <v>1531</v>
      </c>
      <c r="L60" s="1633">
        <f ca="1">IF(OR(M47="住宅",L48&lt;J51),0,ROUND(L57*(L58/L59-1),0))</f>
        <v>0</v>
      </c>
      <c r="O60" s="1602" t="s">
        <v>1012</v>
      </c>
      <c r="P60" s="1593" t="s">
        <v>1532</v>
      </c>
      <c r="Q60" s="1594" t="e">
        <f ca="1">L58</f>
        <v>#DIV/0!</v>
      </c>
      <c r="R60" s="1594" t="s">
        <v>1533</v>
      </c>
    </row>
    <row r="61" spans="1:18" s="1558" customFormat="1" ht="13.5" thickBot="1">
      <c r="A61" s="1104" t="s">
        <v>1457</v>
      </c>
      <c r="B61" s="1072" t="s">
        <v>1458</v>
      </c>
      <c r="C61" s="24">
        <f ca="1">IF(项目基本情况!B11="自然人","——",IF(D61="按租金收入计税",ROUND(C48*F61,2),IF(D61="按房产原值计税",ROUND(C57*F61*0.7,2),INDIRECT("'数据-取费表'!Aj"&amp;$G$1))))</f>
        <v>209.92</v>
      </c>
      <c r="D61" s="1544" t="s">
        <v>1403</v>
      </c>
      <c r="E61" s="1072" t="s">
        <v>1459</v>
      </c>
      <c r="F61" s="328">
        <f t="shared" si="0"/>
        <v>1.2E-2</v>
      </c>
      <c r="I61" s="1635"/>
      <c r="J61" s="1635"/>
      <c r="K61" s="1635"/>
      <c r="L61" s="1635"/>
      <c r="O61" s="1602" t="s">
        <v>1013</v>
      </c>
      <c r="P61" s="1593" t="str">
        <f>K59</f>
        <v>建筑物剩余耐用年限下的土地年期修正系数Kn</v>
      </c>
      <c r="Q61" s="1594" t="e">
        <f ca="1">L59</f>
        <v>#DIV/0!</v>
      </c>
      <c r="R61" s="1594" t="s">
        <v>1534</v>
      </c>
    </row>
    <row r="62" spans="1:18" s="1558" customFormat="1" ht="13.5" thickBot="1">
      <c r="A62" s="1104" t="s">
        <v>1460</v>
      </c>
      <c r="B62" s="1071" t="s">
        <v>1461</v>
      </c>
      <c r="C62" s="25">
        <f ca="1">IF(项目基本情况!B11="自然人","——",ROUND(F62*F63/10000,2))</f>
        <v>0</v>
      </c>
      <c r="D62" s="1087" t="s">
        <v>1462</v>
      </c>
      <c r="E62" s="1072" t="s">
        <v>1463</v>
      </c>
      <c r="F62" s="331">
        <f t="shared" si="0"/>
        <v>0</v>
      </c>
      <c r="I62" s="1636" t="s">
        <v>1535</v>
      </c>
      <c r="J62" s="1637" t="s">
        <v>1536</v>
      </c>
      <c r="K62" s="1637" t="s">
        <v>1537</v>
      </c>
      <c r="L62" s="1637" t="s">
        <v>1538</v>
      </c>
      <c r="M62" s="1638" t="s">
        <v>1539</v>
      </c>
      <c r="O62" s="1592" t="s">
        <v>1014</v>
      </c>
      <c r="P62" s="1593" t="s">
        <v>1540</v>
      </c>
      <c r="Q62" s="1594">
        <f ca="1">Q56+Q57</f>
        <v>24262</v>
      </c>
      <c r="R62" s="1594" t="s">
        <v>1015</v>
      </c>
    </row>
    <row r="63" spans="1:18" s="1558" customFormat="1" ht="13.5" thickBot="1">
      <c r="A63" s="332"/>
      <c r="B63" s="1078"/>
      <c r="C63" s="29"/>
      <c r="D63" s="1088"/>
      <c r="E63" s="1072" t="s">
        <v>1464</v>
      </c>
      <c r="F63" s="309">
        <f t="shared" ca="1" si="0"/>
        <v>0</v>
      </c>
      <c r="I63" s="1636" t="s">
        <v>1541</v>
      </c>
      <c r="J63" s="1637">
        <v>70</v>
      </c>
      <c r="K63" s="1637">
        <v>50</v>
      </c>
      <c r="L63" s="1637">
        <v>80</v>
      </c>
      <c r="M63" s="1639">
        <v>0.02</v>
      </c>
      <c r="O63" s="1577" t="s">
        <v>1542</v>
      </c>
      <c r="P63" s="1555"/>
      <c r="Q63" s="1555"/>
      <c r="R63" s="1555"/>
    </row>
    <row r="64" spans="1:18" s="1558" customFormat="1" ht="13.5" thickBot="1">
      <c r="A64" s="1104" t="s">
        <v>1465</v>
      </c>
      <c r="B64" s="1072" t="s">
        <v>1466</v>
      </c>
      <c r="C64" s="24">
        <f ca="1">ROUND(C57*F64,1)</f>
        <v>374.9</v>
      </c>
      <c r="D64" s="1086" t="s">
        <v>1467</v>
      </c>
      <c r="E64" s="1072" t="s">
        <v>1459</v>
      </c>
      <c r="F64" s="334">
        <f t="shared" ca="1" si="0"/>
        <v>1.4999999999999999E-2</v>
      </c>
      <c r="I64" s="1636" t="s">
        <v>1543</v>
      </c>
      <c r="J64" s="1637">
        <v>50</v>
      </c>
      <c r="K64" s="1637">
        <v>35</v>
      </c>
      <c r="L64" s="1637">
        <v>60</v>
      </c>
      <c r="M64" s="1638">
        <v>0</v>
      </c>
      <c r="O64" s="1585" t="s">
        <v>1487</v>
      </c>
      <c r="P64" s="1586" t="s">
        <v>1488</v>
      </c>
      <c r="Q64" s="1587" t="s">
        <v>1489</v>
      </c>
      <c r="R64" s="1587" t="s">
        <v>1490</v>
      </c>
    </row>
    <row r="65" spans="1:18" s="1558" customFormat="1" ht="13.5" thickBot="1">
      <c r="A65" s="1104" t="s">
        <v>1468</v>
      </c>
      <c r="B65" s="1072" t="s">
        <v>1418</v>
      </c>
      <c r="C65" s="24">
        <f ca="1">ROUND(C56*F65,1)</f>
        <v>37.5</v>
      </c>
      <c r="D65" s="1086" t="s">
        <v>1419</v>
      </c>
      <c r="E65" s="1072" t="s">
        <v>1420</v>
      </c>
      <c r="F65" s="336">
        <f t="shared" ca="1" si="0"/>
        <v>1.5E-3</v>
      </c>
      <c r="I65" s="1636" t="s">
        <v>1544</v>
      </c>
      <c r="J65" s="1637">
        <v>40</v>
      </c>
      <c r="K65" s="1637">
        <v>30</v>
      </c>
      <c r="L65" s="1637">
        <v>50</v>
      </c>
      <c r="M65" s="1639">
        <v>0.02</v>
      </c>
      <c r="O65" s="1592" t="s">
        <v>1008</v>
      </c>
      <c r="P65" s="1593" t="s">
        <v>1545</v>
      </c>
      <c r="Q65" s="1594">
        <f ca="1">C40+J29</f>
        <v>24262</v>
      </c>
      <c r="R65" s="1594" t="s">
        <v>1494</v>
      </c>
    </row>
    <row r="66" spans="1:18" s="1558" customFormat="1" ht="16.5" thickBot="1">
      <c r="A66" s="1104" t="s">
        <v>1469</v>
      </c>
      <c r="B66" s="1072" t="s">
        <v>1404</v>
      </c>
      <c r="C66" s="24">
        <f ca="1">ROUND(C48*F66,1)</f>
        <v>0</v>
      </c>
      <c r="D66" s="1086" t="s">
        <v>1470</v>
      </c>
      <c r="E66" s="1072" t="s">
        <v>1387</v>
      </c>
      <c r="F66" s="318">
        <f t="shared" ca="1" si="0"/>
        <v>1.4999999999999999E-2</v>
      </c>
      <c r="O66" s="1592" t="s">
        <v>1009</v>
      </c>
      <c r="P66" s="1593" t="s">
        <v>1523</v>
      </c>
      <c r="Q66" s="1594">
        <f ca="1">L60</f>
        <v>0</v>
      </c>
      <c r="R66" s="1594" t="s">
        <v>1546</v>
      </c>
    </row>
    <row r="67" spans="1:18" s="1558" customFormat="1" ht="16.5" thickBot="1">
      <c r="A67" s="1079" t="s">
        <v>999</v>
      </c>
      <c r="B67" s="1089" t="s">
        <v>1428</v>
      </c>
      <c r="C67" s="322">
        <f ca="1">C48-C58</f>
        <v>-622</v>
      </c>
      <c r="D67" s="1085" t="s">
        <v>1429</v>
      </c>
      <c r="E67" s="1090"/>
      <c r="F67" s="1091"/>
      <c r="O67" s="1602" t="s">
        <v>1010</v>
      </c>
      <c r="P67" s="1593" t="s">
        <v>1527</v>
      </c>
      <c r="Q67" s="1640">
        <f ca="1">L51</f>
        <v>-17665</v>
      </c>
      <c r="R67" s="1594" t="s">
        <v>1547</v>
      </c>
    </row>
    <row r="68" spans="1:18" s="1558" customFormat="1" ht="16.5" thickBot="1">
      <c r="A68" s="1069" t="s">
        <v>1000</v>
      </c>
      <c r="B68" s="1070" t="s">
        <v>1450</v>
      </c>
      <c r="C68" s="307">
        <f ca="1">ROUND(C67*(1-((1+F70)/(1+F68))^F69)/(F68-F70),0)</f>
        <v>-9350</v>
      </c>
      <c r="D68" s="1087" t="s">
        <v>1434</v>
      </c>
      <c r="E68" s="1072" t="s">
        <v>1435</v>
      </c>
      <c r="F68" s="318">
        <f ca="1">F40</f>
        <v>5.5E-2</v>
      </c>
      <c r="O68" s="1602" t="s">
        <v>1011</v>
      </c>
      <c r="P68" s="1641" t="s">
        <v>1548</v>
      </c>
      <c r="Q68" s="1594">
        <f ca="1">ROUND(Q69-Q70*Q71,0)</f>
        <v>-933</v>
      </c>
      <c r="R68" s="1594" t="s">
        <v>1019</v>
      </c>
    </row>
    <row r="69" spans="1:18" s="1558" customFormat="1" ht="13.5" thickBot="1">
      <c r="A69" s="1073"/>
      <c r="B69" s="1074"/>
      <c r="C69" s="312"/>
      <c r="D69" s="1092" t="s">
        <v>1438</v>
      </c>
      <c r="E69" s="1072" t="s">
        <v>1439</v>
      </c>
      <c r="F69" s="339">
        <f ca="1">F41</f>
        <v>32.74</v>
      </c>
      <c r="O69" s="1602" t="s">
        <v>1016</v>
      </c>
      <c r="P69" s="1641" t="s">
        <v>1549</v>
      </c>
      <c r="Q69" s="1594">
        <f ca="1">C39</f>
        <v>1191</v>
      </c>
      <c r="R69" s="1594" t="s">
        <v>1494</v>
      </c>
    </row>
    <row r="70" spans="1:18" s="1558" customFormat="1" ht="13.5" thickBot="1">
      <c r="A70" s="1076"/>
      <c r="B70" s="1077"/>
      <c r="C70" s="316"/>
      <c r="D70" s="1088"/>
      <c r="E70" s="1072" t="s">
        <v>1442</v>
      </c>
      <c r="F70" s="1176"/>
      <c r="O70" s="1602" t="s">
        <v>1017</v>
      </c>
      <c r="P70" s="1641" t="s">
        <v>1550</v>
      </c>
      <c r="Q70" s="1594">
        <f ca="1">C13</f>
        <v>24991</v>
      </c>
      <c r="R70" s="1594" t="s">
        <v>1494</v>
      </c>
    </row>
    <row r="71" spans="1:18" s="1558" customFormat="1" ht="13.5" thickBot="1">
      <c r="A71" s="1093" t="s">
        <v>1001</v>
      </c>
      <c r="B71" s="1094" t="s">
        <v>1452</v>
      </c>
      <c r="C71" s="342">
        <f ca="1">ROUND(C68*10000/F71,0)</f>
        <v>-3158</v>
      </c>
      <c r="D71" s="1095" t="s">
        <v>1453</v>
      </c>
      <c r="E71" s="1096" t="s">
        <v>1454</v>
      </c>
      <c r="F71" s="345">
        <f ca="1">F43</f>
        <v>29610.970000000008</v>
      </c>
      <c r="O71" s="1602" t="s">
        <v>1018</v>
      </c>
      <c r="P71" s="1641" t="s">
        <v>1551</v>
      </c>
      <c r="Q71" s="1605">
        <f ca="1">C76</f>
        <v>8.5000000000000006E-2</v>
      </c>
      <c r="R71" s="1594"/>
    </row>
    <row r="72" spans="1:18" s="1558" customFormat="1" ht="13.5" thickBot="1">
      <c r="B72" s="732"/>
      <c r="C72" s="732"/>
      <c r="O72" s="1602" t="s">
        <v>1012</v>
      </c>
      <c r="P72" s="1593" t="s">
        <v>1529</v>
      </c>
      <c r="Q72" s="1605">
        <f>L52</f>
        <v>0</v>
      </c>
      <c r="R72" s="1594"/>
    </row>
    <row r="73" spans="1:18" ht="16.5" thickBot="1">
      <c r="A73" s="1558"/>
      <c r="B73" s="732"/>
      <c r="C73" s="732"/>
      <c r="D73" s="1558"/>
      <c r="E73" s="1558"/>
      <c r="F73" s="1558"/>
      <c r="O73" s="1602" t="s">
        <v>1013</v>
      </c>
      <c r="P73" s="1593" t="s">
        <v>1532</v>
      </c>
      <c r="Q73" s="1594" t="e">
        <f ca="1">L58</f>
        <v>#DIV/0!</v>
      </c>
      <c r="R73" s="1594" t="s">
        <v>1533</v>
      </c>
    </row>
    <row r="74" spans="1:18" ht="13.5" thickBot="1">
      <c r="A74" s="1558"/>
      <c r="B74" s="279" t="s">
        <v>1552</v>
      </c>
      <c r="C74" s="1643"/>
      <c r="D74" s="1558"/>
      <c r="E74" s="1558"/>
      <c r="F74" s="1558"/>
      <c r="O74" s="1602" t="s">
        <v>1020</v>
      </c>
      <c r="P74" s="1593" t="str">
        <f>K59</f>
        <v>建筑物剩余耐用年限下的土地年期修正系数Kn</v>
      </c>
      <c r="Q74" s="1594" t="e">
        <f ca="1">L59</f>
        <v>#DIV/0!</v>
      </c>
      <c r="R74" s="1594" t="s">
        <v>1534</v>
      </c>
    </row>
    <row r="75" spans="1:18" ht="13.5" thickBot="1">
      <c r="A75" s="1558"/>
      <c r="B75" s="346" t="s">
        <v>1471</v>
      </c>
      <c r="C75" s="347">
        <f ca="1">ROUND(C13*C76,0)</f>
        <v>2124</v>
      </c>
      <c r="D75" s="1558"/>
      <c r="E75" s="1558"/>
      <c r="F75" s="1558"/>
      <c r="K75" s="1576"/>
      <c r="L75" s="1558"/>
      <c r="O75" s="1592" t="s">
        <v>1014</v>
      </c>
      <c r="P75" s="1593" t="s">
        <v>1514</v>
      </c>
      <c r="Q75" s="1594">
        <f ca="1">Q65+Q66</f>
        <v>24262</v>
      </c>
      <c r="R75" s="1594" t="s">
        <v>1015</v>
      </c>
    </row>
    <row r="76" spans="1:18">
      <c r="B76" s="348" t="s">
        <v>1472</v>
      </c>
      <c r="C76" s="349">
        <f ca="1">INDIRECT("'数据-取费表'!j"&amp;$G$1)</f>
        <v>8.5000000000000006E-2</v>
      </c>
      <c r="I76" s="1558"/>
      <c r="J76" s="1558"/>
      <c r="K76" s="1576"/>
      <c r="L76" s="1558"/>
    </row>
    <row r="77" spans="1:18">
      <c r="B77" s="350" t="s">
        <v>1473</v>
      </c>
      <c r="C77" s="351"/>
      <c r="I77" s="1558"/>
      <c r="J77" s="1558"/>
      <c r="K77" s="1576"/>
      <c r="L77" s="1558"/>
    </row>
    <row r="78" spans="1:18">
      <c r="B78" s="276" t="s">
        <v>1474</v>
      </c>
      <c r="C78" s="352"/>
    </row>
    <row r="79" spans="1:18">
      <c r="B79" s="346" t="s">
        <v>1475</v>
      </c>
      <c r="C79" s="280">
        <f ca="1">1-C80</f>
        <v>-0.78299999999999992</v>
      </c>
    </row>
    <row r="80" spans="1:18">
      <c r="B80" s="346" t="s">
        <v>1476</v>
      </c>
      <c r="C80" s="280">
        <f ca="1">ROUND(C75/C39,3)</f>
        <v>1.7829999999999999</v>
      </c>
    </row>
    <row r="81" spans="2:3">
      <c r="B81" s="276" t="s">
        <v>1477</v>
      </c>
      <c r="C81" s="244"/>
    </row>
    <row r="82" spans="2:3">
      <c r="B82" s="279" t="s">
        <v>1478</v>
      </c>
      <c r="C82" s="281">
        <f ca="1">1-C83</f>
        <v>-3.0000000000000027E-2</v>
      </c>
    </row>
    <row r="83" spans="2:3">
      <c r="B83" s="279" t="s">
        <v>1479</v>
      </c>
      <c r="C83" s="280">
        <f ca="1">ROUND(C13/C40,3)</f>
        <v>1.03</v>
      </c>
    </row>
  </sheetData>
  <sheetProtection password="CEE9" sheet="1" objects="1" scenarios="1" formatCells="0" formatColumns="0" formatRows="0"/>
  <mergeCells count="3">
    <mergeCell ref="K53:L53"/>
    <mergeCell ref="B6:B9"/>
    <mergeCell ref="I6:I9"/>
  </mergeCells>
  <phoneticPr fontId="3" type="noConversion"/>
  <conditionalFormatting sqref="K55 K60">
    <cfRule type="expression" dxfId="142" priority="56">
      <formula>$L$48&gt;$J$51</formula>
    </cfRule>
  </conditionalFormatting>
  <conditionalFormatting sqref="I55 I60">
    <cfRule type="expression" dxfId="141" priority="57">
      <formula>$J$51&gt;$L$48</formula>
    </cfRule>
  </conditionalFormatting>
  <conditionalFormatting sqref="C11">
    <cfRule type="expression" dxfId="140" priority="3">
      <formula>$F$10="自定义"</formula>
    </cfRule>
  </conditionalFormatting>
  <conditionalFormatting sqref="J11">
    <cfRule type="expression" dxfId="139" priority="2">
      <formula>$M$10="自定义"</formula>
    </cfRule>
  </conditionalFormatting>
  <conditionalFormatting sqref="C54">
    <cfRule type="expression" dxfId="138" priority="1">
      <formula>$F$53="自定义"</formula>
    </cfRule>
  </conditionalFormatting>
  <dataValidations count="9">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C1">
      <formula1>项目类型</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J56">
      <formula1>判定</formula1>
    </dataValidation>
    <dataValidation type="list" allowBlank="1" showInputMessage="1" showErrorMessage="1" sqref="L55">
      <formula1>"比较法,基准地价,收益还原"</formula1>
    </dataValidation>
    <dataValidation type="list" allowBlank="1" showInputMessage="1" showErrorMessage="1" sqref="M10 F10 F53">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view="pageBreakPreview" zoomScale="70" zoomScaleNormal="70" zoomScaleSheetLayoutView="70" workbookViewId="0">
      <selection activeCell="Q10" sqref="Q10"/>
    </sheetView>
  </sheetViews>
  <sheetFormatPr defaultColWidth="9" defaultRowHeight="12.75"/>
  <cols>
    <col min="1" max="1" width="9" style="264" customWidth="1"/>
    <col min="2" max="2" width="20.625" style="661" customWidth="1"/>
    <col min="3" max="3" width="11.875" style="661" customWidth="1"/>
    <col min="4" max="4" width="40.5" style="264" customWidth="1"/>
    <col min="5" max="5" width="15.75" style="264" customWidth="1"/>
    <col min="6" max="6" width="10.625" style="264" customWidth="1"/>
    <col min="7" max="7" width="4.875" style="264" customWidth="1"/>
    <col min="8" max="8" width="8.5" style="264" customWidth="1"/>
    <col min="9" max="9" width="21.25" style="264" customWidth="1"/>
    <col min="10" max="10" width="12.25" style="264" customWidth="1"/>
    <col min="11" max="11" width="40.125" style="1642" customWidth="1"/>
    <col min="12" max="12" width="16.375" style="264" customWidth="1"/>
    <col min="13" max="13" width="13" style="264" customWidth="1"/>
    <col min="14" max="14" width="13.75" style="1558" customWidth="1"/>
    <col min="15" max="15" width="5.125" style="1558" customWidth="1"/>
    <col min="16" max="16" width="25.75" style="1558" customWidth="1"/>
    <col min="17" max="17" width="13.75" style="1558" customWidth="1"/>
    <col min="18" max="18" width="20.5" style="1558" customWidth="1"/>
    <col min="19" max="19" width="13.25" style="1558" customWidth="1"/>
    <col min="20" max="37" width="9" style="1558"/>
    <col min="38" max="16384" width="9" style="264"/>
  </cols>
  <sheetData>
    <row r="1" spans="1:37" s="299" customFormat="1" ht="21">
      <c r="A1" s="1549" t="s">
        <v>1554</v>
      </c>
      <c r="B1" s="720"/>
      <c r="C1" s="1553"/>
      <c r="D1" s="1536"/>
      <c r="E1" s="1537" t="s">
        <v>1352</v>
      </c>
      <c r="F1" s="1184">
        <f ca="1">J53</f>
        <v>0</v>
      </c>
      <c r="G1" s="1552">
        <f>MATCH(C1,'数据-取费表'!A6:A16,0)+5</f>
        <v>7</v>
      </c>
      <c r="H1" s="2902"/>
      <c r="I1" s="2903"/>
      <c r="J1" s="2903"/>
      <c r="K1" s="2904"/>
      <c r="L1" s="2903"/>
      <c r="M1" s="2903"/>
      <c r="N1" s="730"/>
      <c r="O1" s="730"/>
      <c r="P1" s="730"/>
      <c r="Q1" s="730"/>
      <c r="R1" s="730"/>
      <c r="S1" s="730"/>
      <c r="T1" s="730"/>
      <c r="U1" s="730"/>
      <c r="V1" s="730"/>
      <c r="W1" s="730"/>
      <c r="X1" s="730"/>
      <c r="Y1" s="730"/>
      <c r="Z1" s="730"/>
      <c r="AA1" s="730"/>
      <c r="AB1" s="730"/>
      <c r="AC1" s="730"/>
      <c r="AD1" s="730"/>
      <c r="AE1" s="730"/>
      <c r="AF1" s="730"/>
      <c r="AG1" s="730"/>
      <c r="AH1" s="730"/>
      <c r="AI1" s="730"/>
      <c r="AJ1" s="730"/>
      <c r="AK1" s="730"/>
    </row>
    <row r="2" spans="1:37" ht="18" customHeight="1">
      <c r="A2" s="1559" t="s">
        <v>1555</v>
      </c>
      <c r="B2" s="1560" t="e">
        <f ca="1">ROUND(D2/10000,0)</f>
        <v>#DIV/0!</v>
      </c>
      <c r="C2" s="1561" t="s">
        <v>1556</v>
      </c>
      <c r="D2" s="1645" t="e">
        <f ca="1">C40+J29+L46</f>
        <v>#DIV/0!</v>
      </c>
      <c r="E2" s="1562" t="s">
        <v>1557</v>
      </c>
      <c r="F2" s="1563"/>
      <c r="G2" s="2916"/>
      <c r="H2" s="2905"/>
      <c r="I2" s="2905"/>
      <c r="J2" s="2905"/>
      <c r="K2" s="2906"/>
      <c r="L2" s="2905"/>
      <c r="M2" s="2905"/>
    </row>
    <row r="3" spans="1:37" ht="18" customHeight="1" thickBot="1">
      <c r="A3" s="1564" t="s">
        <v>1558</v>
      </c>
      <c r="B3" s="1565">
        <f ca="1">IF(ISERROR(D2/F43),0,ROUND(D2/F43,0))</f>
        <v>0</v>
      </c>
      <c r="C3" s="1561" t="s">
        <v>1559</v>
      </c>
      <c r="D3" s="1561"/>
      <c r="E3" s="1562"/>
      <c r="F3" s="1563"/>
      <c r="G3" s="2916"/>
      <c r="H3" s="690" t="s">
        <v>1553</v>
      </c>
      <c r="I3" s="1556"/>
      <c r="J3" s="1556"/>
      <c r="K3" s="1557"/>
      <c r="L3" s="1556"/>
      <c r="M3" s="1556"/>
    </row>
    <row r="4" spans="1:37" ht="18" customHeight="1">
      <c r="A4" s="301" t="s">
        <v>1560</v>
      </c>
      <c r="B4" s="302" t="s">
        <v>1561</v>
      </c>
      <c r="C4" s="302" t="s">
        <v>1562</v>
      </c>
      <c r="D4" s="302" t="s">
        <v>1563</v>
      </c>
      <c r="E4" s="303" t="s">
        <v>1564</v>
      </c>
      <c r="F4" s="304"/>
      <c r="G4" s="1558"/>
      <c r="H4" s="301" t="s">
        <v>1560</v>
      </c>
      <c r="I4" s="302" t="s">
        <v>1561</v>
      </c>
      <c r="J4" s="302" t="s">
        <v>1562</v>
      </c>
      <c r="K4" s="302" t="s">
        <v>1563</v>
      </c>
      <c r="L4" s="303" t="s">
        <v>1564</v>
      </c>
      <c r="M4" s="304"/>
    </row>
    <row r="5" spans="1:37" ht="18" customHeight="1">
      <c r="A5" s="305">
        <v>1</v>
      </c>
      <c r="B5" s="306" t="s">
        <v>1565</v>
      </c>
      <c r="C5" s="1193">
        <f ca="1">C6+C10+C12</f>
        <v>0</v>
      </c>
      <c r="D5" s="1538" t="s">
        <v>1566</v>
      </c>
      <c r="E5" s="1194"/>
      <c r="F5" s="1195"/>
      <c r="G5" s="1558"/>
      <c r="H5" s="305">
        <v>1</v>
      </c>
      <c r="I5" s="306" t="s">
        <v>1565</v>
      </c>
      <c r="J5" s="1193">
        <f ca="1">J6+J10+J12</f>
        <v>0</v>
      </c>
      <c r="K5" s="1538" t="s">
        <v>1566</v>
      </c>
      <c r="L5" s="1194"/>
      <c r="M5" s="1195"/>
    </row>
    <row r="6" spans="1:37" ht="18" customHeight="1">
      <c r="A6" s="1192" t="s">
        <v>1003</v>
      </c>
      <c r="B6" s="3430" t="s">
        <v>1368</v>
      </c>
      <c r="C6" s="1197">
        <f ca="1">ROUND(F6*F8*F7*(1-F9),0)</f>
        <v>0</v>
      </c>
      <c r="D6" s="160" t="s">
        <v>2831</v>
      </c>
      <c r="E6" s="308" t="s">
        <v>1370</v>
      </c>
      <c r="F6" s="309">
        <f ca="1">INDIRECT("'数据-取费表'!u"&amp;$G$1)</f>
        <v>0</v>
      </c>
      <c r="G6" s="1558"/>
      <c r="H6" s="1192" t="s">
        <v>1003</v>
      </c>
      <c r="I6" s="3430" t="s">
        <v>1368</v>
      </c>
      <c r="J6" s="307">
        <f ca="1">ROUND(M6*M8*M7*(1-M9),0)</f>
        <v>0</v>
      </c>
      <c r="K6" s="1550" t="s">
        <v>2832</v>
      </c>
      <c r="L6" s="308" t="s">
        <v>1370</v>
      </c>
      <c r="M6" s="309">
        <f ca="1">INDIRECT("'数据-取费表'!z"&amp;$G$1)</f>
        <v>0</v>
      </c>
    </row>
    <row r="7" spans="1:37" ht="18" customHeight="1">
      <c r="A7" s="1196"/>
      <c r="B7" s="3431"/>
      <c r="C7" s="1198"/>
      <c r="D7" s="313"/>
      <c r="E7" s="1199" t="s">
        <v>1371</v>
      </c>
      <c r="F7" s="309">
        <f ca="1">IF(INDIRECT("'数据-取费表'!ah"&amp;$G$1)="",INDIRECT("'数据-取费表'!k"&amp;$G$1),INDIRECT("'数据-取费表'!ah"&amp;$G$1))</f>
        <v>0</v>
      </c>
      <c r="G7" s="1558"/>
      <c r="H7" s="310"/>
      <c r="I7" s="3431"/>
      <c r="J7" s="312"/>
      <c r="K7" s="313"/>
      <c r="L7" s="308" t="s">
        <v>1371</v>
      </c>
      <c r="M7" s="309">
        <f ca="1">F7</f>
        <v>0</v>
      </c>
    </row>
    <row r="8" spans="1:37" ht="18" customHeight="1">
      <c r="A8" s="310"/>
      <c r="B8" s="3431"/>
      <c r="C8" s="312"/>
      <c r="D8" s="313"/>
      <c r="E8" s="308" t="s">
        <v>1372</v>
      </c>
      <c r="F8" s="309">
        <f ca="1">INDIRECT("'数据-取费表'!ai"&amp;$G$1)</f>
        <v>0</v>
      </c>
      <c r="G8" s="1558"/>
      <c r="H8" s="310"/>
      <c r="I8" s="3431"/>
      <c r="J8" s="312"/>
      <c r="K8" s="313"/>
      <c r="L8" s="308" t="s">
        <v>1372</v>
      </c>
      <c r="M8" s="309">
        <f ca="1">INDIRECT("'数据-取费表'!ai"&amp;$G$1)</f>
        <v>0</v>
      </c>
    </row>
    <row r="9" spans="1:37" ht="18" customHeight="1">
      <c r="A9" s="310"/>
      <c r="B9" s="3432"/>
      <c r="C9" s="312"/>
      <c r="D9" s="313"/>
      <c r="E9" s="308" t="s">
        <v>1373</v>
      </c>
      <c r="F9" s="318">
        <f ca="1">INDIRECT("'数据-取费表'!w"&amp;$G$1)</f>
        <v>0</v>
      </c>
      <c r="G9" s="1558"/>
      <c r="H9" s="310"/>
      <c r="I9" s="3432"/>
      <c r="J9" s="312"/>
      <c r="K9" s="313"/>
      <c r="L9" s="319" t="s">
        <v>1373</v>
      </c>
      <c r="M9" s="320">
        <f ca="1">INDIRECT("'数据-取费表'!ab"&amp;$G$1)</f>
        <v>0</v>
      </c>
    </row>
    <row r="10" spans="1:37" ht="18" customHeight="1">
      <c r="A10" s="1192" t="s">
        <v>1007</v>
      </c>
      <c r="B10" s="1539" t="s">
        <v>1374</v>
      </c>
      <c r="C10" s="322">
        <f ca="1">ROUND(IF(F10="押一",C6/12*F11,IF(F10="押二",C6/12*2*F11,IF(F10="押三",C6/12*3*F11,C11*F11))),0)</f>
        <v>0</v>
      </c>
      <c r="D10" s="1540" t="s">
        <v>2841</v>
      </c>
      <c r="E10" s="319" t="s">
        <v>1375</v>
      </c>
      <c r="F10" s="1267"/>
      <c r="G10" s="1558"/>
      <c r="H10" s="1192" t="s">
        <v>1007</v>
      </c>
      <c r="I10" s="1539" t="s">
        <v>1374</v>
      </c>
      <c r="J10" s="307">
        <f ca="1">ROUND(IF(M10="押一",J6/12*M11,IF(M10="押二",J6/12*2*M11,IF(M10="押三",J6/12*3*M11,J11*M11))),0)</f>
        <v>0</v>
      </c>
      <c r="K10" s="1551" t="s">
        <v>2843</v>
      </c>
      <c r="L10" s="319" t="s">
        <v>1375</v>
      </c>
      <c r="M10" s="1267"/>
    </row>
    <row r="11" spans="1:37" ht="18" customHeight="1">
      <c r="A11" s="314"/>
      <c r="B11" s="1541" t="s">
        <v>1567</v>
      </c>
      <c r="C11" s="1081"/>
      <c r="D11" s="313"/>
      <c r="E11" s="319" t="s">
        <v>1377</v>
      </c>
      <c r="F11" s="320">
        <f ca="1">'数据-取费表'!B39</f>
        <v>1.4999999999999999E-2</v>
      </c>
      <c r="G11" s="1558"/>
      <c r="H11" s="1200"/>
      <c r="I11" s="1541" t="s">
        <v>1568</v>
      </c>
      <c r="J11" s="1081"/>
      <c r="K11" s="691"/>
      <c r="L11" s="319" t="s">
        <v>1377</v>
      </c>
      <c r="M11" s="968">
        <f ca="1">'数据-取费表'!B39</f>
        <v>1.4999999999999999E-2</v>
      </c>
    </row>
    <row r="12" spans="1:37" ht="18" customHeight="1" thickBot="1">
      <c r="A12" s="1234" t="s">
        <v>1043</v>
      </c>
      <c r="B12" s="1543" t="s">
        <v>1378</v>
      </c>
      <c r="C12" s="1235"/>
      <c r="D12" s="1236"/>
      <c r="E12" s="1241"/>
      <c r="F12" s="1237"/>
      <c r="G12" s="1558"/>
      <c r="H12" s="1234" t="s">
        <v>1043</v>
      </c>
      <c r="I12" s="1543" t="s">
        <v>1378</v>
      </c>
      <c r="J12" s="1235"/>
      <c r="K12" s="1249"/>
      <c r="L12" s="1241"/>
      <c r="M12" s="1250"/>
    </row>
    <row r="13" spans="1:37" ht="18" customHeight="1" thickTop="1">
      <c r="A13" s="1230">
        <v>2</v>
      </c>
      <c r="B13" s="1231" t="s">
        <v>1379</v>
      </c>
      <c r="C13" s="316">
        <f ca="1">ROUND(C29*F13,0)</f>
        <v>0</v>
      </c>
      <c r="D13" s="1232" t="s">
        <v>1380</v>
      </c>
      <c r="E13" s="1232" t="s">
        <v>1381</v>
      </c>
      <c r="F13" s="1233">
        <f ca="1">INDIRECT("'数据-取费表'!y"&amp;$G$1)</f>
        <v>0</v>
      </c>
      <c r="G13" s="1558"/>
      <c r="H13" s="1230">
        <v>2</v>
      </c>
      <c r="I13" s="1231" t="s">
        <v>1379</v>
      </c>
      <c r="J13" s="1191">
        <f ca="1">ROUND(J14*J15,0)</f>
        <v>0</v>
      </c>
      <c r="K13" s="1238" t="s">
        <v>1380</v>
      </c>
      <c r="L13" s="1566"/>
      <c r="M13" s="1567"/>
    </row>
    <row r="14" spans="1:37" ht="18" customHeight="1">
      <c r="A14" s="1104" t="s">
        <v>1002</v>
      </c>
      <c r="B14" s="308" t="s">
        <v>1382</v>
      </c>
      <c r="C14" s="324">
        <f ca="1">ROUND(INDIRECT("'数据-取费表'!l"&amp;$G$1)*F43+'数据-取费表'!L14*INDIRECT("'数据-取费表'!S"&amp;$G$1),0)</f>
        <v>0</v>
      </c>
      <c r="D14" s="1519" t="s">
        <v>1383</v>
      </c>
      <c r="E14" s="1516"/>
      <c r="F14" s="325"/>
      <c r="G14" s="1558"/>
      <c r="H14" s="1104" t="s">
        <v>1003</v>
      </c>
      <c r="I14" s="308" t="s">
        <v>1384</v>
      </c>
      <c r="J14" s="24">
        <f ca="1">C29</f>
        <v>0</v>
      </c>
      <c r="K14" s="15"/>
      <c r="L14" s="913"/>
      <c r="M14" s="914"/>
    </row>
    <row r="15" spans="1:37" s="1571" customFormat="1" ht="18" customHeight="1" thickBot="1">
      <c r="A15" s="1104" t="s">
        <v>1004</v>
      </c>
      <c r="B15" s="308" t="s">
        <v>1385</v>
      </c>
      <c r="C15" s="24">
        <f ca="1">ROUND(C14*F15,0)</f>
        <v>0</v>
      </c>
      <c r="D15" s="326" t="s">
        <v>1386</v>
      </c>
      <c r="E15" s="326" t="s">
        <v>1387</v>
      </c>
      <c r="F15" s="327">
        <f>'数据-取费表'!B33</f>
        <v>0.03</v>
      </c>
      <c r="G15" s="1570"/>
      <c r="H15" s="1240" t="s">
        <v>1007</v>
      </c>
      <c r="I15" s="1241" t="s">
        <v>1381</v>
      </c>
      <c r="J15" s="1250">
        <f ca="1">INDIRECT("'数据-取费表'!ad"&amp;$G$1)</f>
        <v>0</v>
      </c>
      <c r="K15" s="1251"/>
      <c r="L15" s="1568"/>
      <c r="M15" s="1569"/>
      <c r="N15" s="1570"/>
      <c r="O15" s="1570"/>
      <c r="P15" s="1570"/>
      <c r="Q15" s="1570"/>
      <c r="R15" s="1570"/>
      <c r="S15" s="1570"/>
      <c r="T15" s="1570"/>
      <c r="U15" s="1570"/>
      <c r="V15" s="1570"/>
      <c r="W15" s="1570"/>
      <c r="X15" s="1570"/>
      <c r="Y15" s="1570"/>
      <c r="Z15" s="1570"/>
      <c r="AA15" s="1570"/>
      <c r="AB15" s="1570"/>
      <c r="AC15" s="1570"/>
      <c r="AD15" s="1570"/>
      <c r="AE15" s="1570"/>
      <c r="AF15" s="1570"/>
      <c r="AG15" s="1570"/>
      <c r="AH15" s="1570"/>
      <c r="AI15" s="1570"/>
      <c r="AJ15" s="1570"/>
      <c r="AK15" s="1570"/>
    </row>
    <row r="16" spans="1:37" ht="18" customHeight="1" thickTop="1">
      <c r="A16" s="1104" t="s">
        <v>1354</v>
      </c>
      <c r="B16" s="308" t="s">
        <v>1388</v>
      </c>
      <c r="C16" s="24">
        <f ca="1">ROUND(INDIRECT("'数据-取费表'!l"&amp;$G$1)*F43*F16,0)</f>
        <v>0</v>
      </c>
      <c r="D16" s="308" t="s">
        <v>1386</v>
      </c>
      <c r="E16" s="308" t="s">
        <v>1387</v>
      </c>
      <c r="F16" s="328">
        <f ca="1">IF(INDIRECT("'数据-取费表'!c"&amp;$G$1)="住宅",'数据-取费表'!B34,0)</f>
        <v>0</v>
      </c>
      <c r="G16" s="1558"/>
      <c r="H16" s="1230" t="s">
        <v>998</v>
      </c>
      <c r="I16" s="1231" t="s">
        <v>1389</v>
      </c>
      <c r="J16" s="316">
        <f ca="1">ROUND(J17+J22+J23+J24,0)</f>
        <v>0</v>
      </c>
      <c r="K16" s="1238" t="s">
        <v>1390</v>
      </c>
      <c r="L16" s="1239"/>
      <c r="M16" s="1195"/>
    </row>
    <row r="17" spans="1:37" s="1571" customFormat="1" ht="18" customHeight="1">
      <c r="A17" s="1104" t="s">
        <v>1355</v>
      </c>
      <c r="B17" s="308" t="s">
        <v>1391</v>
      </c>
      <c r="C17" s="24">
        <f ca="1">ROUND(F17*(F43+INDIRECT("'数据-取费表'!S"&amp;$G$1)),0)</f>
        <v>0</v>
      </c>
      <c r="D17" s="308" t="s">
        <v>1392</v>
      </c>
      <c r="E17" s="308" t="s">
        <v>1393</v>
      </c>
      <c r="F17" s="26">
        <f>'数据-取费表'!B35</f>
        <v>200</v>
      </c>
      <c r="G17" s="1570"/>
      <c r="H17" s="1104" t="s">
        <v>1003</v>
      </c>
      <c r="I17" s="308" t="s">
        <v>1394</v>
      </c>
      <c r="J17" s="2518">
        <f ca="1">ROUND(IF(AND(项目基本情况!B11="自然人",项目基本情况!B10="北京市"),J6*M17/(1+'数据-取费表'!C42),J18+J19+J20),0)</f>
        <v>0</v>
      </c>
      <c r="K17" s="1519" t="s">
        <v>1395</v>
      </c>
      <c r="L17" s="1518" t="s">
        <v>1396</v>
      </c>
      <c r="M17" s="2517">
        <f ca="1">IF(项目基本情况!B11="企业","",IF('数据-取费表'!B10="住宅",IF(M6*M7*M8/12/(1+'数据-取费表'!F30)&gt;100000,4%,2.5%),IF(M6*M7*M8/12/(1+'数据-取费表'!F30)&gt;100000,12%,7%)))</f>
        <v>7.0000000000000007E-2</v>
      </c>
      <c r="N17" s="1570"/>
      <c r="O17" s="1570"/>
      <c r="P17" s="1570"/>
      <c r="Q17" s="1570"/>
      <c r="R17" s="1570"/>
      <c r="S17" s="1570"/>
      <c r="T17" s="1570"/>
      <c r="U17" s="1570"/>
      <c r="V17" s="1570"/>
      <c r="W17" s="1570"/>
      <c r="X17" s="1570"/>
      <c r="Y17" s="1570"/>
      <c r="Z17" s="1570"/>
      <c r="AA17" s="1570"/>
      <c r="AB17" s="1570"/>
      <c r="AC17" s="1570"/>
      <c r="AD17" s="1570"/>
      <c r="AE17" s="1570"/>
      <c r="AF17" s="1570"/>
      <c r="AG17" s="1570"/>
      <c r="AH17" s="1570"/>
      <c r="AI17" s="1570"/>
      <c r="AJ17" s="1570"/>
      <c r="AK17" s="1570"/>
    </row>
    <row r="18" spans="1:37" s="1571" customFormat="1" ht="18" customHeight="1">
      <c r="A18" s="1104" t="s">
        <v>1356</v>
      </c>
      <c r="B18" s="308" t="s">
        <v>1397</v>
      </c>
      <c r="C18" s="24">
        <f ca="1">ROUND(C14*F18,0)</f>
        <v>0</v>
      </c>
      <c r="D18" s="308" t="s">
        <v>1386</v>
      </c>
      <c r="E18" s="308" t="s">
        <v>1387</v>
      </c>
      <c r="F18" s="328">
        <f>'数据-取费表'!B36</f>
        <v>1.4999999999999999E-2</v>
      </c>
      <c r="G18" s="1570"/>
      <c r="H18" s="1104" t="s">
        <v>1002</v>
      </c>
      <c r="I18" s="308" t="s">
        <v>1398</v>
      </c>
      <c r="J18" s="24">
        <f ca="1">ROUND(J6*M18/(1+'数据-取费表'!C42),0)</f>
        <v>0</v>
      </c>
      <c r="K18" s="1518" t="s">
        <v>1399</v>
      </c>
      <c r="L18" s="308" t="s">
        <v>1387</v>
      </c>
      <c r="M18" s="328">
        <f>'数据-取费表'!B41</f>
        <v>5.6000000000000001E-2</v>
      </c>
      <c r="N18" s="1570"/>
      <c r="O18" s="1570"/>
      <c r="P18" s="1570"/>
      <c r="Q18" s="1570"/>
      <c r="R18" s="1570"/>
      <c r="S18" s="1570"/>
      <c r="T18" s="1570"/>
      <c r="U18" s="1570"/>
      <c r="V18" s="1570"/>
      <c r="W18" s="1570"/>
      <c r="X18" s="1570"/>
      <c r="Y18" s="1570"/>
      <c r="Z18" s="1570"/>
      <c r="AA18" s="1570"/>
      <c r="AB18" s="1570"/>
      <c r="AC18" s="1570"/>
      <c r="AD18" s="1570"/>
      <c r="AE18" s="1570"/>
      <c r="AF18" s="1570"/>
      <c r="AG18" s="1570"/>
      <c r="AH18" s="1570"/>
      <c r="AI18" s="1570"/>
      <c r="AJ18" s="1570"/>
      <c r="AK18" s="1570"/>
    </row>
    <row r="19" spans="1:37" ht="18" customHeight="1">
      <c r="A19" s="1104" t="s">
        <v>1003</v>
      </c>
      <c r="B19" s="308" t="s">
        <v>1400</v>
      </c>
      <c r="C19" s="24">
        <f ca="1">SUM(C14:C18)</f>
        <v>0</v>
      </c>
      <c r="D19" s="136" t="s">
        <v>1401</v>
      </c>
      <c r="E19" s="1534"/>
      <c r="F19" s="26"/>
      <c r="G19" s="1558"/>
      <c r="H19" s="1104" t="s">
        <v>1004</v>
      </c>
      <c r="I19" s="308" t="s">
        <v>1402</v>
      </c>
      <c r="J19" s="24">
        <f ca="1">IF(K19="按租金收入计税",ROUND(J6*M19/(1+'数据-取费表'!C42),0),ROUND(C29*M19*0.7,0))</f>
        <v>0</v>
      </c>
      <c r="K19" s="1544" t="s">
        <v>1403</v>
      </c>
      <c r="L19" s="308" t="s">
        <v>1387</v>
      </c>
      <c r="M19" s="328">
        <f>IF(K19="按租金收入计税",'数据-取费表'!B51,'数据-取费表'!B50)</f>
        <v>1.2E-2</v>
      </c>
    </row>
    <row r="20" spans="1:37" s="1571" customFormat="1" ht="18" customHeight="1">
      <c r="A20" s="1104" t="s">
        <v>1007</v>
      </c>
      <c r="B20" s="308" t="s">
        <v>1404</v>
      </c>
      <c r="C20" s="24">
        <f ca="1">ROUND(C19*F20,0)</f>
        <v>0</v>
      </c>
      <c r="D20" s="329" t="s">
        <v>1405</v>
      </c>
      <c r="E20" s="308" t="s">
        <v>1387</v>
      </c>
      <c r="F20" s="328">
        <f>'数据-取费表'!B37</f>
        <v>0.02</v>
      </c>
      <c r="G20" s="1570"/>
      <c r="H20" s="1104" t="s">
        <v>1354</v>
      </c>
      <c r="I20" s="160" t="s">
        <v>1406</v>
      </c>
      <c r="J20" s="25">
        <f ca="1">ROUND(M20*M21,0)</f>
        <v>0</v>
      </c>
      <c r="K20" s="330" t="s">
        <v>1407</v>
      </c>
      <c r="L20" s="308" t="s">
        <v>1408</v>
      </c>
      <c r="M20" s="331">
        <f>'数据-取费表'!B52</f>
        <v>0</v>
      </c>
      <c r="N20" s="1570"/>
      <c r="O20" s="1570"/>
      <c r="P20" s="1570"/>
      <c r="Q20" s="1570"/>
      <c r="R20" s="1570"/>
      <c r="S20" s="1570"/>
      <c r="T20" s="1570"/>
      <c r="U20" s="1570"/>
      <c r="V20" s="1570"/>
      <c r="W20" s="1570"/>
      <c r="X20" s="1570"/>
      <c r="Y20" s="1570"/>
      <c r="Z20" s="1570"/>
      <c r="AA20" s="1570"/>
      <c r="AB20" s="1570"/>
      <c r="AC20" s="1570"/>
      <c r="AD20" s="1570"/>
      <c r="AE20" s="1570"/>
      <c r="AF20" s="1570"/>
      <c r="AG20" s="1570"/>
      <c r="AH20" s="1570"/>
      <c r="AI20" s="1570"/>
      <c r="AJ20" s="1570"/>
      <c r="AK20" s="1570"/>
    </row>
    <row r="21" spans="1:37" s="1571" customFormat="1" ht="18" customHeight="1">
      <c r="A21" s="1104" t="s">
        <v>1043</v>
      </c>
      <c r="B21" s="308" t="s">
        <v>1409</v>
      </c>
      <c r="C21" s="24" t="s">
        <v>1</v>
      </c>
      <c r="D21" s="329" t="s">
        <v>1410</v>
      </c>
      <c r="E21" s="308" t="s">
        <v>1411</v>
      </c>
      <c r="F21" s="328">
        <f>'数据-取费表'!B38</f>
        <v>0.02</v>
      </c>
      <c r="G21" s="1570"/>
      <c r="H21" s="332"/>
      <c r="I21" s="317"/>
      <c r="J21" s="29"/>
      <c r="K21" s="333"/>
      <c r="L21" s="308" t="s">
        <v>1412</v>
      </c>
      <c r="M21" s="309">
        <f ca="1">INDIRECT("'数据-取费表'!r"&amp;$G$1)</f>
        <v>0</v>
      </c>
      <c r="N21" s="1570"/>
      <c r="O21" s="1570"/>
      <c r="P21" s="1570"/>
      <c r="Q21" s="1570"/>
      <c r="R21" s="1570"/>
      <c r="S21" s="1570"/>
      <c r="T21" s="1570"/>
      <c r="U21" s="1570"/>
      <c r="V21" s="1570"/>
      <c r="W21" s="1570"/>
      <c r="X21" s="1570"/>
      <c r="Y21" s="1570"/>
      <c r="Z21" s="1570"/>
      <c r="AA21" s="1570"/>
      <c r="AB21" s="1570"/>
      <c r="AC21" s="1570"/>
      <c r="AD21" s="1570"/>
      <c r="AE21" s="1570"/>
      <c r="AF21" s="1570"/>
      <c r="AG21" s="1570"/>
      <c r="AH21" s="1570"/>
      <c r="AI21" s="1570"/>
      <c r="AJ21" s="1570"/>
      <c r="AK21" s="1570"/>
    </row>
    <row r="22" spans="1:37" ht="18" customHeight="1">
      <c r="A22" s="1104" t="s">
        <v>1357</v>
      </c>
      <c r="B22" s="308" t="s">
        <v>1413</v>
      </c>
      <c r="C22" s="24"/>
      <c r="D22" s="136" t="str">
        <f>IF(F23&lt;=1,"单利计息。","复利计息。")&amp;"建造成本、管理费用、销售费用产生的利息。"</f>
        <v>复利计息。建造成本、管理费用、销售费用产生的利息。</v>
      </c>
      <c r="E22" s="1534"/>
      <c r="F22" s="26"/>
      <c r="G22" s="1558"/>
      <c r="H22" s="1104" t="s">
        <v>1007</v>
      </c>
      <c r="I22" s="308" t="s">
        <v>1414</v>
      </c>
      <c r="J22" s="24">
        <f ca="1">ROUND(J14*M22,0)</f>
        <v>0</v>
      </c>
      <c r="K22" s="1518" t="s">
        <v>1415</v>
      </c>
      <c r="L22" s="308" t="s">
        <v>1387</v>
      </c>
      <c r="M22" s="334">
        <f ca="1">INDIRECT("'数据-取费表'!Ak"&amp;$G$1)</f>
        <v>0</v>
      </c>
    </row>
    <row r="23" spans="1:37" s="1571" customFormat="1" ht="18" customHeight="1">
      <c r="A23" s="1104" t="s">
        <v>1002</v>
      </c>
      <c r="B23" s="308" t="s">
        <v>1416</v>
      </c>
      <c r="C23" s="24">
        <f ca="1">IF('数据-取费表'!B22&lt;=1,ROUND(C19*F24*F23/2,0)+ROUND(C20*F24*F23/2,0),ROUND(C19*(POWER((1+F24),F23/2)-1),0)+ROUND(C20*(POWER((1+F24),F23/2)-1),0))</f>
        <v>0</v>
      </c>
      <c r="D23" s="335" t="str">
        <f>IF(F23&lt;=1,"(建造成本+管理费用)×利率×(建设周期÷2)","(建造成本+管理费用)×((1+利率)^(建设周期÷2)-1)")</f>
        <v>(建造成本+管理费用)×((1+利率)^(建设周期÷2)-1)</v>
      </c>
      <c r="E23" s="308" t="s">
        <v>1417</v>
      </c>
      <c r="F23" s="331">
        <f>'数据-取费表'!B20</f>
        <v>3</v>
      </c>
      <c r="G23" s="1570"/>
      <c r="H23" s="1104" t="s">
        <v>1043</v>
      </c>
      <c r="I23" s="308" t="s">
        <v>1418</v>
      </c>
      <c r="J23" s="24">
        <f ca="1">ROUND(J13*M23,0)</f>
        <v>0</v>
      </c>
      <c r="K23" s="1518" t="s">
        <v>1419</v>
      </c>
      <c r="L23" s="308" t="s">
        <v>1420</v>
      </c>
      <c r="M23" s="336">
        <f ca="1">INDIRECT("'数据-取费表'!Al"&amp;$G$1)</f>
        <v>0</v>
      </c>
      <c r="N23" s="1570"/>
      <c r="O23" s="1570"/>
      <c r="P23" s="1570"/>
      <c r="Q23" s="1570"/>
      <c r="R23" s="1570"/>
      <c r="S23" s="1570"/>
      <c r="T23" s="1570"/>
      <c r="U23" s="1570"/>
      <c r="V23" s="1570"/>
      <c r="W23" s="1570"/>
      <c r="X23" s="1570"/>
      <c r="Y23" s="1570"/>
      <c r="Z23" s="1570"/>
      <c r="AA23" s="1570"/>
      <c r="AB23" s="1570"/>
      <c r="AC23" s="1570"/>
      <c r="AD23" s="1570"/>
      <c r="AE23" s="1570"/>
      <c r="AF23" s="1570"/>
      <c r="AG23" s="1570"/>
      <c r="AH23" s="1570"/>
      <c r="AI23" s="1570"/>
      <c r="AJ23" s="1570"/>
      <c r="AK23" s="1570"/>
    </row>
    <row r="24" spans="1:37" s="1571" customFormat="1" ht="18" customHeight="1" thickBot="1">
      <c r="A24" s="1104" t="s">
        <v>1421</v>
      </c>
      <c r="B24" s="308" t="s">
        <v>1422</v>
      </c>
      <c r="C24" s="24">
        <f ca="1">ROUND(IF('数据-取费表'!B22&lt;=1,F21*F24*F23/2,F21*(POWER((1+F24),F23/2)-1)),4)</f>
        <v>1.4E-3</v>
      </c>
      <c r="D24" s="335" t="str">
        <f>IF(F23&lt;=1,"销售费用×利率×(建设周期÷2)","销售费用×((1+利率)^(建设周期÷2)-1)")</f>
        <v>销售费用×((1+利率)^(建设周期÷2)-1)</v>
      </c>
      <c r="E24" s="308" t="s">
        <v>1423</v>
      </c>
      <c r="F24" s="337">
        <f ca="1">'数据-取费表'!B40</f>
        <v>4.7500000000000001E-2</v>
      </c>
      <c r="G24" s="1570"/>
      <c r="H24" s="1240" t="s">
        <v>1358</v>
      </c>
      <c r="I24" s="1241" t="s">
        <v>1404</v>
      </c>
      <c r="J24" s="1242">
        <f ca="1">ROUND(J5*M24,0)</f>
        <v>0</v>
      </c>
      <c r="K24" s="1243" t="s">
        <v>1424</v>
      </c>
      <c r="L24" s="1241" t="s">
        <v>1420</v>
      </c>
      <c r="M24" s="1237">
        <f ca="1">INDIRECT("'数据-取费表'!Am"&amp;$G$1)</f>
        <v>0</v>
      </c>
      <c r="N24" s="1570"/>
      <c r="O24" s="1570"/>
      <c r="P24" s="1570"/>
      <c r="Q24" s="1570"/>
      <c r="R24" s="1570"/>
      <c r="S24" s="1570"/>
      <c r="T24" s="1570"/>
      <c r="U24" s="1570"/>
      <c r="V24" s="1570"/>
      <c r="W24" s="1570"/>
      <c r="X24" s="1570"/>
      <c r="Y24" s="1570"/>
      <c r="Z24" s="1570"/>
      <c r="AA24" s="1570"/>
      <c r="AB24" s="1570"/>
      <c r="AC24" s="1570"/>
      <c r="AD24" s="1570"/>
      <c r="AE24" s="1570"/>
      <c r="AF24" s="1570"/>
      <c r="AG24" s="1570"/>
      <c r="AH24" s="1570"/>
      <c r="AI24" s="1570"/>
      <c r="AJ24" s="1570"/>
      <c r="AK24" s="1570"/>
    </row>
    <row r="25" spans="1:37" ht="18" customHeight="1" thickTop="1">
      <c r="A25" s="1104" t="s">
        <v>1425</v>
      </c>
      <c r="B25" s="308" t="s">
        <v>1426</v>
      </c>
      <c r="C25" s="24"/>
      <c r="D25" s="136" t="s">
        <v>1427</v>
      </c>
      <c r="E25" s="1534"/>
      <c r="F25" s="26"/>
      <c r="G25" s="1558"/>
      <c r="H25" s="1230" t="s">
        <v>999</v>
      </c>
      <c r="I25" s="1245" t="s">
        <v>1428</v>
      </c>
      <c r="J25" s="316">
        <f ca="1">J5-J16</f>
        <v>0</v>
      </c>
      <c r="K25" s="1246" t="s">
        <v>1429</v>
      </c>
      <c r="L25" s="1247"/>
      <c r="M25" s="1248"/>
    </row>
    <row r="26" spans="1:37" ht="18" customHeight="1">
      <c r="A26" s="1104" t="s">
        <v>1002</v>
      </c>
      <c r="B26" s="308" t="s">
        <v>1430</v>
      </c>
      <c r="C26" s="24">
        <f ca="1">ROUND((C19+C20)*F26,0)</f>
        <v>0</v>
      </c>
      <c r="D26" s="329" t="s">
        <v>1431</v>
      </c>
      <c r="E26" s="319" t="s">
        <v>1432</v>
      </c>
      <c r="F26" s="318">
        <f ca="1">INDIRECT("'数据-取费表'!q"&amp;$G$1)</f>
        <v>0</v>
      </c>
      <c r="G26" s="1558"/>
      <c r="H26" s="305" t="s">
        <v>1000</v>
      </c>
      <c r="I26" s="306" t="s">
        <v>1433</v>
      </c>
      <c r="J26" s="307">
        <f ca="1">IF(J5&lt;&gt;0,ROUND(J25*(1-((1+M28)/(1+M26))^M27)/(M26-M28),0),0)</f>
        <v>0</v>
      </c>
      <c r="K26" s="330" t="s">
        <v>1434</v>
      </c>
      <c r="L26" s="308" t="s">
        <v>1435</v>
      </c>
      <c r="M26" s="318">
        <f ca="1">INDIRECT("'数据-取费表'!I"&amp;$G$1)</f>
        <v>0</v>
      </c>
    </row>
    <row r="27" spans="1:37" ht="18" customHeight="1">
      <c r="A27" s="1104" t="s">
        <v>1004</v>
      </c>
      <c r="B27" s="308" t="s">
        <v>1436</v>
      </c>
      <c r="C27" s="24">
        <f ca="1">ROUND(F21*F26,4)</f>
        <v>0</v>
      </c>
      <c r="D27" s="329" t="s">
        <v>1437</v>
      </c>
      <c r="E27" s="326"/>
      <c r="F27" s="327"/>
      <c r="G27" s="1558"/>
      <c r="H27" s="310"/>
      <c r="I27" s="311"/>
      <c r="J27" s="312"/>
      <c r="K27" s="338" t="s">
        <v>1438</v>
      </c>
      <c r="L27" s="308" t="s">
        <v>1439</v>
      </c>
      <c r="M27" s="339">
        <f ca="1">INDIRECT("'数据-取费表'!ag"&amp;$G$1)</f>
        <v>0</v>
      </c>
    </row>
    <row r="28" spans="1:37" s="1571" customFormat="1" ht="18" customHeight="1">
      <c r="A28" s="1104" t="s">
        <v>1005</v>
      </c>
      <c r="B28" s="308" t="s">
        <v>1440</v>
      </c>
      <c r="C28" s="24">
        <f>ROUND(F28/(1+'数据-取费表'!C42),4)</f>
        <v>5.33E-2</v>
      </c>
      <c r="D28" s="329" t="s">
        <v>1441</v>
      </c>
      <c r="E28" s="308" t="s">
        <v>1387</v>
      </c>
      <c r="F28" s="328">
        <f>'数据-取费表'!B41</f>
        <v>5.6000000000000001E-2</v>
      </c>
      <c r="G28" s="1570"/>
      <c r="H28" s="314"/>
      <c r="I28" s="315"/>
      <c r="J28" s="316"/>
      <c r="K28" s="333"/>
      <c r="L28" s="308" t="s">
        <v>1442</v>
      </c>
      <c r="M28" s="318">
        <f ca="1">INDIRECT("'数据-取费表'!aa"&amp;$G$1)</f>
        <v>0</v>
      </c>
      <c r="N28" s="1570"/>
      <c r="O28" s="1570"/>
      <c r="P28" s="1570"/>
      <c r="Q28" s="1570"/>
      <c r="R28" s="1570"/>
      <c r="S28" s="1570"/>
      <c r="T28" s="1570"/>
      <c r="U28" s="1570"/>
      <c r="V28" s="1570"/>
      <c r="W28" s="1570"/>
      <c r="X28" s="1570"/>
      <c r="Y28" s="1570"/>
      <c r="Z28" s="1570"/>
      <c r="AA28" s="1570"/>
      <c r="AB28" s="1570"/>
      <c r="AC28" s="1570"/>
      <c r="AD28" s="1570"/>
      <c r="AE28" s="1570"/>
      <c r="AF28" s="1570"/>
      <c r="AG28" s="1570"/>
      <c r="AH28" s="1570"/>
      <c r="AI28" s="1570"/>
      <c r="AJ28" s="1570"/>
      <c r="AK28" s="1570"/>
    </row>
    <row r="29" spans="1:37" s="1571" customFormat="1" ht="18" customHeight="1" thickBot="1">
      <c r="A29" s="1240" t="s">
        <v>1006</v>
      </c>
      <c r="B29" s="1241" t="s">
        <v>1443</v>
      </c>
      <c r="C29" s="1242">
        <f ca="1">ROUND((C19+C20+C23+C26)/(1-F21-C24-C27-C28),0)</f>
        <v>0</v>
      </c>
      <c r="D29" s="1243"/>
      <c r="E29" s="1241"/>
      <c r="F29" s="1244"/>
      <c r="G29" s="1570"/>
      <c r="H29" s="340" t="s">
        <v>1001</v>
      </c>
      <c r="I29" s="341" t="s">
        <v>1444</v>
      </c>
      <c r="J29" s="342">
        <f ca="1">ROUND(J26/(1+F40)^F41,0)</f>
        <v>0</v>
      </c>
      <c r="K29" s="343" t="s">
        <v>1445</v>
      </c>
      <c r="L29" s="344"/>
      <c r="M29" s="345">
        <f ca="1">INDIRECT("'数据-取费表'!k"&amp;$G$1)</f>
        <v>0</v>
      </c>
      <c r="N29" s="1570"/>
      <c r="O29" s="1570"/>
      <c r="P29" s="1570"/>
      <c r="Q29" s="1570"/>
      <c r="R29" s="1570"/>
      <c r="S29" s="1570"/>
      <c r="T29" s="1570"/>
      <c r="U29" s="1570"/>
      <c r="V29" s="1570"/>
      <c r="W29" s="1570"/>
      <c r="X29" s="1570"/>
      <c r="Y29" s="1570"/>
      <c r="Z29" s="1570"/>
      <c r="AA29" s="1570"/>
      <c r="AB29" s="1570"/>
      <c r="AC29" s="1570"/>
      <c r="AD29" s="1570"/>
      <c r="AE29" s="1570"/>
      <c r="AF29" s="1570"/>
      <c r="AG29" s="1570"/>
      <c r="AH29" s="1570"/>
      <c r="AI29" s="1570"/>
      <c r="AJ29" s="1570"/>
      <c r="AK29" s="1570"/>
    </row>
    <row r="30" spans="1:37" ht="18" customHeight="1" thickTop="1">
      <c r="A30" s="1230" t="s">
        <v>998</v>
      </c>
      <c r="B30" s="1231" t="s">
        <v>1389</v>
      </c>
      <c r="C30" s="316">
        <f ca="1">ROUND(C31+C36+C37+C38,0)</f>
        <v>0</v>
      </c>
      <c r="D30" s="1238" t="s">
        <v>1390</v>
      </c>
      <c r="E30" s="1239"/>
      <c r="F30" s="1195"/>
      <c r="G30" s="1558"/>
      <c r="H30" s="2907"/>
      <c r="I30" s="1572"/>
      <c r="J30" s="1573"/>
      <c r="K30" s="2683"/>
      <c r="L30" s="2908"/>
      <c r="M30" s="2909"/>
    </row>
    <row r="31" spans="1:37" ht="18" customHeight="1">
      <c r="A31" s="1104" t="s">
        <v>1003</v>
      </c>
      <c r="B31" s="308" t="s">
        <v>1394</v>
      </c>
      <c r="C31" s="2518">
        <f ca="1">ROUND(IF(AND(项目基本情况!B11="自然人",项目基本情况!B10="北京市"),C6*F31/(1+'数据-取费表'!C42),C32+C33+C34),0)</f>
        <v>0</v>
      </c>
      <c r="D31" s="1519" t="s">
        <v>1395</v>
      </c>
      <c r="E31" s="1518" t="s">
        <v>1446</v>
      </c>
      <c r="F31" s="2517">
        <f ca="1">IF(项目基本情况!B11="企业","——",IF('数据-取费表'!B10="住宅",IF(F6*F7*F8/12/(1+'数据-取费表'!F30)&gt;100000,4%,2.5%),IF(F6*F7*F8/12/(1+'数据-取费表'!F30)&gt;100000,12%,7%)))</f>
        <v>7.0000000000000007E-2</v>
      </c>
      <c r="G31" s="1558"/>
      <c r="H31" s="3019" t="s">
        <v>3038</v>
      </c>
      <c r="I31" s="1572"/>
      <c r="J31" s="1573"/>
      <c r="K31" s="2683"/>
      <c r="L31" s="2908"/>
      <c r="M31" s="2909"/>
    </row>
    <row r="32" spans="1:37" ht="18" customHeight="1">
      <c r="A32" s="1104" t="s">
        <v>1002</v>
      </c>
      <c r="B32" s="308" t="s">
        <v>1398</v>
      </c>
      <c r="C32" s="24">
        <f ca="1">IF(项目基本情况!B11="自然人","——",ROUND(C6*F32/(1+'数据-取费表'!C42),0))</f>
        <v>0</v>
      </c>
      <c r="D32" s="1518" t="s">
        <v>1399</v>
      </c>
      <c r="E32" s="308" t="s">
        <v>1387</v>
      </c>
      <c r="F32" s="337">
        <f>'数据-取费表'!B41</f>
        <v>5.6000000000000001E-2</v>
      </c>
      <c r="G32" s="1558"/>
      <c r="H32" s="2907"/>
      <c r="I32" s="1572"/>
      <c r="J32" s="1573"/>
      <c r="K32" s="2683"/>
      <c r="L32" s="2908"/>
      <c r="M32" s="2909"/>
    </row>
    <row r="33" spans="1:18" ht="18" customHeight="1">
      <c r="A33" s="1104" t="s">
        <v>1004</v>
      </c>
      <c r="B33" s="308" t="s">
        <v>1402</v>
      </c>
      <c r="C33" s="24">
        <f ca="1">IF(项目基本情况!B11="自然人","——",IF(D33="按租金收入计税",ROUND(C6*F33/(1+'数据-取费表'!C42),0),IF(D33="按房产原值计税",ROUND(C29*F33*0.7,0),INDIRECT("'数据-取费表'!Aj"&amp;$G$1))))</f>
        <v>0</v>
      </c>
      <c r="D33" s="1544" t="s">
        <v>1403</v>
      </c>
      <c r="E33" s="308" t="s">
        <v>1387</v>
      </c>
      <c r="F33" s="328">
        <f>IF(D33="按票据","——",IF(D33="按租金收入计税",'数据-取费表'!B51,'数据-取费表'!B50))</f>
        <v>1.2E-2</v>
      </c>
      <c r="G33" s="1558"/>
      <c r="H33" s="2910"/>
      <c r="I33" s="1572"/>
      <c r="J33" s="1573"/>
      <c r="K33" s="2911"/>
      <c r="L33" s="2910"/>
      <c r="M33" s="2910"/>
    </row>
    <row r="34" spans="1:18" ht="18" customHeight="1">
      <c r="A34" s="1192" t="s">
        <v>1354</v>
      </c>
      <c r="B34" s="160" t="s">
        <v>1406</v>
      </c>
      <c r="C34" s="25">
        <f ca="1">IF(项目基本情况!B11="自然人","——",ROUND(F34*F35,))</f>
        <v>0</v>
      </c>
      <c r="D34" s="330" t="s">
        <v>1407</v>
      </c>
      <c r="E34" s="308" t="s">
        <v>1408</v>
      </c>
      <c r="F34" s="331">
        <f>'数据-取费表'!B52</f>
        <v>0</v>
      </c>
      <c r="G34" s="1558"/>
      <c r="H34" s="2907"/>
      <c r="I34" s="1572"/>
      <c r="J34" s="1573"/>
      <c r="K34" s="2912"/>
      <c r="L34" s="2913"/>
      <c r="M34" s="2913"/>
    </row>
    <row r="35" spans="1:18" ht="18" customHeight="1">
      <c r="A35" s="1254"/>
      <c r="B35" s="1252"/>
      <c r="C35" s="29"/>
      <c r="D35" s="333"/>
      <c r="E35" s="308" t="s">
        <v>1412</v>
      </c>
      <c r="F35" s="309">
        <f ca="1">INDIRECT("'数据-取费表'!r"&amp;$G$1)</f>
        <v>0</v>
      </c>
      <c r="G35" s="1558"/>
      <c r="H35" s="2907"/>
      <c r="I35" s="1572"/>
      <c r="J35" s="1573"/>
      <c r="K35" s="2911"/>
      <c r="L35" s="2910"/>
      <c r="M35" s="2910"/>
    </row>
    <row r="36" spans="1:18" ht="18" customHeight="1">
      <c r="A36" s="1253" t="s">
        <v>1007</v>
      </c>
      <c r="B36" s="308" t="s">
        <v>1414</v>
      </c>
      <c r="C36" s="24">
        <f ca="1">ROUND(C29*F36,0)</f>
        <v>0</v>
      </c>
      <c r="D36" s="1518" t="s">
        <v>1447</v>
      </c>
      <c r="E36" s="308" t="s">
        <v>1387</v>
      </c>
      <c r="F36" s="334">
        <f ca="1">INDIRECT("'数据-取费表'!Ak"&amp;$G$1)</f>
        <v>0</v>
      </c>
      <c r="G36" s="1558"/>
      <c r="H36" s="2910"/>
      <c r="I36" s="1572"/>
      <c r="J36" s="1573"/>
      <c r="K36" s="2752"/>
      <c r="L36" s="2910"/>
      <c r="M36" s="2910"/>
    </row>
    <row r="37" spans="1:18" ht="18" customHeight="1">
      <c r="A37" s="1104" t="s">
        <v>1043</v>
      </c>
      <c r="B37" s="308" t="s">
        <v>1418</v>
      </c>
      <c r="C37" s="24">
        <f ca="1">ROUND(C13*F37,0)</f>
        <v>0</v>
      </c>
      <c r="D37" s="1518" t="s">
        <v>1419</v>
      </c>
      <c r="E37" s="308" t="s">
        <v>1420</v>
      </c>
      <c r="F37" s="336">
        <f ca="1">INDIRECT("'数据-取费表'!Al"&amp;$G$1)</f>
        <v>0</v>
      </c>
      <c r="G37" s="1558"/>
      <c r="H37" s="2910"/>
      <c r="I37" s="1572"/>
      <c r="J37" s="1573"/>
      <c r="K37" s="2752"/>
      <c r="L37" s="2910"/>
      <c r="M37" s="2910"/>
    </row>
    <row r="38" spans="1:18" ht="18" customHeight="1" thickBot="1">
      <c r="A38" s="1240" t="s">
        <v>1358</v>
      </c>
      <c r="B38" s="1241" t="s">
        <v>1404</v>
      </c>
      <c r="C38" s="1242">
        <f ca="1">ROUND(C5*F38,1)</f>
        <v>0</v>
      </c>
      <c r="D38" s="1243" t="s">
        <v>1424</v>
      </c>
      <c r="E38" s="1241" t="s">
        <v>1420</v>
      </c>
      <c r="F38" s="1237">
        <f ca="1">INDIRECT("'数据-取费表'!Am"&amp;$G$1)</f>
        <v>0</v>
      </c>
      <c r="G38" s="1558"/>
      <c r="H38" s="2910"/>
      <c r="I38" s="1572"/>
      <c r="J38" s="1573"/>
      <c r="K38" s="2914"/>
      <c r="L38" s="2910"/>
      <c r="M38" s="2910"/>
    </row>
    <row r="39" spans="1:18" ht="24.6" customHeight="1" thickTop="1">
      <c r="A39" s="1230" t="s">
        <v>999</v>
      </c>
      <c r="B39" s="1245" t="s">
        <v>1448</v>
      </c>
      <c r="C39" s="316">
        <f ca="1">C5-C30</f>
        <v>0</v>
      </c>
      <c r="D39" s="1246" t="s">
        <v>1449</v>
      </c>
      <c r="E39" s="1247"/>
      <c r="F39" s="1248"/>
      <c r="G39" s="1558"/>
      <c r="H39" s="2910"/>
      <c r="I39" s="1572"/>
      <c r="J39" s="1573"/>
      <c r="K39" s="2914"/>
      <c r="L39" s="2910"/>
      <c r="M39" s="2910"/>
    </row>
    <row r="40" spans="1:18" ht="18" customHeight="1">
      <c r="A40" s="305" t="s">
        <v>1000</v>
      </c>
      <c r="B40" s="306" t="s">
        <v>1450</v>
      </c>
      <c r="C40" s="307" t="e">
        <f ca="1">ROUND(C39*(1-((1+F42)/(1+F40))^F41)/(F40-F42),0)</f>
        <v>#DIV/0!</v>
      </c>
      <c r="D40" s="330" t="s">
        <v>1434</v>
      </c>
      <c r="E40" s="308" t="s">
        <v>1435</v>
      </c>
      <c r="F40" s="318">
        <f ca="1">INDIRECT("'数据-取费表'!I"&amp;$G$1)</f>
        <v>0</v>
      </c>
      <c r="G40" s="1558"/>
      <c r="H40" s="1635"/>
      <c r="I40" s="1572"/>
      <c r="J40" s="1573"/>
      <c r="K40" s="2914"/>
      <c r="L40" s="1635"/>
      <c r="M40" s="1635"/>
    </row>
    <row r="41" spans="1:18" ht="18" customHeight="1">
      <c r="A41" s="310"/>
      <c r="B41" s="311"/>
      <c r="C41" s="312"/>
      <c r="D41" s="338" t="s">
        <v>1451</v>
      </c>
      <c r="E41" s="308" t="s">
        <v>1439</v>
      </c>
      <c r="F41" s="339">
        <f ca="1">IF(INDIRECT("'数据-取费表'!af"&amp;$G$1)=0,INDIRECT("'数据-取费表'!ae"&amp;$G$1),INDIRECT("'数据-取费表'!af"&amp;$G$1))</f>
        <v>0</v>
      </c>
      <c r="G41" s="1558"/>
      <c r="H41" s="1341"/>
      <c r="I41" s="1572"/>
      <c r="J41" s="1573"/>
      <c r="K41" s="2752"/>
      <c r="L41" s="1341"/>
      <c r="M41" s="1341"/>
    </row>
    <row r="42" spans="1:18" ht="18" customHeight="1">
      <c r="A42" s="314"/>
      <c r="B42" s="315"/>
      <c r="C42" s="316"/>
      <c r="D42" s="333"/>
      <c r="E42" s="308" t="s">
        <v>1442</v>
      </c>
      <c r="F42" s="318">
        <f ca="1">INDIRECT("'数据-取费表'!v"&amp;$G$1)</f>
        <v>0</v>
      </c>
      <c r="G42" s="1558"/>
      <c r="H42" s="1341"/>
      <c r="I42" s="1572"/>
      <c r="J42" s="1573"/>
      <c r="K42" s="2752"/>
      <c r="L42" s="1341"/>
      <c r="M42" s="1341"/>
    </row>
    <row r="43" spans="1:18" ht="18" customHeight="1" thickBot="1">
      <c r="A43" s="340" t="s">
        <v>1001</v>
      </c>
      <c r="B43" s="341" t="s">
        <v>1452</v>
      </c>
      <c r="C43" s="342" t="e">
        <f ca="1">ROUND(C40/F43,0)</f>
        <v>#DIV/0!</v>
      </c>
      <c r="D43" s="343" t="s">
        <v>1453</v>
      </c>
      <c r="E43" s="344" t="s">
        <v>1454</v>
      </c>
      <c r="F43" s="345">
        <f ca="1">INDIRECT("'数据-取费表'!k"&amp;$G$1)</f>
        <v>0</v>
      </c>
      <c r="G43" s="1558"/>
      <c r="H43" s="1341"/>
      <c r="I43" s="1341"/>
      <c r="J43" s="1341"/>
      <c r="K43" s="2752"/>
      <c r="L43" s="1341"/>
      <c r="M43" s="1341"/>
    </row>
    <row r="44" spans="1:18" s="1558" customFormat="1" ht="18" customHeight="1">
      <c r="A44" s="1574"/>
      <c r="B44" s="1574"/>
      <c r="C44" s="1575"/>
      <c r="D44" s="1574"/>
      <c r="E44" s="1574"/>
      <c r="F44" s="1574"/>
      <c r="K44" s="1576"/>
    </row>
    <row r="45" spans="1:18" s="1558" customFormat="1" ht="18" customHeight="1" thickBot="1">
      <c r="A45" s="1574"/>
      <c r="B45" s="1574"/>
      <c r="C45" s="1646" t="e">
        <f ca="1">C68-C40</f>
        <v>#DIV/0!</v>
      </c>
      <c r="D45" s="1647" t="s">
        <v>1569</v>
      </c>
      <c r="E45" s="1574"/>
      <c r="F45" s="1574"/>
      <c r="O45" s="1577" t="s">
        <v>1484</v>
      </c>
      <c r="P45" s="1635"/>
      <c r="Q45" s="1635"/>
      <c r="R45" s="1635"/>
    </row>
    <row r="46" spans="1:18" s="1558" customFormat="1" ht="13.5" thickBot="1">
      <c r="A46" s="1578" t="s">
        <v>1485</v>
      </c>
      <c r="C46" s="1579" t="e">
        <f ca="1">ROUND(C45/10000,0)</f>
        <v>#DIV/0!</v>
      </c>
      <c r="D46" s="1580" t="str">
        <f>C2</f>
        <v>万元</v>
      </c>
      <c r="I46" s="1581" t="s">
        <v>1486</v>
      </c>
      <c r="J46" s="1582"/>
      <c r="K46" s="1583"/>
      <c r="L46" s="1584" t="e">
        <f ca="1">IF(M47="住宅",0,IF(L48&gt;J51,L60,J60))</f>
        <v>#DIV/0!</v>
      </c>
      <c r="O46" s="1585" t="s">
        <v>1487</v>
      </c>
      <c r="P46" s="1586" t="s">
        <v>1488</v>
      </c>
      <c r="Q46" s="1587" t="s">
        <v>1489</v>
      </c>
      <c r="R46" s="1587" t="s">
        <v>1490</v>
      </c>
    </row>
    <row r="47" spans="1:18" s="1558" customFormat="1" ht="13.5" thickBot="1">
      <c r="A47" s="1068" t="s">
        <v>1361</v>
      </c>
      <c r="B47" s="1100" t="s">
        <v>1362</v>
      </c>
      <c r="C47" s="1100" t="s">
        <v>1363</v>
      </c>
      <c r="D47" s="1100" t="s">
        <v>1364</v>
      </c>
      <c r="E47" s="1180" t="s">
        <v>1365</v>
      </c>
      <c r="F47" s="1181"/>
      <c r="G47" s="728"/>
      <c r="I47" s="1588" t="s">
        <v>1491</v>
      </c>
      <c r="J47" s="1589"/>
      <c r="K47" s="1590" t="s">
        <v>1492</v>
      </c>
      <c r="L47" s="1591">
        <f ca="1">INDIRECT("'数据-取费表'!d"&amp;$G$1)</f>
        <v>0</v>
      </c>
      <c r="M47" s="1554" t="str">
        <f>IF(ISNUMBER(FIND("住宅",C1)),"住宅","非住宅")</f>
        <v>非住宅</v>
      </c>
      <c r="O47" s="1592" t="s">
        <v>1008</v>
      </c>
      <c r="P47" s="1593" t="s">
        <v>1493</v>
      </c>
      <c r="Q47" s="1594" t="e">
        <f ca="1">C40+J29</f>
        <v>#DIV/0!</v>
      </c>
      <c r="R47" s="1594" t="s">
        <v>1494</v>
      </c>
    </row>
    <row r="48" spans="1:18" s="1558" customFormat="1" ht="28.5" thickBot="1">
      <c r="A48" s="1261" t="s">
        <v>1103</v>
      </c>
      <c r="B48" s="306" t="s">
        <v>1366</v>
      </c>
      <c r="C48" s="1533">
        <f ca="1">C49+C53+C55</f>
        <v>0</v>
      </c>
      <c r="D48" s="1263"/>
      <c r="E48" s="1264"/>
      <c r="F48" s="1084"/>
      <c r="G48" s="728"/>
      <c r="H48" s="729"/>
      <c r="I48" s="1595" t="s">
        <v>1495</v>
      </c>
      <c r="J48" s="1596"/>
      <c r="K48" s="1597" t="s">
        <v>1496</v>
      </c>
      <c r="L48" s="1598">
        <f ca="1">INDIRECT("'数据-取费表'!f"&amp;$G$1)</f>
        <v>0</v>
      </c>
      <c r="O48" s="1592" t="s">
        <v>1009</v>
      </c>
      <c r="P48" s="1593" t="s">
        <v>1497</v>
      </c>
      <c r="Q48" s="1594" t="e">
        <f ca="1">J60</f>
        <v>#DIV/0!</v>
      </c>
      <c r="R48" s="1594" t="s">
        <v>1498</v>
      </c>
    </row>
    <row r="49" spans="1:18" s="1558" customFormat="1" ht="13.5" thickBot="1">
      <c r="A49" s="1097" t="s">
        <v>1104</v>
      </c>
      <c r="B49" s="1545" t="s">
        <v>1455</v>
      </c>
      <c r="C49" s="1265">
        <f ca="1">ROUND(F49*F51*F50*(1-F52),0)</f>
        <v>0</v>
      </c>
      <c r="D49" s="1177" t="s">
        <v>1369</v>
      </c>
      <c r="E49" s="1546" t="s">
        <v>1456</v>
      </c>
      <c r="F49" s="1182"/>
      <c r="G49" s="1599"/>
      <c r="H49" s="729"/>
      <c r="I49" s="1595" t="s">
        <v>1499</v>
      </c>
      <c r="J49" s="1600"/>
      <c r="K49" s="1597" t="s">
        <v>1500</v>
      </c>
      <c r="L49" s="1601"/>
      <c r="O49" s="1602" t="s">
        <v>1010</v>
      </c>
      <c r="P49" s="1593" t="s">
        <v>1501</v>
      </c>
      <c r="Q49" s="1594">
        <f ca="1">C29</f>
        <v>0</v>
      </c>
      <c r="R49" s="1594" t="s">
        <v>1494</v>
      </c>
    </row>
    <row r="50" spans="1:18" s="1558" customFormat="1" ht="13.5" thickBot="1">
      <c r="A50" s="1098"/>
      <c r="B50" s="1101"/>
      <c r="C50" s="1102"/>
      <c r="D50" s="1075"/>
      <c r="E50" s="1178" t="s">
        <v>1371</v>
      </c>
      <c r="F50" s="1179">
        <f ca="1">F7</f>
        <v>0</v>
      </c>
      <c r="H50" s="729"/>
      <c r="I50" s="1595" t="s">
        <v>1502</v>
      </c>
      <c r="J50" s="1603">
        <f>SUMPRODUCT((I63:I65=J47)*(J62:L62=J48)*(J63:L65))</f>
        <v>0</v>
      </c>
      <c r="K50" s="1597" t="s">
        <v>1503</v>
      </c>
      <c r="L50" s="1601"/>
      <c r="M50" s="1604"/>
      <c r="O50" s="1602" t="s">
        <v>1011</v>
      </c>
      <c r="P50" s="1593" t="s">
        <v>1504</v>
      </c>
      <c r="Q50" s="1605" t="e">
        <f ca="1">J58</f>
        <v>#DIV/0!</v>
      </c>
      <c r="R50" s="1594"/>
    </row>
    <row r="51" spans="1:18" s="1558" customFormat="1" ht="13.5" thickBot="1">
      <c r="A51" s="1099"/>
      <c r="B51" s="1101"/>
      <c r="C51" s="1102"/>
      <c r="D51" s="1075"/>
      <c r="E51" s="1103" t="s">
        <v>1372</v>
      </c>
      <c r="F51" s="309">
        <f ca="1">F8</f>
        <v>0</v>
      </c>
      <c r="I51" s="1606" t="s">
        <v>1505</v>
      </c>
      <c r="J51" s="1607">
        <f>IF(J49="",J50,J49+J50-YEAR('数据-取费表'!B2))</f>
        <v>0</v>
      </c>
      <c r="K51" s="1608" t="s">
        <v>1506</v>
      </c>
      <c r="L51" s="1609">
        <f ca="1">ROUND(-PV(INDIRECT("'数据-取费表'!h"&amp;$G$1),J51,(C39-C13*C76),0),0)</f>
        <v>0</v>
      </c>
      <c r="M51" s="1610"/>
      <c r="O51" s="1602" t="s">
        <v>1012</v>
      </c>
      <c r="P51" s="1593" t="s">
        <v>1507</v>
      </c>
      <c r="Q51" s="1605">
        <f>J52</f>
        <v>0</v>
      </c>
      <c r="R51" s="1594"/>
    </row>
    <row r="52" spans="1:18" s="1558" customFormat="1" ht="13.5" thickBot="1">
      <c r="A52" s="1099"/>
      <c r="B52" s="1101"/>
      <c r="C52" s="1102"/>
      <c r="D52" s="1075"/>
      <c r="E52" s="1103" t="s">
        <v>1373</v>
      </c>
      <c r="F52" s="1176"/>
      <c r="I52" s="1611" t="s">
        <v>1508</v>
      </c>
      <c r="J52" s="1612"/>
      <c r="K52" s="1611" t="s">
        <v>1509</v>
      </c>
      <c r="L52" s="1612"/>
      <c r="O52" s="1602" t="s">
        <v>1013</v>
      </c>
      <c r="P52" s="1593" t="s">
        <v>1510</v>
      </c>
      <c r="Q52" s="1594">
        <f ca="1">J53</f>
        <v>0</v>
      </c>
      <c r="R52" s="1594" t="s">
        <v>1511</v>
      </c>
    </row>
    <row r="53" spans="1:18" s="1558" customFormat="1" ht="30.75" customHeight="1" thickBot="1">
      <c r="A53" s="1262" t="s">
        <v>1105</v>
      </c>
      <c r="B53" s="329" t="s">
        <v>1374</v>
      </c>
      <c r="C53" s="322">
        <f ca="1">ROUND(IF(F53="押一",C49/12*F11,IF(F53="押二",C49/12*2*F11,IF(F53="押三",C49/12*3*F11,C54*F11))),0)</f>
        <v>0</v>
      </c>
      <c r="D53" s="1540" t="s">
        <v>2844</v>
      </c>
      <c r="E53" s="319" t="s">
        <v>1375</v>
      </c>
      <c r="F53" s="1267"/>
      <c r="I53" s="1613" t="s">
        <v>1512</v>
      </c>
      <c r="J53" s="2370">
        <f ca="1">IF(M47="住宅",IF(D1="——",MAX(J51,L48),MAX(J51,L48-'数据-取费表'!B24)),IF(D1="——",MIN(J51,L48),MIN(J51,L48-'数据-取费表'!B24)))</f>
        <v>0</v>
      </c>
      <c r="K53" s="3428" t="s">
        <v>1513</v>
      </c>
      <c r="L53" s="3429"/>
      <c r="O53" s="1592" t="s">
        <v>1014</v>
      </c>
      <c r="P53" s="1593" t="s">
        <v>1514</v>
      </c>
      <c r="Q53" s="1594" t="e">
        <f ca="1">Q47+Q48</f>
        <v>#DIV/0!</v>
      </c>
      <c r="R53" s="1594" t="s">
        <v>1015</v>
      </c>
    </row>
    <row r="54" spans="1:18" s="1558" customFormat="1" ht="13.5" thickBot="1">
      <c r="A54" s="1097"/>
      <c r="B54" s="1648" t="s">
        <v>1568</v>
      </c>
      <c r="C54" s="1081"/>
      <c r="D54" s="1540"/>
      <c r="E54" s="1548"/>
      <c r="F54" s="1614"/>
      <c r="I54" s="1615"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616"/>
      <c r="K54" s="1616"/>
      <c r="L54" s="1616"/>
      <c r="M54" s="1599"/>
      <c r="O54" s="1577" t="s">
        <v>1515</v>
      </c>
      <c r="P54" s="1555"/>
      <c r="Q54" s="1555"/>
      <c r="R54" s="1555"/>
    </row>
    <row r="55" spans="1:18" s="1558" customFormat="1" ht="13.5" thickBot="1">
      <c r="A55" s="1234" t="s">
        <v>1043</v>
      </c>
      <c r="B55" s="1543" t="s">
        <v>1378</v>
      </c>
      <c r="C55" s="1235"/>
      <c r="D55" s="1540"/>
      <c r="E55" s="1548"/>
      <c r="F55" s="1614"/>
      <c r="I55" s="1617" t="s">
        <v>1516</v>
      </c>
      <c r="J55" s="1618" t="e">
        <f ca="1">ROUND(IF(J47="钢混",J57/J50,1-(1-2%)*(J50-J57)/J50),3)</f>
        <v>#DIV/0!</v>
      </c>
      <c r="K55" s="1619" t="s">
        <v>1517</v>
      </c>
      <c r="L55" s="1620"/>
      <c r="O55" s="1585" t="s">
        <v>1487</v>
      </c>
      <c r="P55" s="1586" t="s">
        <v>1488</v>
      </c>
      <c r="Q55" s="1587" t="s">
        <v>1489</v>
      </c>
      <c r="R55" s="1587" t="s">
        <v>1490</v>
      </c>
    </row>
    <row r="56" spans="1:18" s="1558" customFormat="1" ht="36" customHeight="1" thickTop="1" thickBot="1">
      <c r="A56" s="1079">
        <v>2</v>
      </c>
      <c r="B56" s="1080" t="s">
        <v>1379</v>
      </c>
      <c r="C56" s="238">
        <f ca="1">C13</f>
        <v>0</v>
      </c>
      <c r="D56" s="1621"/>
      <c r="E56" s="1622"/>
      <c r="F56" s="1614"/>
      <c r="I56" s="1623" t="s">
        <v>1519</v>
      </c>
      <c r="J56" s="1624"/>
      <c r="K56" s="1595" t="s">
        <v>1520</v>
      </c>
      <c r="L56" s="1598">
        <f ca="1">IF(L48&lt;J51,"——",L48-J51)</f>
        <v>0</v>
      </c>
      <c r="O56" s="1592" t="s">
        <v>1008</v>
      </c>
      <c r="P56" s="1593" t="s">
        <v>1493</v>
      </c>
      <c r="Q56" s="1594" t="e">
        <f ca="1">C40+J29</f>
        <v>#DIV/0!</v>
      </c>
      <c r="R56" s="1594" t="s">
        <v>1494</v>
      </c>
    </row>
    <row r="57" spans="1:18" s="1558" customFormat="1" ht="24.75" thickBot="1">
      <c r="A57" s="1625"/>
      <c r="B57" s="1072" t="s">
        <v>1443</v>
      </c>
      <c r="C57" s="244">
        <f ca="1">C29</f>
        <v>0</v>
      </c>
      <c r="D57" s="1626"/>
      <c r="E57" s="1627"/>
      <c r="F57" s="1628"/>
      <c r="I57" s="1629" t="s">
        <v>1521</v>
      </c>
      <c r="J57" s="1630">
        <f ca="1">IF(OR(M47="住宅",J51&lt;L48,J56="是"),"——",J51-L48)</f>
        <v>0</v>
      </c>
      <c r="K57" s="1595" t="s">
        <v>1570</v>
      </c>
      <c r="L57" s="1598">
        <f ca="1">IF(L48&lt;J51,"——",IF(L55="比较法",L49,IF(L55="基准地价",L50,L51)))</f>
        <v>0</v>
      </c>
      <c r="O57" s="1592" t="s">
        <v>1009</v>
      </c>
      <c r="P57" s="1593" t="s">
        <v>1571</v>
      </c>
      <c r="Q57" s="1594" t="e">
        <f ca="1">L60</f>
        <v>#DIV/0!</v>
      </c>
      <c r="R57" s="1594" t="s">
        <v>1572</v>
      </c>
    </row>
    <row r="58" spans="1:18" s="1558" customFormat="1" ht="24.75" thickBot="1">
      <c r="A58" s="321" t="s">
        <v>998</v>
      </c>
      <c r="B58" s="1080" t="s">
        <v>1389</v>
      </c>
      <c r="C58" s="322">
        <f ca="1">ROUND(C59+C64+C65+C66,0)</f>
        <v>0</v>
      </c>
      <c r="D58" s="1082" t="s">
        <v>1390</v>
      </c>
      <c r="E58" s="1083"/>
      <c r="F58" s="1084"/>
      <c r="I58" s="1629" t="s">
        <v>1525</v>
      </c>
      <c r="J58" s="1631" t="e">
        <f ca="1">IF(J55&lt;0.4,0.4,J55)</f>
        <v>#DIV/0!</v>
      </c>
      <c r="K58" s="1608" t="s">
        <v>1573</v>
      </c>
      <c r="L58" s="1598" t="e">
        <f ca="1">ROUND(POWER(1+L52,L47-L48)*(POWER(1+L52,L48)-1)/(POWER(1+L52,L47)-1),4)</f>
        <v>#DIV/0!</v>
      </c>
      <c r="O58" s="1602" t="s">
        <v>1010</v>
      </c>
      <c r="P58" s="1593" t="s">
        <v>1527</v>
      </c>
      <c r="Q58" s="1594">
        <f>IF(L55="比较法",L49,IF(L55="基准地价",L50,0))</f>
        <v>0</v>
      </c>
      <c r="R58" s="1594" t="s">
        <v>1494</v>
      </c>
    </row>
    <row r="59" spans="1:18" s="1558" customFormat="1" ht="24.75" thickBot="1">
      <c r="A59" s="1104" t="s">
        <v>1003</v>
      </c>
      <c r="B59" s="1072" t="s">
        <v>1394</v>
      </c>
      <c r="C59" s="2518">
        <f ca="1">ROUND(IF(AND(项目基本情况!B11="自然人",项目基本情况!B10="北京市"),C49*F59/(1+'数据-取费表'!C42),C60+C61+C62),0)</f>
        <v>0</v>
      </c>
      <c r="D59" s="1085" t="s">
        <v>1395</v>
      </c>
      <c r="E59" s="1086" t="s">
        <v>1396</v>
      </c>
      <c r="F59" s="2517">
        <f ca="1">IF(项目基本情况!B11="企业","——",IF('数据-取费表'!B10="住宅",IF(F49*F50*F51/12/(1+'数据-取费表'!F30)&gt;100000,4%,2.5%),IF(F49*F50*F51/12/(1+'数据-取费表'!F30)&gt;100000,12%,7%)))</f>
        <v>7.0000000000000007E-2</v>
      </c>
      <c r="I59" s="1629" t="s">
        <v>1528</v>
      </c>
      <c r="J59" s="1630" t="e">
        <f ca="1">IF(OR(M47="住宅",J51&lt;L48,J56="是"),"——",ROUND(C29*J58,0))</f>
        <v>#DIV/0!</v>
      </c>
      <c r="K59" s="1595" t="str">
        <f>IF(D1="——","建筑物剩余耐用年限下的土地年期修正系数Kn",IF(D1="在建（套用方法）","续建工期及建筑物耐用年限下的土地年期修正系数Kn","建设期及建筑物耐用年限下的土地年期修正系数Kn"))</f>
        <v>建设期及建筑物耐用年限下的土地年期修正系数Kn</v>
      </c>
      <c r="L59" s="1598" t="e">
        <f ca="1">ROUND(IF(D1="在建（套用方法）",M59,IF(D1="土地（套用方法）",N59,POWER(1+L52,L47-J51)*(POWER(1+L52,J51)-1)/(POWER(1+L52,L47)-1))),4)</f>
        <v>#DIV/0!</v>
      </c>
      <c r="M59" s="1555" t="e">
        <f ca="1">ROUND(POWER(1+L52,L47-(J51+'数据-取费表'!B24))*(POWER(1+L52,(J51+'数据-取费表'!B24))-1)/(POWER(1+L52,L47)-1),4)</f>
        <v>#DIV/0!</v>
      </c>
      <c r="N59" s="1555" t="e">
        <f ca="1">ROUND(POWER(1+L52,L47-(J51+'数据-取费表'!B20))*(POWER(1+L52,(J51+'数据-取费表'!B20))-1)/(POWER(1+L52,L47)-1),4)</f>
        <v>#DIV/0!</v>
      </c>
      <c r="O59" s="1602" t="s">
        <v>1011</v>
      </c>
      <c r="P59" s="1593" t="s">
        <v>1529</v>
      </c>
      <c r="Q59" s="1605">
        <f>L52</f>
        <v>0</v>
      </c>
      <c r="R59" s="1594"/>
    </row>
    <row r="60" spans="1:18" s="1558" customFormat="1" ht="16.5" thickBot="1">
      <c r="A60" s="1104" t="s">
        <v>1002</v>
      </c>
      <c r="B60" s="1072" t="s">
        <v>1398</v>
      </c>
      <c r="C60" s="24">
        <f ca="1">IF(项目基本情况!B11="自然人","——",ROUND(C48*F60/(1+'数据-取费表'!C42),0))</f>
        <v>0</v>
      </c>
      <c r="D60" s="1086" t="s">
        <v>1399</v>
      </c>
      <c r="E60" s="1072" t="s">
        <v>1387</v>
      </c>
      <c r="F60" s="337">
        <f t="shared" ref="F60:F66" si="0">F32</f>
        <v>5.6000000000000001E-2</v>
      </c>
      <c r="I60" s="1632" t="s">
        <v>1530</v>
      </c>
      <c r="J60" s="1633" t="e">
        <f ca="1">IF(OR(M47="住宅",J51&lt;L48,J56="是"),"0",ROUND(J59/(1+J52)^J53,0))</f>
        <v>#DIV/0!</v>
      </c>
      <c r="K60" s="1634" t="s">
        <v>1531</v>
      </c>
      <c r="L60" s="1633" t="e">
        <f ca="1">IF(OR(M47="住宅",L48&lt;J51),0,ROUND(L57*(L58/L59-1),0))</f>
        <v>#DIV/0!</v>
      </c>
      <c r="O60" s="1602" t="s">
        <v>1012</v>
      </c>
      <c r="P60" s="1593" t="s">
        <v>1532</v>
      </c>
      <c r="Q60" s="1594" t="e">
        <f ca="1">L58</f>
        <v>#DIV/0!</v>
      </c>
      <c r="R60" s="1594" t="s">
        <v>1533</v>
      </c>
    </row>
    <row r="61" spans="1:18" s="1558" customFormat="1" ht="13.5" thickBot="1">
      <c r="A61" s="1104" t="s">
        <v>1457</v>
      </c>
      <c r="B61" s="1072" t="s">
        <v>1458</v>
      </c>
      <c r="C61" s="24">
        <f ca="1">IF(项目基本情况!B11="自然人","——",IF(D61="按租金收入计税",ROUND(C48*F61,0),IF(D61="按房产原值计税",ROUND(C57*F61*0.7,0),INDIRECT("'数据-取费表'!Aj"&amp;$G$1))))</f>
        <v>0</v>
      </c>
      <c r="D61" s="1544" t="s">
        <v>1403</v>
      </c>
      <c r="E61" s="1072" t="s">
        <v>1459</v>
      </c>
      <c r="F61" s="328">
        <f t="shared" si="0"/>
        <v>1.2E-2</v>
      </c>
      <c r="I61" s="1635"/>
      <c r="J61" s="1635"/>
      <c r="K61" s="1635"/>
      <c r="L61" s="1635"/>
      <c r="O61" s="1602" t="s">
        <v>1013</v>
      </c>
      <c r="P61" s="1593" t="str">
        <f>K59</f>
        <v>建设期及建筑物耐用年限下的土地年期修正系数Kn</v>
      </c>
      <c r="Q61" s="1594" t="e">
        <f ca="1">L59</f>
        <v>#DIV/0!</v>
      </c>
      <c r="R61" s="1594" t="s">
        <v>1534</v>
      </c>
    </row>
    <row r="62" spans="1:18" s="1558" customFormat="1" ht="13.5" thickBot="1">
      <c r="A62" s="1104" t="s">
        <v>1460</v>
      </c>
      <c r="B62" s="1071" t="s">
        <v>1461</v>
      </c>
      <c r="C62" s="25">
        <f ca="1">IF(项目基本情况!B11="自然人","——",ROUND(F62*F63,0))</f>
        <v>0</v>
      </c>
      <c r="D62" s="1087" t="s">
        <v>1462</v>
      </c>
      <c r="E62" s="1072" t="s">
        <v>1463</v>
      </c>
      <c r="F62" s="331">
        <f t="shared" si="0"/>
        <v>0</v>
      </c>
      <c r="I62" s="1636" t="s">
        <v>1535</v>
      </c>
      <c r="J62" s="1637" t="s">
        <v>1536</v>
      </c>
      <c r="K62" s="1637" t="s">
        <v>1537</v>
      </c>
      <c r="L62" s="1637" t="s">
        <v>1538</v>
      </c>
      <c r="M62" s="1638" t="s">
        <v>1539</v>
      </c>
      <c r="O62" s="1592" t="s">
        <v>1014</v>
      </c>
      <c r="P62" s="1593" t="s">
        <v>1540</v>
      </c>
      <c r="Q62" s="1594" t="e">
        <f ca="1">Q56+Q57</f>
        <v>#DIV/0!</v>
      </c>
      <c r="R62" s="1594" t="s">
        <v>1015</v>
      </c>
    </row>
    <row r="63" spans="1:18" s="1558" customFormat="1" ht="13.5" thickBot="1">
      <c r="A63" s="332"/>
      <c r="B63" s="1078"/>
      <c r="C63" s="29"/>
      <c r="D63" s="1088"/>
      <c r="E63" s="1072" t="s">
        <v>1464</v>
      </c>
      <c r="F63" s="309">
        <f t="shared" ca="1" si="0"/>
        <v>0</v>
      </c>
      <c r="I63" s="1636" t="s">
        <v>1541</v>
      </c>
      <c r="J63" s="1637">
        <v>70</v>
      </c>
      <c r="K63" s="1637">
        <v>50</v>
      </c>
      <c r="L63" s="1637">
        <v>80</v>
      </c>
      <c r="M63" s="1639">
        <v>0.02</v>
      </c>
      <c r="O63" s="1577" t="s">
        <v>1542</v>
      </c>
      <c r="P63" s="1555"/>
      <c r="Q63" s="1555"/>
      <c r="R63" s="1555"/>
    </row>
    <row r="64" spans="1:18" s="1558" customFormat="1" ht="13.5" thickBot="1">
      <c r="A64" s="1104" t="s">
        <v>1465</v>
      </c>
      <c r="B64" s="1072" t="s">
        <v>1466</v>
      </c>
      <c r="C64" s="24">
        <f ca="1">ROUND(C57*F64,0)</f>
        <v>0</v>
      </c>
      <c r="D64" s="1086" t="s">
        <v>1467</v>
      </c>
      <c r="E64" s="1072" t="s">
        <v>1459</v>
      </c>
      <c r="F64" s="334">
        <f t="shared" ca="1" si="0"/>
        <v>0</v>
      </c>
      <c r="I64" s="1636" t="s">
        <v>1543</v>
      </c>
      <c r="J64" s="1637">
        <v>50</v>
      </c>
      <c r="K64" s="1637">
        <v>35</v>
      </c>
      <c r="L64" s="1637">
        <v>60</v>
      </c>
      <c r="M64" s="1638">
        <v>0</v>
      </c>
      <c r="O64" s="1585" t="s">
        <v>1487</v>
      </c>
      <c r="P64" s="1586" t="s">
        <v>1488</v>
      </c>
      <c r="Q64" s="1587" t="s">
        <v>1489</v>
      </c>
      <c r="R64" s="1587" t="s">
        <v>1490</v>
      </c>
    </row>
    <row r="65" spans="1:18" s="1558" customFormat="1" ht="13.5" thickBot="1">
      <c r="A65" s="1104" t="s">
        <v>1468</v>
      </c>
      <c r="B65" s="1072" t="s">
        <v>1418</v>
      </c>
      <c r="C65" s="24">
        <f ca="1">ROUND(C56*F65,0)</f>
        <v>0</v>
      </c>
      <c r="D65" s="1086" t="s">
        <v>1419</v>
      </c>
      <c r="E65" s="1072" t="s">
        <v>1420</v>
      </c>
      <c r="F65" s="336">
        <f t="shared" ca="1" si="0"/>
        <v>0</v>
      </c>
      <c r="I65" s="1636" t="s">
        <v>1544</v>
      </c>
      <c r="J65" s="1637">
        <v>40</v>
      </c>
      <c r="K65" s="1637">
        <v>30</v>
      </c>
      <c r="L65" s="1637">
        <v>50</v>
      </c>
      <c r="M65" s="1639">
        <v>0.02</v>
      </c>
      <c r="O65" s="1592" t="s">
        <v>1008</v>
      </c>
      <c r="P65" s="1593" t="s">
        <v>1545</v>
      </c>
      <c r="Q65" s="1594" t="e">
        <f ca="1">C40+J29</f>
        <v>#DIV/0!</v>
      </c>
      <c r="R65" s="1594" t="s">
        <v>1494</v>
      </c>
    </row>
    <row r="66" spans="1:18" s="1558" customFormat="1" ht="16.5" thickBot="1">
      <c r="A66" s="1104" t="s">
        <v>1469</v>
      </c>
      <c r="B66" s="1072" t="s">
        <v>1404</v>
      </c>
      <c r="C66" s="24">
        <f ca="1">ROUND(C48*F66,0)</f>
        <v>0</v>
      </c>
      <c r="D66" s="1086" t="s">
        <v>1470</v>
      </c>
      <c r="E66" s="1072" t="s">
        <v>1387</v>
      </c>
      <c r="F66" s="318">
        <f t="shared" ca="1" si="0"/>
        <v>0</v>
      </c>
      <c r="O66" s="1592" t="s">
        <v>1009</v>
      </c>
      <c r="P66" s="1593" t="s">
        <v>1523</v>
      </c>
      <c r="Q66" s="1594" t="e">
        <f ca="1">L60</f>
        <v>#DIV/0!</v>
      </c>
      <c r="R66" s="1594" t="s">
        <v>1546</v>
      </c>
    </row>
    <row r="67" spans="1:18" s="1558" customFormat="1" ht="16.5" thickBot="1">
      <c r="A67" s="1079" t="s">
        <v>999</v>
      </c>
      <c r="B67" s="1089" t="s">
        <v>1428</v>
      </c>
      <c r="C67" s="322">
        <f ca="1">C48-C58</f>
        <v>0</v>
      </c>
      <c r="D67" s="1085" t="s">
        <v>1429</v>
      </c>
      <c r="E67" s="1090"/>
      <c r="F67" s="1091"/>
      <c r="O67" s="1602" t="s">
        <v>1010</v>
      </c>
      <c r="P67" s="1593" t="s">
        <v>1527</v>
      </c>
      <c r="Q67" s="1640">
        <f ca="1">L51</f>
        <v>0</v>
      </c>
      <c r="R67" s="1594" t="s">
        <v>1547</v>
      </c>
    </row>
    <row r="68" spans="1:18" s="1558" customFormat="1" ht="16.5" thickBot="1">
      <c r="A68" s="1069" t="s">
        <v>1000</v>
      </c>
      <c r="B68" s="1070" t="s">
        <v>1450</v>
      </c>
      <c r="C68" s="307" t="e">
        <f ca="1">ROUND(C67*(1-((1+F70)/(1+F68))^F69)/(F68-F70),0)</f>
        <v>#DIV/0!</v>
      </c>
      <c r="D68" s="1087" t="s">
        <v>1434</v>
      </c>
      <c r="E68" s="1072" t="s">
        <v>1435</v>
      </c>
      <c r="F68" s="318">
        <f ca="1">F40</f>
        <v>0</v>
      </c>
      <c r="O68" s="1602" t="s">
        <v>1011</v>
      </c>
      <c r="P68" s="1641" t="s">
        <v>1548</v>
      </c>
      <c r="Q68" s="1594">
        <f ca="1">ROUND(Q69-Q70*Q71,0)</f>
        <v>0</v>
      </c>
      <c r="R68" s="1594" t="s">
        <v>1019</v>
      </c>
    </row>
    <row r="69" spans="1:18" s="1558" customFormat="1" ht="13.5" thickBot="1">
      <c r="A69" s="1073"/>
      <c r="B69" s="1074"/>
      <c r="C69" s="312"/>
      <c r="D69" s="1092" t="s">
        <v>1438</v>
      </c>
      <c r="E69" s="1072" t="s">
        <v>1439</v>
      </c>
      <c r="F69" s="339">
        <f ca="1">F41</f>
        <v>0</v>
      </c>
      <c r="O69" s="1602" t="s">
        <v>1016</v>
      </c>
      <c r="P69" s="1641" t="s">
        <v>1549</v>
      </c>
      <c r="Q69" s="1594">
        <f ca="1">C39</f>
        <v>0</v>
      </c>
      <c r="R69" s="1594" t="s">
        <v>1494</v>
      </c>
    </row>
    <row r="70" spans="1:18" s="1558" customFormat="1" ht="13.5" thickBot="1">
      <c r="A70" s="1076"/>
      <c r="B70" s="1077"/>
      <c r="C70" s="316"/>
      <c r="D70" s="1088"/>
      <c r="E70" s="1072" t="s">
        <v>1442</v>
      </c>
      <c r="F70" s="1176">
        <f ca="1">F42</f>
        <v>0</v>
      </c>
      <c r="O70" s="1602" t="s">
        <v>1017</v>
      </c>
      <c r="P70" s="1641" t="s">
        <v>1550</v>
      </c>
      <c r="Q70" s="1594">
        <f ca="1">C13</f>
        <v>0</v>
      </c>
      <c r="R70" s="1594" t="s">
        <v>1494</v>
      </c>
    </row>
    <row r="71" spans="1:18" s="1558" customFormat="1" ht="13.5" thickBot="1">
      <c r="A71" s="1093" t="s">
        <v>1001</v>
      </c>
      <c r="B71" s="1094" t="s">
        <v>1452</v>
      </c>
      <c r="C71" s="342" t="e">
        <f ca="1">ROUND(C68/F71,0)</f>
        <v>#DIV/0!</v>
      </c>
      <c r="D71" s="1095" t="s">
        <v>1453</v>
      </c>
      <c r="E71" s="1096" t="s">
        <v>1454</v>
      </c>
      <c r="F71" s="345">
        <f ca="1">F43</f>
        <v>0</v>
      </c>
      <c r="O71" s="1602" t="s">
        <v>1018</v>
      </c>
      <c r="P71" s="1641" t="s">
        <v>1551</v>
      </c>
      <c r="Q71" s="1605">
        <f ca="1">C76</f>
        <v>0</v>
      </c>
      <c r="R71" s="1594"/>
    </row>
    <row r="72" spans="1:18" s="1558" customFormat="1" ht="13.5" thickBot="1">
      <c r="B72" s="732"/>
      <c r="C72" s="732"/>
      <c r="O72" s="1602" t="s">
        <v>1012</v>
      </c>
      <c r="P72" s="1593" t="s">
        <v>1529</v>
      </c>
      <c r="Q72" s="1605">
        <f>L52</f>
        <v>0</v>
      </c>
      <c r="R72" s="1594"/>
    </row>
    <row r="73" spans="1:18" ht="16.5" thickBot="1">
      <c r="A73" s="1558"/>
      <c r="B73" s="732"/>
      <c r="C73" s="732"/>
      <c r="D73" s="1558"/>
      <c r="E73" s="1558"/>
      <c r="F73" s="1558"/>
      <c r="O73" s="1602" t="s">
        <v>1013</v>
      </c>
      <c r="P73" s="1593" t="s">
        <v>1532</v>
      </c>
      <c r="Q73" s="1594" t="e">
        <f ca="1">L58</f>
        <v>#DIV/0!</v>
      </c>
      <c r="R73" s="1594" t="s">
        <v>1533</v>
      </c>
    </row>
    <row r="74" spans="1:18" ht="13.5" thickBot="1">
      <c r="A74" s="1558"/>
      <c r="B74" s="279" t="s">
        <v>1552</v>
      </c>
      <c r="C74" s="1643"/>
      <c r="D74" s="1558"/>
      <c r="E74" s="1558"/>
      <c r="F74" s="1558"/>
      <c r="O74" s="1602" t="s">
        <v>1020</v>
      </c>
      <c r="P74" s="1593" t="str">
        <f>K59</f>
        <v>建设期及建筑物耐用年限下的土地年期修正系数Kn</v>
      </c>
      <c r="Q74" s="1594" t="e">
        <f ca="1">L59</f>
        <v>#DIV/0!</v>
      </c>
      <c r="R74" s="1594" t="s">
        <v>1534</v>
      </c>
    </row>
    <row r="75" spans="1:18" ht="13.5" thickBot="1">
      <c r="A75" s="1558"/>
      <c r="B75" s="346" t="s">
        <v>1471</v>
      </c>
      <c r="C75" s="347">
        <f ca="1">ROUND(C13*C76,0)</f>
        <v>0</v>
      </c>
      <c r="D75" s="1558"/>
      <c r="E75" s="1558"/>
      <c r="F75" s="1558"/>
      <c r="K75" s="1576"/>
      <c r="L75" s="1558"/>
      <c r="O75" s="1592" t="s">
        <v>1014</v>
      </c>
      <c r="P75" s="1593" t="s">
        <v>1514</v>
      </c>
      <c r="Q75" s="1594" t="e">
        <f ca="1">Q65+Q66</f>
        <v>#DIV/0!</v>
      </c>
      <c r="R75" s="1594" t="s">
        <v>1015</v>
      </c>
    </row>
    <row r="76" spans="1:18">
      <c r="B76" s="348" t="s">
        <v>1472</v>
      </c>
      <c r="C76" s="349">
        <f ca="1">INDIRECT("'数据-取费表'!j"&amp;$G$1)</f>
        <v>0</v>
      </c>
      <c r="I76" s="1558"/>
      <c r="J76" s="1558"/>
      <c r="K76" s="1576"/>
      <c r="L76" s="1558"/>
    </row>
    <row r="77" spans="1:18">
      <c r="B77" s="350" t="s">
        <v>1473</v>
      </c>
      <c r="C77" s="351"/>
      <c r="I77" s="1558"/>
      <c r="J77" s="1558"/>
      <c r="K77" s="1576"/>
      <c r="L77" s="1558"/>
    </row>
    <row r="78" spans="1:18">
      <c r="B78" s="276" t="s">
        <v>1474</v>
      </c>
      <c r="C78" s="352"/>
    </row>
    <row r="79" spans="1:18">
      <c r="B79" s="346" t="s">
        <v>1475</v>
      </c>
      <c r="C79" s="280" t="e">
        <f ca="1">1-C80</f>
        <v>#DIV/0!</v>
      </c>
    </row>
    <row r="80" spans="1:18">
      <c r="B80" s="346" t="s">
        <v>1476</v>
      </c>
      <c r="C80" s="280" t="e">
        <f ca="1">ROUND(C75/C39,3)</f>
        <v>#DIV/0!</v>
      </c>
    </row>
    <row r="81" spans="2:3">
      <c r="B81" s="276" t="s">
        <v>1477</v>
      </c>
      <c r="C81" s="244"/>
    </row>
    <row r="82" spans="2:3">
      <c r="B82" s="279" t="s">
        <v>1478</v>
      </c>
      <c r="C82" s="281" t="e">
        <f ca="1">1-C83</f>
        <v>#DIV/0!</v>
      </c>
    </row>
    <row r="83" spans="2:3">
      <c r="B83" s="279" t="s">
        <v>1479</v>
      </c>
      <c r="C83" s="280" t="e">
        <f ca="1">ROUND(C13/C40,3)</f>
        <v>#DIV/0!</v>
      </c>
    </row>
  </sheetData>
  <sheetProtection password="CEE9" sheet="1" objects="1" scenarios="1" formatCells="0" formatColumns="0" formatRows="0"/>
  <mergeCells count="3">
    <mergeCell ref="B6:B9"/>
    <mergeCell ref="I6:I9"/>
    <mergeCell ref="K53:L53"/>
  </mergeCells>
  <phoneticPr fontId="143" type="noConversion"/>
  <conditionalFormatting sqref="K55 K60">
    <cfRule type="expression" dxfId="137" priority="4">
      <formula>$L$48&gt;$J$51</formula>
    </cfRule>
  </conditionalFormatting>
  <conditionalFormatting sqref="I55 I60">
    <cfRule type="expression" dxfId="136" priority="5">
      <formula>$J$51&gt;$L$48</formula>
    </cfRule>
  </conditionalFormatting>
  <conditionalFormatting sqref="C11">
    <cfRule type="expression" dxfId="135" priority="3">
      <formula>$F$10="自定义"</formula>
    </cfRule>
  </conditionalFormatting>
  <conditionalFormatting sqref="J11">
    <cfRule type="expression" dxfId="134" priority="2">
      <formula>$M$10="自定义"</formula>
    </cfRule>
  </conditionalFormatting>
  <conditionalFormatting sqref="C54">
    <cfRule type="expression" dxfId="133" priority="1">
      <formula>$F$53="自定义"</formula>
    </cfRule>
  </conditionalFormatting>
  <dataValidations count="9">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 type="list" allowBlank="1" showInputMessage="1" showErrorMessage="1" sqref="F10 F53 M10">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V31"/>
  <sheetViews>
    <sheetView view="pageBreakPreview" zoomScaleNormal="100" zoomScaleSheetLayoutView="100" workbookViewId="0">
      <selection activeCell="Q10" sqref="Q10"/>
    </sheetView>
  </sheetViews>
  <sheetFormatPr defaultColWidth="9" defaultRowHeight="14.25"/>
  <cols>
    <col min="1" max="1" width="23.625" style="1652" customWidth="1"/>
    <col min="2" max="2" width="12" style="1652" customWidth="1"/>
    <col min="3" max="3" width="9" style="1652"/>
    <col min="4" max="4" width="14.125" style="1652" customWidth="1"/>
    <col min="5" max="5" width="9" style="1652"/>
    <col min="6" max="6" width="12.875" style="1652" customWidth="1"/>
    <col min="7" max="16384" width="9" style="1652"/>
  </cols>
  <sheetData>
    <row r="1" spans="1:22" ht="21">
      <c r="A1" s="2040" t="s">
        <v>2341</v>
      </c>
      <c r="B1" s="2041"/>
      <c r="C1" s="2041"/>
      <c r="D1" s="2041"/>
      <c r="E1" s="2042"/>
      <c r="F1" s="2917"/>
      <c r="G1" s="1664"/>
      <c r="H1" s="1664"/>
      <c r="I1" s="1664"/>
      <c r="J1" s="1664"/>
      <c r="K1" s="1664"/>
      <c r="L1" s="1664"/>
      <c r="M1" s="1664"/>
      <c r="N1" s="1664"/>
      <c r="O1" s="1664"/>
      <c r="P1" s="1664"/>
      <c r="Q1" s="1664"/>
      <c r="R1" s="1664"/>
      <c r="S1" s="1664"/>
    </row>
    <row r="2" spans="1:22" ht="15.75">
      <c r="A2" s="2043" t="s">
        <v>2147</v>
      </c>
      <c r="B2" s="2044">
        <f ca="1">SUMIF(B6:B13,"&lt;&gt;#ref!",B6:B13)</f>
        <v>24262</v>
      </c>
      <c r="C2" s="2045" t="s">
        <v>2334</v>
      </c>
      <c r="D2" s="2046" t="s">
        <v>2335</v>
      </c>
      <c r="E2" s="2815">
        <f>SUM(E6:E13)</f>
        <v>29932.760000000009</v>
      </c>
      <c r="F2" s="2917"/>
      <c r="G2" s="1664"/>
      <c r="H2" s="1664"/>
      <c r="I2" s="1664"/>
      <c r="J2" s="1664"/>
      <c r="K2" s="1664"/>
      <c r="L2" s="1664"/>
      <c r="M2" s="1664"/>
      <c r="N2" s="1664"/>
      <c r="O2" s="1664"/>
      <c r="P2" s="1664"/>
      <c r="Q2" s="1664"/>
      <c r="R2" s="1664"/>
      <c r="S2" s="1664"/>
    </row>
    <row r="3" spans="1:22" ht="15.75">
      <c r="A3" s="2043" t="s">
        <v>1360</v>
      </c>
      <c r="B3" s="2809">
        <f ca="1">ROUND(B2*10000/E2,0)</f>
        <v>8106</v>
      </c>
      <c r="C3" s="2045" t="s">
        <v>2342</v>
      </c>
      <c r="D3" s="2919"/>
      <c r="E3" s="2921"/>
      <c r="F3" s="2917"/>
      <c r="G3" s="1664"/>
      <c r="H3" s="1664"/>
      <c r="I3" s="1664"/>
      <c r="J3" s="1664"/>
      <c r="K3" s="1664"/>
      <c r="L3" s="1664"/>
      <c r="M3" s="1664"/>
      <c r="N3" s="1664"/>
      <c r="O3" s="1664"/>
      <c r="P3" s="1664"/>
      <c r="Q3" s="1664"/>
      <c r="R3" s="1664"/>
      <c r="S3" s="1664"/>
    </row>
    <row r="4" spans="1:22" ht="15.75">
      <c r="A4" s="2922"/>
      <c r="B4" s="2919"/>
      <c r="C4" s="2919"/>
      <c r="D4" s="2919"/>
      <c r="E4" s="2921"/>
      <c r="F4" s="2917"/>
      <c r="G4" s="1664"/>
      <c r="H4" s="1664"/>
      <c r="I4" s="1664"/>
      <c r="J4" s="1664"/>
      <c r="K4" s="1664"/>
      <c r="L4" s="1664"/>
      <c r="M4" s="1664"/>
      <c r="N4" s="1664"/>
      <c r="O4" s="1664"/>
      <c r="P4" s="1664"/>
      <c r="Q4" s="1664"/>
      <c r="R4" s="1664"/>
      <c r="S4" s="1664"/>
    </row>
    <row r="5" spans="1:22" ht="15">
      <c r="A5" s="2811" t="s">
        <v>2336</v>
      </c>
      <c r="B5" s="3433" t="s">
        <v>2337</v>
      </c>
      <c r="C5" s="3434"/>
      <c r="D5" s="2918"/>
      <c r="E5" s="2047" t="s">
        <v>2338</v>
      </c>
      <c r="F5" s="2048" t="s">
        <v>2339</v>
      </c>
      <c r="G5" s="1664"/>
      <c r="H5" s="1664"/>
      <c r="I5" s="1664"/>
      <c r="J5" s="1664"/>
      <c r="K5" s="1664"/>
      <c r="L5" s="1664"/>
      <c r="M5" s="1664"/>
      <c r="N5" s="1664"/>
      <c r="O5" s="1664"/>
      <c r="P5" s="1664"/>
      <c r="Q5" s="1664"/>
      <c r="R5" s="1664"/>
      <c r="S5" s="1664"/>
    </row>
    <row r="6" spans="1:22">
      <c r="A6" s="2812" t="str">
        <f>'数据-取费表'!AN6</f>
        <v>收益法</v>
      </c>
      <c r="B6" s="2810">
        <f ca="1">IF(F6="是",'数据-取费表'!AO6,0)</f>
        <v>24262</v>
      </c>
      <c r="C6" s="2045" t="s">
        <v>2334</v>
      </c>
      <c r="D6" s="2919"/>
      <c r="E6" s="2814">
        <f>IF(OR(A6=0,F6="否"),0,'数据-取费表'!K6+'数据-取费表'!S6)</f>
        <v>29932.760000000009</v>
      </c>
      <c r="F6" s="2049" t="s">
        <v>2340</v>
      </c>
      <c r="G6" s="1664"/>
      <c r="H6" s="1664"/>
      <c r="I6" s="1664"/>
      <c r="J6" s="1664"/>
      <c r="K6" s="1664"/>
      <c r="L6" s="1664"/>
      <c r="M6" s="1664"/>
      <c r="N6" s="1664"/>
      <c r="O6" s="1664"/>
      <c r="P6" s="1664"/>
      <c r="Q6" s="1664"/>
      <c r="R6" s="1664"/>
      <c r="S6" s="1664"/>
    </row>
    <row r="7" spans="1:22">
      <c r="A7" s="2812">
        <f>'数据-取费表'!AN7</f>
        <v>0</v>
      </c>
      <c r="B7" s="2810" t="e">
        <f ca="1">IF(F7="是",'数据-取费表'!AO7,0)</f>
        <v>#REF!</v>
      </c>
      <c r="C7" s="2045" t="s">
        <v>2334</v>
      </c>
      <c r="D7" s="2919"/>
      <c r="E7" s="2814">
        <f>IF(OR(A7=0,F7="否"),0,'数据-取费表'!K7+'数据-取费表'!S7)</f>
        <v>0</v>
      </c>
      <c r="F7" s="2049" t="s">
        <v>2340</v>
      </c>
      <c r="G7" s="1664"/>
      <c r="H7" s="1664"/>
      <c r="I7" s="1664"/>
      <c r="J7" s="1664"/>
      <c r="K7" s="1664"/>
      <c r="L7" s="1664"/>
      <c r="M7" s="1664"/>
      <c r="N7" s="1664"/>
      <c r="O7" s="1664"/>
      <c r="P7" s="1664"/>
      <c r="Q7" s="1664"/>
      <c r="R7" s="1664"/>
      <c r="S7" s="1664"/>
    </row>
    <row r="8" spans="1:22">
      <c r="A8" s="2812">
        <f>'数据-取费表'!AN8</f>
        <v>0</v>
      </c>
      <c r="B8" s="2810" t="e">
        <f ca="1">IF(F8="是",'数据-取费表'!AO8,0)</f>
        <v>#REF!</v>
      </c>
      <c r="C8" s="2045" t="s">
        <v>2334</v>
      </c>
      <c r="D8" s="2919"/>
      <c r="E8" s="2814">
        <f>IF(OR(A8=0,F8="否"),0,'数据-取费表'!K8+'数据-取费表'!S8)</f>
        <v>0</v>
      </c>
      <c r="F8" s="2049" t="s">
        <v>2340</v>
      </c>
      <c r="G8" s="1664"/>
      <c r="H8" s="1664"/>
      <c r="I8" s="1664"/>
      <c r="J8" s="1664"/>
      <c r="K8" s="1664"/>
      <c r="L8" s="1664"/>
      <c r="M8" s="1664"/>
      <c r="N8" s="1664"/>
      <c r="O8" s="1664"/>
      <c r="P8" s="1664"/>
      <c r="Q8" s="1664"/>
      <c r="R8" s="1664"/>
      <c r="S8" s="1664"/>
    </row>
    <row r="9" spans="1:22">
      <c r="A9" s="2812">
        <f>'数据-取费表'!AN9</f>
        <v>0</v>
      </c>
      <c r="B9" s="2810" t="e">
        <f ca="1">IF(F9="是",'数据-取费表'!AO9,0)</f>
        <v>#REF!</v>
      </c>
      <c r="C9" s="2045" t="s">
        <v>2334</v>
      </c>
      <c r="D9" s="2919"/>
      <c r="E9" s="2814">
        <f>IF(OR(A9=0,F9="否"),0,'数据-取费表'!K9+'数据-取费表'!S9)</f>
        <v>0</v>
      </c>
      <c r="F9" s="2049" t="s">
        <v>2340</v>
      </c>
      <c r="G9" s="1664"/>
      <c r="H9" s="1664"/>
      <c r="I9" s="1664"/>
      <c r="J9" s="1664"/>
      <c r="K9" s="1664"/>
      <c r="L9" s="1664"/>
      <c r="M9" s="1664"/>
      <c r="N9" s="1664"/>
      <c r="O9" s="1664"/>
      <c r="P9" s="1664"/>
      <c r="Q9" s="1664"/>
      <c r="R9" s="1664"/>
      <c r="S9" s="1664"/>
    </row>
    <row r="10" spans="1:22">
      <c r="A10" s="2812">
        <f>'数据-取费表'!AN10</f>
        <v>0</v>
      </c>
      <c r="B10" s="2810" t="e">
        <f ca="1">IF(F10="是",'数据-取费表'!AO10,0)</f>
        <v>#REF!</v>
      </c>
      <c r="C10" s="2045" t="s">
        <v>2334</v>
      </c>
      <c r="D10" s="2919"/>
      <c r="E10" s="2814">
        <f>IF(OR(A10=0,F10="否"),0,'数据-取费表'!K10+'数据-取费表'!S10)</f>
        <v>0</v>
      </c>
      <c r="F10" s="2049" t="s">
        <v>2340</v>
      </c>
      <c r="G10" s="1664"/>
      <c r="H10" s="1664"/>
      <c r="I10" s="1664"/>
      <c r="J10" s="1664"/>
      <c r="K10" s="1664"/>
      <c r="L10" s="1664"/>
      <c r="M10" s="1664"/>
      <c r="N10" s="1664"/>
      <c r="O10" s="1664"/>
      <c r="P10" s="1664"/>
      <c r="Q10" s="1664"/>
      <c r="R10" s="1664"/>
      <c r="S10" s="1664"/>
    </row>
    <row r="11" spans="1:22">
      <c r="A11" s="2812">
        <f>'数据-取费表'!AN11</f>
        <v>0</v>
      </c>
      <c r="B11" s="2810" t="e">
        <f ca="1">IF(F11="是",'数据-取费表'!AO11,0)</f>
        <v>#REF!</v>
      </c>
      <c r="C11" s="2045" t="s">
        <v>2334</v>
      </c>
      <c r="D11" s="2919"/>
      <c r="E11" s="2814">
        <f>IF(OR(A11=0,F11="否"),0,'数据-取费表'!K11+'数据-取费表'!S11)</f>
        <v>0</v>
      </c>
      <c r="F11" s="2049" t="s">
        <v>2340</v>
      </c>
      <c r="G11" s="1664"/>
      <c r="H11" s="1664"/>
      <c r="I11" s="1664"/>
      <c r="J11" s="1664"/>
      <c r="K11" s="1664"/>
      <c r="L11" s="1664"/>
      <c r="M11" s="1664"/>
      <c r="N11" s="1664"/>
      <c r="O11" s="1664"/>
      <c r="P11" s="1664"/>
      <c r="Q11" s="1664"/>
      <c r="R11" s="1664"/>
      <c r="S11" s="1664"/>
    </row>
    <row r="12" spans="1:22">
      <c r="A12" s="2812">
        <f>'数据-取费表'!AN12</f>
        <v>0</v>
      </c>
      <c r="B12" s="2810" t="e">
        <f ca="1">IF(F12="是",'数据-取费表'!AO12,0)</f>
        <v>#REF!</v>
      </c>
      <c r="C12" s="2045" t="s">
        <v>2334</v>
      </c>
      <c r="D12" s="2919"/>
      <c r="E12" s="2814">
        <f>IF(OR(A12=0,F12="否"),0,'数据-取费表'!K12+'数据-取费表'!S12)</f>
        <v>0</v>
      </c>
      <c r="F12" s="2049" t="s">
        <v>2340</v>
      </c>
      <c r="G12" s="1664"/>
      <c r="H12" s="1664"/>
      <c r="I12" s="1664"/>
      <c r="J12" s="1664"/>
      <c r="K12" s="1664"/>
      <c r="L12" s="1664"/>
      <c r="M12" s="1664"/>
      <c r="N12" s="1664"/>
      <c r="O12" s="1664"/>
      <c r="P12" s="1664"/>
      <c r="Q12" s="1664"/>
      <c r="R12" s="1664"/>
      <c r="S12" s="1664"/>
    </row>
    <row r="13" spans="1:22" ht="15" thickBot="1">
      <c r="A13" s="2813">
        <f>'数据-取费表'!AN13</f>
        <v>0</v>
      </c>
      <c r="B13" s="2810" t="e">
        <f ca="1">IF(F13="是",'数据-取费表'!AO13,0)</f>
        <v>#REF!</v>
      </c>
      <c r="C13" s="2050" t="s">
        <v>2334</v>
      </c>
      <c r="D13" s="2920"/>
      <c r="E13" s="2814">
        <f>IF(OR(A13=0,F13="否"),0,'数据-取费表'!K13+'数据-取费表'!S13)</f>
        <v>0</v>
      </c>
      <c r="F13" s="2049" t="s">
        <v>2340</v>
      </c>
      <c r="G13" s="1664"/>
      <c r="H13" s="1664"/>
      <c r="I13" s="1664"/>
      <c r="J13" s="1664"/>
      <c r="K13" s="1664"/>
      <c r="L13" s="1664"/>
      <c r="M13" s="1664"/>
      <c r="N13" s="1664"/>
      <c r="O13" s="1664"/>
      <c r="P13" s="1664"/>
      <c r="Q13" s="1664"/>
      <c r="R13" s="1664"/>
      <c r="S13" s="1664"/>
    </row>
    <row r="14" spans="1:22">
      <c r="A14" s="1664"/>
      <c r="B14" s="1664"/>
      <c r="C14" s="1664"/>
      <c r="D14" s="1664"/>
      <c r="E14" s="1664"/>
      <c r="F14" s="1664"/>
      <c r="G14" s="1664"/>
      <c r="H14" s="1664"/>
      <c r="I14" s="1664"/>
      <c r="J14" s="1664"/>
      <c r="K14" s="1664"/>
      <c r="L14" s="1664"/>
      <c r="M14" s="1664"/>
      <c r="N14" s="1664"/>
      <c r="O14" s="1664"/>
      <c r="P14" s="1664"/>
      <c r="Q14" s="1664"/>
      <c r="R14" s="1664"/>
      <c r="S14" s="1664"/>
      <c r="T14" s="1664"/>
      <c r="U14" s="1664"/>
      <c r="V14" s="1664"/>
    </row>
    <row r="15" spans="1:22">
      <c r="A15" s="1664"/>
      <c r="B15" s="1664"/>
      <c r="C15" s="1664"/>
      <c r="D15" s="1664"/>
      <c r="E15" s="1664"/>
      <c r="F15" s="1664"/>
      <c r="G15" s="1664"/>
      <c r="H15" s="1664"/>
      <c r="I15" s="1664"/>
      <c r="J15" s="1664"/>
      <c r="K15" s="1664"/>
      <c r="L15" s="1664"/>
      <c r="M15" s="1664"/>
      <c r="N15" s="1664"/>
      <c r="O15" s="1664"/>
      <c r="P15" s="1664"/>
      <c r="Q15" s="1664"/>
      <c r="R15" s="1664"/>
      <c r="S15" s="1664"/>
      <c r="T15" s="1664"/>
      <c r="U15" s="1664"/>
      <c r="V15" s="1664"/>
    </row>
    <row r="16" spans="1:22">
      <c r="A16" s="1664"/>
      <c r="B16" s="1664"/>
      <c r="C16" s="1664"/>
      <c r="D16" s="1664"/>
      <c r="E16" s="1664"/>
      <c r="F16" s="1664"/>
      <c r="G16" s="1664"/>
      <c r="H16" s="1664"/>
      <c r="I16" s="1664"/>
      <c r="J16" s="1664"/>
      <c r="K16" s="1664"/>
      <c r="L16" s="1664"/>
      <c r="M16" s="1664"/>
      <c r="N16" s="1664"/>
      <c r="O16" s="1664"/>
      <c r="P16" s="1664"/>
      <c r="Q16" s="1664"/>
      <c r="R16" s="1664"/>
      <c r="S16" s="1664"/>
      <c r="T16" s="1664"/>
      <c r="U16" s="1664"/>
      <c r="V16" s="1664"/>
    </row>
    <row r="17" spans="1:22">
      <c r="A17" s="1664"/>
      <c r="B17" s="1664"/>
      <c r="C17" s="1664"/>
      <c r="D17" s="1664"/>
      <c r="E17" s="1664"/>
      <c r="F17" s="1664"/>
      <c r="G17" s="1664"/>
      <c r="H17" s="1664"/>
      <c r="I17" s="1664"/>
      <c r="J17" s="1664"/>
      <c r="K17" s="1664"/>
      <c r="L17" s="1664"/>
      <c r="M17" s="1664"/>
      <c r="N17" s="1664"/>
      <c r="O17" s="1664"/>
      <c r="P17" s="1664"/>
      <c r="Q17" s="1664"/>
      <c r="R17" s="1664"/>
      <c r="S17" s="1664"/>
      <c r="T17" s="1664"/>
      <c r="U17" s="1664"/>
      <c r="V17" s="1664"/>
    </row>
    <row r="18" spans="1:22">
      <c r="A18" s="1664"/>
      <c r="B18" s="1664"/>
      <c r="C18" s="1664"/>
      <c r="D18" s="1664"/>
      <c r="E18" s="1664"/>
      <c r="F18" s="1664"/>
      <c r="G18" s="1664"/>
      <c r="H18" s="1664"/>
      <c r="I18" s="1664"/>
      <c r="J18" s="1664"/>
      <c r="K18" s="1664"/>
      <c r="L18" s="1664"/>
      <c r="M18" s="1664"/>
      <c r="N18" s="1664"/>
      <c r="O18" s="1664"/>
      <c r="P18" s="1664"/>
      <c r="Q18" s="1664"/>
      <c r="R18" s="1664"/>
      <c r="S18" s="1664"/>
      <c r="T18" s="1664"/>
      <c r="U18" s="1664"/>
      <c r="V18" s="1664"/>
    </row>
    <row r="19" spans="1:22">
      <c r="A19" s="1664"/>
      <c r="B19" s="1664"/>
      <c r="C19" s="1664"/>
      <c r="D19" s="1664"/>
      <c r="E19" s="1664"/>
      <c r="F19" s="1664"/>
      <c r="G19" s="1664"/>
      <c r="H19" s="1664"/>
      <c r="I19" s="1664"/>
      <c r="J19" s="1664"/>
      <c r="K19" s="1664"/>
      <c r="L19" s="1664"/>
      <c r="M19" s="1664"/>
      <c r="N19" s="1664"/>
      <c r="O19" s="1664"/>
      <c r="P19" s="1664"/>
      <c r="Q19" s="1664"/>
      <c r="R19" s="1664"/>
      <c r="S19" s="1664"/>
      <c r="T19" s="1664"/>
      <c r="U19" s="1664"/>
      <c r="V19" s="1664"/>
    </row>
    <row r="20" spans="1:22">
      <c r="A20" s="1664"/>
      <c r="B20" s="1664"/>
      <c r="C20" s="1664"/>
      <c r="D20" s="1664"/>
      <c r="E20" s="1664"/>
      <c r="F20" s="1664"/>
      <c r="G20" s="1664"/>
      <c r="H20" s="1664"/>
      <c r="I20" s="1664"/>
      <c r="J20" s="1664"/>
      <c r="K20" s="1664"/>
      <c r="L20" s="1664"/>
      <c r="M20" s="1664"/>
      <c r="N20" s="1664"/>
      <c r="O20" s="1664"/>
      <c r="P20" s="1664"/>
      <c r="Q20" s="1664"/>
      <c r="R20" s="1664"/>
      <c r="S20" s="1664"/>
      <c r="T20" s="1664"/>
      <c r="U20" s="1664"/>
      <c r="V20" s="1664"/>
    </row>
    <row r="21" spans="1:22">
      <c r="A21" s="1664"/>
      <c r="B21" s="1664"/>
      <c r="C21" s="1664"/>
      <c r="D21" s="1664"/>
      <c r="E21" s="1664"/>
      <c r="F21" s="1664"/>
      <c r="G21" s="1664"/>
      <c r="H21" s="1664"/>
      <c r="I21" s="1664"/>
      <c r="J21" s="1664"/>
      <c r="K21" s="1664"/>
      <c r="L21" s="1664"/>
      <c r="M21" s="1664"/>
      <c r="N21" s="1664"/>
      <c r="O21" s="1664"/>
      <c r="P21" s="1664"/>
      <c r="Q21" s="1664"/>
      <c r="R21" s="1664"/>
      <c r="S21" s="1664"/>
      <c r="T21" s="1664"/>
      <c r="U21" s="1664"/>
      <c r="V21" s="1664"/>
    </row>
    <row r="22" spans="1:22">
      <c r="A22" s="1664"/>
      <c r="B22" s="1664"/>
      <c r="C22" s="1664"/>
      <c r="D22" s="1664"/>
      <c r="E22" s="1664"/>
      <c r="F22" s="1664"/>
      <c r="G22" s="1664"/>
      <c r="H22" s="1664"/>
      <c r="I22" s="1664"/>
      <c r="J22" s="1664"/>
      <c r="K22" s="1664"/>
      <c r="L22" s="1664"/>
      <c r="M22" s="1664"/>
      <c r="N22" s="1664"/>
      <c r="O22" s="1664"/>
      <c r="P22" s="1664"/>
      <c r="Q22" s="1664"/>
      <c r="R22" s="1664"/>
      <c r="S22" s="1664"/>
      <c r="T22" s="1664"/>
      <c r="U22" s="1664"/>
      <c r="V22" s="1664"/>
    </row>
    <row r="23" spans="1:22">
      <c r="A23" s="1664"/>
      <c r="B23" s="1664"/>
      <c r="C23" s="1664"/>
      <c r="D23" s="1664"/>
      <c r="E23" s="1664"/>
      <c r="F23" s="1664"/>
      <c r="G23" s="1664"/>
      <c r="H23" s="1664"/>
      <c r="I23" s="1664"/>
      <c r="J23" s="1664"/>
      <c r="K23" s="1664"/>
      <c r="L23" s="1664"/>
      <c r="M23" s="1664"/>
      <c r="N23" s="1664"/>
      <c r="O23" s="1664"/>
      <c r="P23" s="1664"/>
      <c r="Q23" s="1664"/>
      <c r="R23" s="1664"/>
      <c r="S23" s="1664"/>
      <c r="T23" s="1664"/>
      <c r="U23" s="1664"/>
      <c r="V23" s="1664"/>
    </row>
    <row r="24" spans="1:22">
      <c r="A24" s="1664"/>
      <c r="B24" s="1664"/>
      <c r="C24" s="1664"/>
      <c r="D24" s="1664"/>
      <c r="E24" s="1664"/>
      <c r="F24" s="1664"/>
      <c r="G24" s="1664"/>
      <c r="H24" s="1664"/>
      <c r="I24" s="1664"/>
      <c r="J24" s="1664"/>
      <c r="K24" s="1664"/>
      <c r="L24" s="1664"/>
      <c r="M24" s="1664"/>
      <c r="N24" s="1664"/>
      <c r="O24" s="1664"/>
      <c r="P24" s="1664"/>
      <c r="Q24" s="1664"/>
      <c r="R24" s="1664"/>
      <c r="S24" s="1664"/>
      <c r="T24" s="1664"/>
      <c r="U24" s="1664"/>
      <c r="V24" s="1664"/>
    </row>
    <row r="25" spans="1:22">
      <c r="A25" s="1664"/>
      <c r="B25" s="1664"/>
      <c r="C25" s="1664"/>
      <c r="D25" s="1664"/>
      <c r="E25" s="1664"/>
      <c r="F25" s="1664"/>
      <c r="G25" s="1664"/>
      <c r="H25" s="1664"/>
      <c r="I25" s="1664"/>
      <c r="J25" s="1664"/>
      <c r="K25" s="1664"/>
      <c r="L25" s="1664"/>
      <c r="M25" s="1664"/>
      <c r="N25" s="1664"/>
      <c r="O25" s="1664"/>
      <c r="P25" s="1664"/>
      <c r="Q25" s="1664"/>
      <c r="R25" s="1664"/>
      <c r="S25" s="1664"/>
      <c r="T25" s="1664"/>
      <c r="U25" s="1664"/>
      <c r="V25" s="1664"/>
    </row>
    <row r="26" spans="1:22">
      <c r="A26" s="1664"/>
      <c r="B26" s="1664"/>
      <c r="C26" s="1664"/>
      <c r="D26" s="1664"/>
      <c r="E26" s="1664"/>
      <c r="F26" s="1664"/>
      <c r="G26" s="1664"/>
      <c r="H26" s="1664"/>
      <c r="I26" s="1664"/>
      <c r="J26" s="1664"/>
      <c r="K26" s="1664"/>
      <c r="L26" s="1664"/>
      <c r="M26" s="1664"/>
      <c r="N26" s="1664"/>
      <c r="O26" s="1664"/>
      <c r="P26" s="1664"/>
      <c r="Q26" s="1664"/>
      <c r="R26" s="1664"/>
      <c r="S26" s="1664"/>
      <c r="T26" s="1664"/>
      <c r="U26" s="1664"/>
      <c r="V26" s="1664"/>
    </row>
    <row r="27" spans="1:22">
      <c r="A27" s="1664"/>
      <c r="B27" s="1664"/>
      <c r="C27" s="1664"/>
      <c r="D27" s="1664"/>
      <c r="E27" s="1664"/>
      <c r="F27" s="1664"/>
      <c r="G27" s="1664"/>
      <c r="H27" s="1664"/>
      <c r="I27" s="1664"/>
      <c r="J27" s="1664"/>
      <c r="K27" s="1664"/>
      <c r="L27" s="1664"/>
      <c r="M27" s="1664"/>
      <c r="N27" s="1664"/>
      <c r="O27" s="1664"/>
      <c r="P27" s="1664"/>
      <c r="Q27" s="1664"/>
      <c r="R27" s="1664"/>
      <c r="S27" s="1664"/>
      <c r="T27" s="1664"/>
      <c r="U27" s="1664"/>
      <c r="V27" s="1664"/>
    </row>
    <row r="28" spans="1:22">
      <c r="A28" s="1664"/>
      <c r="B28" s="1664"/>
      <c r="C28" s="1664"/>
      <c r="D28" s="1664"/>
      <c r="E28" s="1664"/>
      <c r="F28" s="1664"/>
      <c r="G28" s="1664"/>
      <c r="H28" s="1664"/>
      <c r="I28" s="1664"/>
      <c r="J28" s="1664"/>
      <c r="K28" s="1664"/>
      <c r="L28" s="1664"/>
      <c r="M28" s="1664"/>
      <c r="N28" s="1664"/>
      <c r="O28" s="1664"/>
      <c r="P28" s="1664"/>
      <c r="Q28" s="1664"/>
      <c r="R28" s="1664"/>
      <c r="S28" s="1664"/>
      <c r="T28" s="1664"/>
      <c r="U28" s="1664"/>
      <c r="V28" s="1664"/>
    </row>
    <row r="29" spans="1:22">
      <c r="A29" s="1664"/>
      <c r="B29" s="1664"/>
      <c r="C29" s="1664"/>
      <c r="D29" s="1664"/>
      <c r="E29" s="1664"/>
      <c r="F29" s="1664"/>
      <c r="G29" s="1664"/>
      <c r="H29" s="1664"/>
      <c r="I29" s="1664"/>
      <c r="J29" s="1664"/>
      <c r="K29" s="1664"/>
      <c r="L29" s="1664"/>
      <c r="M29" s="1664"/>
      <c r="N29" s="1664"/>
      <c r="O29" s="1664"/>
      <c r="P29" s="1664"/>
      <c r="Q29" s="1664"/>
      <c r="R29" s="1664"/>
      <c r="S29" s="1664"/>
      <c r="T29" s="1664"/>
      <c r="U29" s="1664"/>
      <c r="V29" s="1664"/>
    </row>
    <row r="30" spans="1:22">
      <c r="A30" s="1664"/>
      <c r="B30" s="1664"/>
      <c r="C30" s="1664"/>
      <c r="D30" s="1664"/>
      <c r="E30" s="1664"/>
      <c r="F30" s="1664"/>
      <c r="G30" s="1664"/>
      <c r="H30" s="1664"/>
      <c r="I30" s="1664"/>
      <c r="J30" s="1664"/>
      <c r="K30" s="1664"/>
      <c r="L30" s="1664"/>
      <c r="M30" s="1664"/>
      <c r="N30" s="1664"/>
      <c r="O30" s="1664"/>
      <c r="P30" s="1664"/>
      <c r="Q30" s="1664"/>
      <c r="R30" s="1664"/>
      <c r="S30" s="1664"/>
      <c r="T30" s="1664"/>
      <c r="U30" s="1664"/>
      <c r="V30" s="1664"/>
    </row>
    <row r="31" spans="1:22">
      <c r="A31" s="1664"/>
      <c r="B31" s="1664"/>
      <c r="C31" s="1664"/>
      <c r="D31" s="1664"/>
      <c r="E31" s="1664"/>
      <c r="F31" s="1664"/>
      <c r="G31" s="1664"/>
      <c r="H31" s="1664"/>
      <c r="I31" s="1664"/>
      <c r="J31" s="1664"/>
      <c r="K31" s="1664"/>
      <c r="L31" s="1664"/>
      <c r="M31" s="1664"/>
      <c r="N31" s="1664"/>
      <c r="O31" s="1664"/>
      <c r="P31" s="1664"/>
      <c r="Q31" s="1664"/>
      <c r="R31" s="1664"/>
      <c r="S31" s="1664"/>
      <c r="T31" s="1664"/>
      <c r="U31" s="1664"/>
      <c r="V31" s="1664"/>
    </row>
  </sheetData>
  <sheetProtection password="CEE9" sheet="1" objects="1" scenarios="1" formatCells="0" formatColumns="0" formatRows="0"/>
  <mergeCells count="1">
    <mergeCell ref="B5:C5"/>
  </mergeCells>
  <phoneticPr fontId="140" type="noConversion"/>
  <dataValidations count="1">
    <dataValidation type="list" allowBlank="1" showInputMessage="1" showErrorMessage="1" sqref="F6:F13">
      <formula1>判定</formula1>
    </dataValidation>
  </dataValidations>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topLeftCell="A7" workbookViewId="0">
      <selection activeCell="Q10" sqref="Q10"/>
    </sheetView>
  </sheetViews>
  <sheetFormatPr defaultRowHeight="13.5"/>
  <cols>
    <col min="1" max="1" width="10.5" customWidth="1"/>
    <col min="2" max="2" width="12.875" customWidth="1"/>
    <col min="3" max="3" width="8.75" customWidth="1"/>
  </cols>
  <sheetData>
    <row r="1" spans="1:9" ht="14.25">
      <c r="A1" s="3451" t="s">
        <v>1044</v>
      </c>
      <c r="B1" s="3452"/>
      <c r="C1" s="3453"/>
      <c r="D1" s="3454">
        <f>SUM(I10,I15,I20,I21,I23)</f>
        <v>0</v>
      </c>
      <c r="E1" s="3454"/>
      <c r="F1" s="3454"/>
      <c r="G1" s="3454"/>
      <c r="H1" s="3454"/>
      <c r="I1" s="3455"/>
    </row>
    <row r="2" spans="1:9">
      <c r="A2" s="3441" t="s">
        <v>1045</v>
      </c>
      <c r="B2" s="3442" t="s">
        <v>1046</v>
      </c>
      <c r="C2" s="3442"/>
      <c r="D2" s="1202" t="s">
        <v>1047</v>
      </c>
      <c r="E2" s="1202" t="s">
        <v>1048</v>
      </c>
      <c r="F2" s="1202" t="s">
        <v>1049</v>
      </c>
      <c r="G2" s="1202" t="s">
        <v>1050</v>
      </c>
      <c r="H2" s="1202" t="s">
        <v>1051</v>
      </c>
      <c r="I2" s="1203" t="s">
        <v>1052</v>
      </c>
    </row>
    <row r="3" spans="1:9">
      <c r="A3" s="3441"/>
      <c r="B3" s="3442" t="s">
        <v>1053</v>
      </c>
      <c r="C3" s="3442"/>
      <c r="D3" s="1204"/>
      <c r="E3" s="1202"/>
      <c r="F3" s="1205"/>
      <c r="G3" s="1205"/>
      <c r="H3" s="1206"/>
      <c r="I3" s="1207">
        <f>ROUND(D3*E3*F3*G3*H3/10000,0)</f>
        <v>0</v>
      </c>
    </row>
    <row r="4" spans="1:9">
      <c r="A4" s="3441"/>
      <c r="B4" s="3442" t="s">
        <v>1054</v>
      </c>
      <c r="C4" s="3442"/>
      <c r="D4" s="1204"/>
      <c r="E4" s="1202"/>
      <c r="F4" s="1205"/>
      <c r="G4" s="1205"/>
      <c r="H4" s="1206"/>
      <c r="I4" s="1207">
        <f t="shared" ref="I4:I9" si="0">ROUND(D4*E4*F4*G4*H4/10000,0)</f>
        <v>0</v>
      </c>
    </row>
    <row r="5" spans="1:9">
      <c r="A5" s="3441"/>
      <c r="B5" s="3442" t="s">
        <v>1055</v>
      </c>
      <c r="C5" s="3442"/>
      <c r="D5" s="1204"/>
      <c r="E5" s="1202"/>
      <c r="F5" s="1205"/>
      <c r="G5" s="1205"/>
      <c r="H5" s="1206"/>
      <c r="I5" s="1207">
        <f t="shared" si="0"/>
        <v>0</v>
      </c>
    </row>
    <row r="6" spans="1:9">
      <c r="A6" s="3441"/>
      <c r="B6" s="3442" t="s">
        <v>1056</v>
      </c>
      <c r="C6" s="3442"/>
      <c r="D6" s="1204"/>
      <c r="E6" s="1202"/>
      <c r="F6" s="1205"/>
      <c r="G6" s="1205"/>
      <c r="H6" s="1206"/>
      <c r="I6" s="1207">
        <f t="shared" si="0"/>
        <v>0</v>
      </c>
    </row>
    <row r="7" spans="1:9">
      <c r="A7" s="3441"/>
      <c r="B7" s="3442" t="s">
        <v>1057</v>
      </c>
      <c r="C7" s="3442"/>
      <c r="D7" s="1204"/>
      <c r="E7" s="1202"/>
      <c r="F7" s="1205"/>
      <c r="G7" s="1205"/>
      <c r="H7" s="1206"/>
      <c r="I7" s="1207">
        <f t="shared" si="0"/>
        <v>0</v>
      </c>
    </row>
    <row r="8" spans="1:9">
      <c r="A8" s="3441"/>
      <c r="B8" s="3442" t="s">
        <v>1058</v>
      </c>
      <c r="C8" s="3442"/>
      <c r="D8" s="1204"/>
      <c r="E8" s="1202"/>
      <c r="F8" s="1205"/>
      <c r="G8" s="1205"/>
      <c r="H8" s="1206"/>
      <c r="I8" s="1207">
        <f t="shared" si="0"/>
        <v>0</v>
      </c>
    </row>
    <row r="9" spans="1:9">
      <c r="A9" s="3441"/>
      <c r="B9" s="3442" t="s">
        <v>1059</v>
      </c>
      <c r="C9" s="3442"/>
      <c r="D9" s="1204"/>
      <c r="E9" s="1202"/>
      <c r="F9" s="1205"/>
      <c r="G9" s="1205"/>
      <c r="H9" s="1206"/>
      <c r="I9" s="1207">
        <f t="shared" si="0"/>
        <v>0</v>
      </c>
    </row>
    <row r="10" spans="1:9">
      <c r="A10" s="3441"/>
      <c r="B10" s="3443" t="s">
        <v>1060</v>
      </c>
      <c r="C10" s="3443"/>
      <c r="D10" s="1208"/>
      <c r="E10" s="1208" t="e">
        <f>ROUND(D1*10000/D10/H9,0)</f>
        <v>#DIV/0!</v>
      </c>
      <c r="F10" s="1209"/>
      <c r="G10" s="1209"/>
      <c r="H10" s="1210"/>
      <c r="I10" s="1211">
        <f>SUM(I3:I9)</f>
        <v>0</v>
      </c>
    </row>
    <row r="11" spans="1:9" ht="14.25">
      <c r="A11" s="3441" t="s">
        <v>1061</v>
      </c>
      <c r="B11" s="3442" t="s">
        <v>1062</v>
      </c>
      <c r="C11" s="3442"/>
      <c r="D11" s="1204" t="s">
        <v>1063</v>
      </c>
      <c r="E11" s="1204" t="s">
        <v>1064</v>
      </c>
      <c r="F11" s="1205" t="s">
        <v>1065</v>
      </c>
      <c r="G11" s="1205" t="s">
        <v>1051</v>
      </c>
      <c r="H11" s="1212" t="s">
        <v>1066</v>
      </c>
      <c r="I11" s="1203" t="s">
        <v>1052</v>
      </c>
    </row>
    <row r="12" spans="1:9">
      <c r="A12" s="3441"/>
      <c r="B12" s="3442" t="s">
        <v>1067</v>
      </c>
      <c r="C12" s="3442"/>
      <c r="D12" s="1204"/>
      <c r="E12" s="1204"/>
      <c r="F12" s="1205"/>
      <c r="G12" s="1206"/>
      <c r="H12" s="1213"/>
      <c r="I12" s="1203">
        <f>ROUND(D12*E12*F12*G12/10000,0)</f>
        <v>0</v>
      </c>
    </row>
    <row r="13" spans="1:9">
      <c r="A13" s="3441"/>
      <c r="B13" s="3442" t="s">
        <v>1068</v>
      </c>
      <c r="C13" s="3442"/>
      <c r="D13" s="1204"/>
      <c r="E13" s="1204"/>
      <c r="F13" s="1205"/>
      <c r="G13" s="1206"/>
      <c r="H13" s="1213"/>
      <c r="I13" s="1203">
        <f>ROUND(D13*E13*F13*G13/10000,0)</f>
        <v>0</v>
      </c>
    </row>
    <row r="14" spans="1:9">
      <c r="A14" s="3441"/>
      <c r="B14" s="3442" t="s">
        <v>1069</v>
      </c>
      <c r="C14" s="3442"/>
      <c r="D14" s="1204"/>
      <c r="E14" s="1204"/>
      <c r="F14" s="1205"/>
      <c r="G14" s="1206"/>
      <c r="H14" s="1213"/>
      <c r="I14" s="1203">
        <f>ROUND(D14*E14*F14*G14/10000,0)</f>
        <v>0</v>
      </c>
    </row>
    <row r="15" spans="1:9">
      <c r="A15" s="3441"/>
      <c r="B15" s="3443" t="s">
        <v>1060</v>
      </c>
      <c r="C15" s="3443"/>
      <c r="D15" s="1208"/>
      <c r="E15" s="1208">
        <f>SUM(E12:E14)</f>
        <v>0</v>
      </c>
      <c r="F15" s="1209"/>
      <c r="G15" s="1206"/>
      <c r="H15" s="1213"/>
      <c r="I15" s="1214">
        <f>SUM(I12:I14)</f>
        <v>0</v>
      </c>
    </row>
    <row r="16" spans="1:9" ht="24">
      <c r="A16" s="3441" t="s">
        <v>1070</v>
      </c>
      <c r="B16" s="3442" t="s">
        <v>1071</v>
      </c>
      <c r="C16" s="3442"/>
      <c r="D16" s="1204" t="s">
        <v>1047</v>
      </c>
      <c r="E16" s="1215" t="s">
        <v>1072</v>
      </c>
      <c r="F16" s="1205" t="s">
        <v>1073</v>
      </c>
      <c r="G16" s="1206" t="s">
        <v>1051</v>
      </c>
      <c r="H16" s="1212" t="s">
        <v>1066</v>
      </c>
      <c r="I16" s="1203" t="s">
        <v>1052</v>
      </c>
    </row>
    <row r="17" spans="1:9" ht="14.25">
      <c r="A17" s="3441"/>
      <c r="B17" s="3442" t="s">
        <v>1074</v>
      </c>
      <c r="C17" s="3442"/>
      <c r="D17" s="1204"/>
      <c r="E17" s="1204"/>
      <c r="F17" s="1205"/>
      <c r="G17" s="1206"/>
      <c r="H17" s="1216"/>
      <c r="I17" s="1217">
        <f>ROUND(D17*E17*F17*G17/10000,0)</f>
        <v>0</v>
      </c>
    </row>
    <row r="18" spans="1:9" ht="14.25">
      <c r="A18" s="3441"/>
      <c r="B18" s="3442" t="s">
        <v>1075</v>
      </c>
      <c r="C18" s="3442"/>
      <c r="D18" s="1204"/>
      <c r="E18" s="1204"/>
      <c r="F18" s="1205"/>
      <c r="G18" s="1206"/>
      <c r="H18" s="1216"/>
      <c r="I18" s="1217">
        <f>ROUND(D18*E18*F18*G18/10000,0)</f>
        <v>0</v>
      </c>
    </row>
    <row r="19" spans="1:9" ht="14.25">
      <c r="A19" s="3441"/>
      <c r="B19" s="3442" t="s">
        <v>1076</v>
      </c>
      <c r="C19" s="3442"/>
      <c r="D19" s="1204"/>
      <c r="E19" s="1204"/>
      <c r="F19" s="1205"/>
      <c r="G19" s="1206"/>
      <c r="H19" s="1216"/>
      <c r="I19" s="1217">
        <f>ROUND(D19*E19*F19*G19/10000,0)</f>
        <v>0</v>
      </c>
    </row>
    <row r="20" spans="1:9">
      <c r="A20" s="3441"/>
      <c r="B20" s="3443" t="s">
        <v>1060</v>
      </c>
      <c r="C20" s="3443"/>
      <c r="D20" s="1208">
        <f>SUM(D17:D19)</f>
        <v>0</v>
      </c>
      <c r="E20" s="1208"/>
      <c r="F20" s="1209"/>
      <c r="G20" s="1206"/>
      <c r="H20" s="1213"/>
      <c r="I20" s="1214">
        <f>SUM(I17:I19)</f>
        <v>0</v>
      </c>
    </row>
    <row r="21" spans="1:9">
      <c r="A21" s="3441" t="s">
        <v>1077</v>
      </c>
      <c r="B21" s="3444"/>
      <c r="C21" s="3444"/>
      <c r="D21" s="3444"/>
      <c r="E21" s="3444"/>
      <c r="F21" s="3444"/>
      <c r="G21" s="3444"/>
      <c r="H21" s="1492">
        <v>0.1</v>
      </c>
      <c r="I21" s="1211">
        <f>ROUND(I10*H21,0)</f>
        <v>0</v>
      </c>
    </row>
    <row r="22" spans="1:9" ht="14.25">
      <c r="A22" s="3445" t="s">
        <v>1078</v>
      </c>
      <c r="B22" s="3446"/>
      <c r="C22" s="3447"/>
      <c r="D22" s="1218" t="s">
        <v>1079</v>
      </c>
      <c r="E22" s="1218" t="s">
        <v>1080</v>
      </c>
      <c r="F22" s="1219" t="s">
        <v>1081</v>
      </c>
      <c r="G22" s="1219" t="s">
        <v>1082</v>
      </c>
      <c r="H22" s="1212" t="s">
        <v>1083</v>
      </c>
      <c r="I22" s="1203" t="s">
        <v>1084</v>
      </c>
    </row>
    <row r="23" spans="1:9" ht="14.25" thickBot="1">
      <c r="A23" s="3448"/>
      <c r="B23" s="3449"/>
      <c r="C23" s="3450"/>
      <c r="D23" s="1220"/>
      <c r="E23" s="1220"/>
      <c r="F23" s="1220"/>
      <c r="G23" s="1221"/>
      <c r="H23" s="1222"/>
      <c r="I23" s="1223">
        <f>ROUND(E23*D23*F23*(1-G23)/10000,0)</f>
        <v>0</v>
      </c>
    </row>
    <row r="26" spans="1:9">
      <c r="A26" s="1224" t="s">
        <v>1085</v>
      </c>
      <c r="B26" s="1224"/>
      <c r="C26" s="1224"/>
      <c r="D26" s="1224"/>
      <c r="E26" s="3438">
        <f>C27-C30-C31-C32</f>
        <v>0</v>
      </c>
      <c r="F26" s="3438"/>
      <c r="G26" s="3438"/>
      <c r="H26" s="1489" t="s">
        <v>1306</v>
      </c>
    </row>
    <row r="27" spans="1:9">
      <c r="A27" s="1225">
        <v>1</v>
      </c>
      <c r="B27" s="1226" t="s">
        <v>1086</v>
      </c>
      <c r="C27" s="1226">
        <f>C28+C29</f>
        <v>0</v>
      </c>
      <c r="D27" s="1226"/>
      <c r="E27" s="3439"/>
      <c r="F27" s="3439"/>
      <c r="G27" s="3439"/>
    </row>
    <row r="28" spans="1:9">
      <c r="A28" s="1227" t="s">
        <v>1087</v>
      </c>
      <c r="B28" s="1226" t="s">
        <v>1088</v>
      </c>
      <c r="C28" s="1226"/>
      <c r="D28" s="1226"/>
      <c r="E28" s="3439"/>
      <c r="F28" s="3439"/>
      <c r="G28" s="3439"/>
    </row>
    <row r="29" spans="1:9">
      <c r="A29" s="1227" t="s">
        <v>1089</v>
      </c>
      <c r="B29" s="1226" t="s">
        <v>1090</v>
      </c>
      <c r="C29" s="1226"/>
      <c r="D29" s="1226"/>
      <c r="E29" s="1226" t="s">
        <v>1091</v>
      </c>
      <c r="F29" s="1226"/>
      <c r="G29" s="1226"/>
    </row>
    <row r="30" spans="1:9">
      <c r="A30" s="1225">
        <v>2</v>
      </c>
      <c r="B30" s="1226" t="s">
        <v>1092</v>
      </c>
      <c r="C30" s="1226">
        <f>C27*D30</f>
        <v>0</v>
      </c>
      <c r="D30" s="1228">
        <v>0.2</v>
      </c>
      <c r="E30" s="1226" t="s">
        <v>1093</v>
      </c>
      <c r="F30" s="1226"/>
      <c r="G30" s="1226"/>
    </row>
    <row r="31" spans="1:9">
      <c r="A31" s="1225">
        <v>3</v>
      </c>
      <c r="B31" s="1226" t="s">
        <v>1094</v>
      </c>
      <c r="C31" s="1226">
        <f>C27*D31</f>
        <v>0</v>
      </c>
      <c r="D31" s="1228">
        <v>0.15</v>
      </c>
      <c r="E31" s="1226" t="s">
        <v>1095</v>
      </c>
      <c r="F31" s="1226"/>
      <c r="G31" s="1226"/>
    </row>
    <row r="32" spans="1:9">
      <c r="A32" s="1225">
        <v>4</v>
      </c>
      <c r="B32" s="1226" t="s">
        <v>1096</v>
      </c>
      <c r="C32" s="1226">
        <f>C27*D32</f>
        <v>0</v>
      </c>
      <c r="D32" s="1228">
        <v>0.05</v>
      </c>
      <c r="E32" s="3440"/>
      <c r="F32" s="3440"/>
      <c r="G32" s="3440"/>
    </row>
    <row r="33" spans="1:7" hidden="1">
      <c r="A33" s="3435" t="s">
        <v>1097</v>
      </c>
      <c r="B33" s="3436"/>
      <c r="C33" s="3436"/>
      <c r="D33" s="3437"/>
      <c r="E33" s="3438"/>
      <c r="F33" s="3438"/>
      <c r="G33" s="3438"/>
    </row>
    <row r="34" spans="1:7" hidden="1">
      <c r="A34" s="1229">
        <v>1</v>
      </c>
      <c r="B34" s="1226" t="s">
        <v>1098</v>
      </c>
      <c r="C34" s="1226"/>
      <c r="D34" s="1226"/>
      <c r="E34" s="3439"/>
      <c r="F34" s="3439"/>
      <c r="G34" s="3439"/>
    </row>
    <row r="35" spans="1:7" hidden="1">
      <c r="A35" s="1229">
        <v>2</v>
      </c>
      <c r="B35" s="1226" t="s">
        <v>1099</v>
      </c>
      <c r="C35" s="1226"/>
      <c r="D35" s="1226"/>
      <c r="E35" s="3439"/>
      <c r="F35" s="3439"/>
      <c r="G35" s="3439"/>
    </row>
    <row r="36" spans="1:7" hidden="1">
      <c r="A36" s="1229">
        <v>3</v>
      </c>
      <c r="B36" s="1226" t="s">
        <v>1100</v>
      </c>
      <c r="C36" s="1226"/>
      <c r="D36" s="1226"/>
      <c r="E36" s="3439"/>
      <c r="F36" s="3439"/>
      <c r="G36" s="3439"/>
    </row>
    <row r="37" spans="1:7" hidden="1">
      <c r="A37" s="1229">
        <v>4</v>
      </c>
      <c r="B37" s="1226" t="s">
        <v>1101</v>
      </c>
      <c r="C37" s="1226"/>
      <c r="D37" s="1226"/>
      <c r="E37" s="3439"/>
      <c r="F37" s="3439"/>
      <c r="G37" s="3439"/>
    </row>
    <row r="38" spans="1:7" hidden="1">
      <c r="A38" s="3435" t="s">
        <v>1102</v>
      </c>
      <c r="B38" s="3436"/>
      <c r="C38" s="3436"/>
      <c r="D38" s="3437"/>
      <c r="E38" s="3438"/>
      <c r="F38" s="3438"/>
      <c r="G38" s="3438"/>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8:D38"/>
    <mergeCell ref="E38:G38"/>
    <mergeCell ref="A33:D33"/>
    <mergeCell ref="E33:G33"/>
    <mergeCell ref="E34:G34"/>
    <mergeCell ref="E35:G35"/>
    <mergeCell ref="E36:G36"/>
    <mergeCell ref="E37:G37"/>
  </mergeCells>
  <phoneticPr fontId="140" type="noConversion"/>
  <pageMargins left="0.7" right="0.7" top="0.75" bottom="0.75" header="0.3" footer="0.3"/>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zoomScale="85" zoomScaleNormal="60" zoomScaleSheetLayoutView="85" workbookViewId="0">
      <selection sqref="A1:XFD1048576"/>
    </sheetView>
  </sheetViews>
  <sheetFormatPr defaultColWidth="9" defaultRowHeight="14.25"/>
  <cols>
    <col min="1" max="1" width="10.5" style="362" customWidth="1"/>
    <col min="2" max="2" width="15.75" style="362" customWidth="1"/>
    <col min="3" max="3" width="15.125" style="362" customWidth="1"/>
    <col min="4" max="4" width="12.25" style="362" customWidth="1"/>
    <col min="5" max="5" width="14.375" style="362" customWidth="1"/>
    <col min="6" max="6" width="12.25" style="362" customWidth="1"/>
    <col min="7" max="7" width="14.5" style="362" customWidth="1"/>
    <col min="8" max="8" width="12.25" style="362" customWidth="1"/>
    <col min="9" max="9" width="14.5" style="362" customWidth="1"/>
    <col min="10" max="10" width="12.25" style="362" customWidth="1"/>
    <col min="11" max="11" width="12.25" style="451" customWidth="1"/>
    <col min="12" max="12" width="12.25" style="452" customWidth="1"/>
    <col min="13" max="15" width="12.25" style="362" customWidth="1"/>
    <col min="16" max="16" width="4.75" style="2089" customWidth="1"/>
    <col min="17" max="17" width="19.5" style="362" customWidth="1"/>
    <col min="18" max="22" width="6.125" style="362" customWidth="1"/>
    <col min="23" max="23" width="5.75" style="362" customWidth="1"/>
    <col min="24" max="24" width="4.25" style="362" customWidth="1"/>
    <col min="25" max="25" width="3.5" style="362" customWidth="1"/>
    <col min="26" max="26" width="19.75" style="362" customWidth="1"/>
    <col min="27" max="28" width="9.375" style="362" customWidth="1"/>
    <col min="29" max="16384" width="9" style="362"/>
  </cols>
  <sheetData>
    <row r="1" spans="1:29" s="1389" customFormat="1" ht="28.5" customHeight="1" thickBot="1">
      <c r="A1" s="1378" t="s">
        <v>2343</v>
      </c>
      <c r="B1" s="2051" t="s">
        <v>2344</v>
      </c>
      <c r="C1" s="1394" t="s">
        <v>2345</v>
      </c>
      <c r="D1" s="1381"/>
      <c r="E1" s="2528"/>
      <c r="F1" s="2052" t="s">
        <v>2346</v>
      </c>
      <c r="G1" s="1391" t="s">
        <v>2347</v>
      </c>
      <c r="H1" s="1390"/>
      <c r="I1" s="1390"/>
      <c r="J1" s="1390"/>
      <c r="K1" s="1392"/>
      <c r="L1" s="1393"/>
      <c r="M1" s="1394"/>
      <c r="N1" s="1394"/>
      <c r="O1" s="1394"/>
      <c r="P1" s="2053"/>
      <c r="Q1" s="1380"/>
      <c r="R1" s="1380"/>
      <c r="S1" s="1380"/>
      <c r="T1" s="1380"/>
      <c r="U1" s="1380"/>
      <c r="V1" s="1380"/>
      <c r="W1" s="1380"/>
      <c r="X1" s="1380"/>
      <c r="Y1" s="1380"/>
      <c r="Z1" s="1380"/>
      <c r="AA1" s="1380"/>
      <c r="AB1" s="1380"/>
      <c r="AC1" s="1388"/>
    </row>
    <row r="2" spans="1:29" s="353" customFormat="1" ht="28.5" customHeight="1" thickTop="1">
      <c r="A2" s="1377" t="s">
        <v>1359</v>
      </c>
      <c r="B2" s="1315" t="e">
        <f ca="1">IF(C2="——",ROUND(C49*D3/10000,0),ROUND(C49*D3/10000,0)-D2)</f>
        <v>#DIV/0!</v>
      </c>
      <c r="C2" s="2054"/>
      <c r="D2" s="1266" t="e">
        <f ca="1">SUMIF(INDIRECT("'"&amp;F2&amp;"'"&amp;"!A:A"),"承租人权益价值",INDIRECT("'"&amp;F2&amp;"'"&amp;"!c:c"))</f>
        <v>#REF!</v>
      </c>
      <c r="E2" s="2055" t="s">
        <v>2348</v>
      </c>
      <c r="F2" s="2056"/>
      <c r="G2" s="1030"/>
      <c r="H2" s="1030"/>
      <c r="I2" s="1030"/>
      <c r="J2" s="1030"/>
      <c r="K2" s="2057"/>
      <c r="L2" s="2923"/>
      <c r="M2" s="2924"/>
      <c r="N2" s="2924"/>
      <c r="O2" s="2924"/>
      <c r="P2" s="2058"/>
      <c r="Q2" s="2059"/>
      <c r="R2" s="2059"/>
      <c r="S2" s="2059"/>
      <c r="T2" s="2059"/>
      <c r="U2" s="2059"/>
      <c r="V2" s="2059"/>
      <c r="W2" s="2059"/>
      <c r="X2" s="2059"/>
      <c r="Y2" s="2059"/>
      <c r="Z2" s="2059"/>
      <c r="AA2" s="2059"/>
      <c r="AB2" s="2059"/>
      <c r="AC2" s="2060"/>
    </row>
    <row r="3" spans="1:29" s="353" customFormat="1" ht="28.5" customHeight="1" thickBot="1">
      <c r="A3" s="209" t="s">
        <v>1360</v>
      </c>
      <c r="B3" s="358" t="e">
        <f ca="1">IF(C2="——",C49,ROUND(B2*10000/D3,0))</f>
        <v>#DIV/0!</v>
      </c>
      <c r="C3" s="359" t="s">
        <v>2349</v>
      </c>
      <c r="D3" s="358">
        <f>IF(D1="",'数据-汇总表'!E3,SUMIF('数据-汇总表'!$C19:$C33,D1,'数据-汇总表'!$E19:$E33))</f>
        <v>29932.760000000009</v>
      </c>
      <c r="E3" s="1030"/>
      <c r="F3" s="2061"/>
      <c r="G3" s="1030"/>
      <c r="H3" s="1030"/>
      <c r="I3" s="1030"/>
      <c r="J3" s="1030"/>
      <c r="K3" s="2057"/>
      <c r="L3" s="2923"/>
      <c r="M3" s="2924"/>
      <c r="N3" s="2924"/>
      <c r="O3" s="2924"/>
      <c r="P3" s="2058"/>
      <c r="Q3" s="2059"/>
      <c r="R3" s="2059"/>
      <c r="S3" s="2059"/>
      <c r="T3" s="2059"/>
      <c r="U3" s="2059"/>
      <c r="V3" s="2059"/>
      <c r="W3" s="2059"/>
      <c r="X3" s="2059"/>
      <c r="Y3" s="2059"/>
      <c r="Z3" s="2059"/>
      <c r="AA3" s="2059"/>
      <c r="AB3" s="2059"/>
      <c r="AC3" s="1183"/>
    </row>
    <row r="4" spans="1:29" ht="15">
      <c r="A4" s="360" t="s">
        <v>2350</v>
      </c>
      <c r="B4" s="361"/>
      <c r="C4" s="3357" t="s">
        <v>2351</v>
      </c>
      <c r="D4" s="3370"/>
      <c r="E4" s="3371" t="s">
        <v>2352</v>
      </c>
      <c r="F4" s="3372"/>
      <c r="G4" s="3357" t="s">
        <v>2353</v>
      </c>
      <c r="H4" s="3370"/>
      <c r="I4" s="3357" t="s">
        <v>2354</v>
      </c>
      <c r="J4" s="3370"/>
      <c r="K4" s="2062" t="s">
        <v>2355</v>
      </c>
      <c r="L4" s="2925"/>
      <c r="M4" s="2926"/>
      <c r="N4" s="2926"/>
      <c r="O4" s="2926"/>
      <c r="P4" s="3373" t="s">
        <v>2356</v>
      </c>
      <c r="Q4" s="3374"/>
      <c r="R4" s="3379" t="s">
        <v>2352</v>
      </c>
      <c r="S4" s="3380"/>
      <c r="T4" s="3379" t="s">
        <v>2353</v>
      </c>
      <c r="U4" s="3380"/>
      <c r="V4" s="3366" t="s">
        <v>2354</v>
      </c>
      <c r="W4" s="3366"/>
      <c r="X4" s="1529"/>
      <c r="Y4" s="3379" t="s">
        <v>2356</v>
      </c>
      <c r="Z4" s="3380"/>
      <c r="AA4" s="3367" t="s">
        <v>2352</v>
      </c>
      <c r="AB4" s="3367" t="s">
        <v>2353</v>
      </c>
      <c r="AC4" s="3367" t="s">
        <v>2354</v>
      </c>
    </row>
    <row r="5" spans="1:29" ht="15">
      <c r="A5" s="363"/>
      <c r="B5" s="364"/>
      <c r="C5" s="3387" t="s">
        <v>2357</v>
      </c>
      <c r="D5" s="3388"/>
      <c r="E5" s="3394" t="s">
        <v>2358</v>
      </c>
      <c r="F5" s="3395"/>
      <c r="G5" s="3387" t="s">
        <v>2359</v>
      </c>
      <c r="H5" s="3388"/>
      <c r="I5" s="3387" t="s">
        <v>2360</v>
      </c>
      <c r="J5" s="3388"/>
      <c r="K5" s="2063"/>
      <c r="L5" s="2925"/>
      <c r="M5" s="2926"/>
      <c r="N5" s="2926"/>
      <c r="O5" s="2926"/>
      <c r="P5" s="3375"/>
      <c r="Q5" s="3376"/>
      <c r="R5" s="3381"/>
      <c r="S5" s="3382"/>
      <c r="T5" s="3381"/>
      <c r="U5" s="3382"/>
      <c r="V5" s="3366"/>
      <c r="W5" s="3366"/>
      <c r="X5" s="1529"/>
      <c r="Y5" s="3381"/>
      <c r="Z5" s="3382"/>
      <c r="AA5" s="3368"/>
      <c r="AB5" s="3368"/>
      <c r="AC5" s="3368"/>
    </row>
    <row r="6" spans="1:29" ht="15.75" thickBot="1">
      <c r="A6" s="365"/>
      <c r="B6" s="366"/>
      <c r="C6" s="3385" t="s">
        <v>2361</v>
      </c>
      <c r="D6" s="3386"/>
      <c r="E6" s="3392" t="s">
        <v>2361</v>
      </c>
      <c r="F6" s="3393"/>
      <c r="G6" s="3385" t="s">
        <v>2361</v>
      </c>
      <c r="H6" s="3386"/>
      <c r="I6" s="3385" t="s">
        <v>2361</v>
      </c>
      <c r="J6" s="3386"/>
      <c r="K6" s="2063" t="s">
        <v>2362</v>
      </c>
      <c r="L6" s="2925"/>
      <c r="M6" s="2926"/>
      <c r="N6" s="2926"/>
      <c r="O6" s="2926"/>
      <c r="P6" s="3377"/>
      <c r="Q6" s="3378"/>
      <c r="R6" s="3381"/>
      <c r="S6" s="3382"/>
      <c r="T6" s="3383"/>
      <c r="U6" s="3384"/>
      <c r="V6" s="3366"/>
      <c r="W6" s="3366"/>
      <c r="X6" s="1529"/>
      <c r="Y6" s="3383"/>
      <c r="Z6" s="3384"/>
      <c r="AA6" s="3369"/>
      <c r="AB6" s="3369"/>
      <c r="AC6" s="3369"/>
    </row>
    <row r="7" spans="1:29" s="113" customFormat="1" ht="15.75" thickBot="1">
      <c r="A7" s="367" t="s">
        <v>2363</v>
      </c>
      <c r="B7" s="368"/>
      <c r="C7" s="369">
        <f>'数据-取费表'!B2</f>
        <v>44280</v>
      </c>
      <c r="D7" s="370">
        <v>100</v>
      </c>
      <c r="E7" s="371"/>
      <c r="F7" s="372">
        <f>SUMIF(58:58,YEAR(E7)&amp;"-"&amp;MONTH(E7),59:59)</f>
        <v>0</v>
      </c>
      <c r="G7" s="371"/>
      <c r="H7" s="370">
        <f>SUMIF(58:58,YEAR(G7)&amp;"-"&amp;MONTH(G7),59:59)</f>
        <v>0</v>
      </c>
      <c r="I7" s="371"/>
      <c r="J7" s="370">
        <f>SUMIF(58:58,YEAR(I7)&amp;"-"&amp;MONTH(I7),59:59)</f>
        <v>0</v>
      </c>
      <c r="K7" s="2064"/>
      <c r="L7" s="2927"/>
      <c r="M7" s="2928"/>
      <c r="N7" s="2928"/>
      <c r="O7" s="2928"/>
      <c r="P7" s="3389" t="s">
        <v>2364</v>
      </c>
      <c r="Q7" s="3391"/>
      <c r="R7" s="708" t="s">
        <v>23</v>
      </c>
      <c r="S7" s="709">
        <f t="shared" ref="S7:S15" si="0">F7</f>
        <v>0</v>
      </c>
      <c r="T7" s="708" t="s">
        <v>23</v>
      </c>
      <c r="U7" s="709">
        <f t="shared" ref="U7:U15" si="1">H7</f>
        <v>0</v>
      </c>
      <c r="V7" s="708" t="s">
        <v>23</v>
      </c>
      <c r="W7" s="709">
        <f t="shared" ref="W7:W15" si="2">J7</f>
        <v>0</v>
      </c>
      <c r="X7" s="710"/>
      <c r="Y7" s="3389" t="s">
        <v>2364</v>
      </c>
      <c r="Z7" s="3390"/>
      <c r="AA7" s="711" t="e">
        <f>D7/F7</f>
        <v>#DIV/0!</v>
      </c>
      <c r="AB7" s="711" t="e">
        <f>D7/H7</f>
        <v>#DIV/0!</v>
      </c>
      <c r="AC7" s="711" t="e">
        <f>D7/J7</f>
        <v>#DIV/0!</v>
      </c>
    </row>
    <row r="8" spans="1:29" s="113" customFormat="1" ht="15.75" thickBot="1">
      <c r="A8" s="367" t="s">
        <v>2365</v>
      </c>
      <c r="B8" s="368"/>
      <c r="C8" s="373" t="s">
        <v>2366</v>
      </c>
      <c r="D8" s="370">
        <v>100</v>
      </c>
      <c r="E8" s="2065"/>
      <c r="F8" s="372">
        <f>SUMIF(61:61,E8,62:62)-SUMIF(61:61,C8,62:62)+100</f>
        <v>0</v>
      </c>
      <c r="G8" s="373"/>
      <c r="H8" s="370">
        <f>SUMIF(61:61,G8,62:62)-SUMIF(61:61,C8,62:62)+100</f>
        <v>0</v>
      </c>
      <c r="I8" s="2065"/>
      <c r="J8" s="370">
        <f>SUMIF(61:61,I8,62:62)-SUMIF(61:61,C8,62:62)+100</f>
        <v>0</v>
      </c>
      <c r="K8" s="2064"/>
      <c r="L8" s="2927"/>
      <c r="M8" s="2928"/>
      <c r="N8" s="2928"/>
      <c r="O8" s="2928"/>
      <c r="P8" s="3389" t="s">
        <v>2367</v>
      </c>
      <c r="Q8" s="3390"/>
      <c r="R8" s="708" t="s">
        <v>23</v>
      </c>
      <c r="S8" s="709">
        <f t="shared" si="0"/>
        <v>0</v>
      </c>
      <c r="T8" s="708" t="s">
        <v>23</v>
      </c>
      <c r="U8" s="709">
        <f t="shared" si="1"/>
        <v>0</v>
      </c>
      <c r="V8" s="708" t="s">
        <v>23</v>
      </c>
      <c r="W8" s="709">
        <f t="shared" si="2"/>
        <v>0</v>
      </c>
      <c r="X8" s="710"/>
      <c r="Y8" s="3389" t="s">
        <v>2367</v>
      </c>
      <c r="Z8" s="3390"/>
      <c r="AA8" s="711" t="e">
        <f t="shared" ref="AA8:AA19" si="3">D8/F8</f>
        <v>#DIV/0!</v>
      </c>
      <c r="AB8" s="711" t="e">
        <f t="shared" ref="AB8:AB19" si="4">D8/H8</f>
        <v>#DIV/0!</v>
      </c>
      <c r="AC8" s="711" t="e">
        <f t="shared" ref="AC8:AC19" si="5">D8/J8</f>
        <v>#DIV/0!</v>
      </c>
    </row>
    <row r="9" spans="1:29" s="113" customFormat="1">
      <c r="A9" s="374" t="s">
        <v>2368</v>
      </c>
      <c r="B9" s="67" t="s">
        <v>2369</v>
      </c>
      <c r="C9" s="375"/>
      <c r="D9" s="131">
        <v>100</v>
      </c>
      <c r="E9" s="376"/>
      <c r="F9" s="377">
        <f>SUMIF(63:63,E9,64:64)-SUMIF(63:63,C9,64:64)+100</f>
        <v>100</v>
      </c>
      <c r="G9" s="378"/>
      <c r="H9" s="131">
        <f>SUMIF(63:63,G9,64:64)-SUMIF(63:63,C9,64:64)+100</f>
        <v>100</v>
      </c>
      <c r="I9" s="378"/>
      <c r="J9" s="131">
        <f>SUMIF(63:63,I9,64:64)-SUMIF(63:63,C9,64:64)+100</f>
        <v>100</v>
      </c>
      <c r="K9" s="2064"/>
      <c r="L9" s="2927"/>
      <c r="M9" s="2928"/>
      <c r="N9" s="2928"/>
      <c r="O9" s="2928"/>
      <c r="P9" s="3359" t="s">
        <v>2370</v>
      </c>
      <c r="Q9" s="1517" t="str">
        <f t="shared" ref="Q9:Q15" si="6">B9</f>
        <v>用途</v>
      </c>
      <c r="R9" s="708" t="s">
        <v>17</v>
      </c>
      <c r="S9" s="709">
        <f t="shared" si="0"/>
        <v>100</v>
      </c>
      <c r="T9" s="708" t="s">
        <v>17</v>
      </c>
      <c r="U9" s="709">
        <f t="shared" si="1"/>
        <v>100</v>
      </c>
      <c r="V9" s="708" t="s">
        <v>17</v>
      </c>
      <c r="W9" s="709">
        <f t="shared" si="2"/>
        <v>100</v>
      </c>
      <c r="X9" s="710"/>
      <c r="Y9" s="3257" t="s">
        <v>2371</v>
      </c>
      <c r="Z9" s="55" t="str">
        <f t="shared" ref="Z9:Z15" si="7">Q9</f>
        <v>用途</v>
      </c>
      <c r="AA9" s="711">
        <f t="shared" si="3"/>
        <v>1</v>
      </c>
      <c r="AB9" s="711">
        <f t="shared" si="4"/>
        <v>1</v>
      </c>
      <c r="AC9" s="711">
        <f t="shared" si="5"/>
        <v>1</v>
      </c>
    </row>
    <row r="10" spans="1:29" s="385" customFormat="1" ht="27">
      <c r="A10" s="379"/>
      <c r="B10" s="380" t="s">
        <v>2372</v>
      </c>
      <c r="C10" s="381"/>
      <c r="D10" s="132">
        <v>100</v>
      </c>
      <c r="E10" s="382"/>
      <c r="F10" s="383">
        <f>SUMIF(65:65,E10,66:66)-SUMIF(65:65,C10,66:66)+100</f>
        <v>100</v>
      </c>
      <c r="G10" s="381"/>
      <c r="H10" s="132">
        <f>SUMIF(65:65,G10,66:66)-SUMIF(65:65,C10,66:66)+100</f>
        <v>100</v>
      </c>
      <c r="I10" s="381"/>
      <c r="J10" s="132">
        <f>SUMIF(65:65,I10,66:66)-SUMIF(65:65,C10,66:66)+100</f>
        <v>100</v>
      </c>
      <c r="K10" s="384"/>
      <c r="L10" s="2929"/>
      <c r="M10" s="2930"/>
      <c r="N10" s="2930"/>
      <c r="O10" s="2930"/>
      <c r="P10" s="3359"/>
      <c r="Q10" s="1517" t="str">
        <f t="shared" si="6"/>
        <v>土地使用年限（年）</v>
      </c>
      <c r="R10" s="708" t="s">
        <v>17</v>
      </c>
      <c r="S10" s="709">
        <f t="shared" si="0"/>
        <v>100</v>
      </c>
      <c r="T10" s="708" t="s">
        <v>17</v>
      </c>
      <c r="U10" s="709">
        <f t="shared" si="1"/>
        <v>100</v>
      </c>
      <c r="V10" s="708" t="s">
        <v>17</v>
      </c>
      <c r="W10" s="709">
        <f t="shared" si="2"/>
        <v>100</v>
      </c>
      <c r="X10" s="710"/>
      <c r="Y10" s="3257"/>
      <c r="Z10" s="55" t="str">
        <f t="shared" si="7"/>
        <v>土地使用年限（年）</v>
      </c>
      <c r="AA10" s="711">
        <f t="shared" si="3"/>
        <v>1</v>
      </c>
      <c r="AB10" s="711">
        <f t="shared" si="4"/>
        <v>1</v>
      </c>
      <c r="AC10" s="711">
        <f t="shared" si="5"/>
        <v>1</v>
      </c>
    </row>
    <row r="11" spans="1:29" ht="15">
      <c r="A11" s="386"/>
      <c r="B11" s="380" t="s">
        <v>2373</v>
      </c>
      <c r="C11" s="387"/>
      <c r="D11" s="132">
        <v>100</v>
      </c>
      <c r="E11" s="388"/>
      <c r="F11" s="383" t="e">
        <f>LOOKUP(E11,68:68,69:69)-LOOKUP(C11,68:68,69:69)+100</f>
        <v>#N/A</v>
      </c>
      <c r="G11" s="387"/>
      <c r="H11" s="132" t="e">
        <f>LOOKUP(G11,68:68,69:69)-LOOKUP(C11,68:68,69:69)+100</f>
        <v>#N/A</v>
      </c>
      <c r="I11" s="387"/>
      <c r="J11" s="132" t="e">
        <f>LOOKUP(I11,68:68,69:69)-LOOKUP(C11,68:68,69:69)+100</f>
        <v>#N/A</v>
      </c>
      <c r="K11" s="384"/>
      <c r="L11" s="2931"/>
      <c r="M11" s="2926"/>
      <c r="N11" s="2926"/>
      <c r="O11" s="2926"/>
      <c r="P11" s="3359"/>
      <c r="Q11" s="1517" t="str">
        <f t="shared" si="6"/>
        <v>容积率</v>
      </c>
      <c r="R11" s="708" t="s">
        <v>21</v>
      </c>
      <c r="S11" s="709" t="e">
        <f t="shared" si="0"/>
        <v>#N/A</v>
      </c>
      <c r="T11" s="708" t="s">
        <v>21</v>
      </c>
      <c r="U11" s="709" t="e">
        <f t="shared" si="1"/>
        <v>#N/A</v>
      </c>
      <c r="V11" s="708" t="s">
        <v>21</v>
      </c>
      <c r="W11" s="709" t="e">
        <f t="shared" si="2"/>
        <v>#N/A</v>
      </c>
      <c r="X11" s="710"/>
      <c r="Y11" s="3257"/>
      <c r="Z11" s="55" t="str">
        <f t="shared" si="7"/>
        <v>容积率</v>
      </c>
      <c r="AA11" s="711" t="e">
        <f t="shared" si="3"/>
        <v>#N/A</v>
      </c>
      <c r="AB11" s="711" t="e">
        <f t="shared" si="4"/>
        <v>#N/A</v>
      </c>
      <c r="AC11" s="711" t="e">
        <f t="shared" si="5"/>
        <v>#N/A</v>
      </c>
    </row>
    <row r="12" spans="1:29" s="113" customFormat="1" ht="15">
      <c r="A12" s="389"/>
      <c r="B12" s="2066">
        <v>111</v>
      </c>
      <c r="C12" s="390"/>
      <c r="D12" s="391">
        <v>100</v>
      </c>
      <c r="E12" s="390"/>
      <c r="F12" s="383">
        <f>SUMIF(70:70,E12,71:71)-SUMIF(70:70,C12,71:71)+100</f>
        <v>100</v>
      </c>
      <c r="G12" s="390"/>
      <c r="H12" s="132">
        <f>SUMIF(70:70,G12,71:71)-SUMIF(70:70,C12,71:71)+100</f>
        <v>100</v>
      </c>
      <c r="I12" s="390"/>
      <c r="J12" s="132">
        <f>SUMIF(70:70,I12,71:71)-SUMIF(70:70,C12,71:71)+100</f>
        <v>100</v>
      </c>
      <c r="K12" s="2067"/>
      <c r="L12" s="2927"/>
      <c r="M12" s="2928"/>
      <c r="N12" s="2928"/>
      <c r="O12" s="2928"/>
      <c r="P12" s="3359"/>
      <c r="Q12" s="1517">
        <f t="shared" si="6"/>
        <v>111</v>
      </c>
      <c r="R12" s="708" t="s">
        <v>21</v>
      </c>
      <c r="S12" s="709">
        <f t="shared" si="0"/>
        <v>100</v>
      </c>
      <c r="T12" s="708" t="s">
        <v>21</v>
      </c>
      <c r="U12" s="709">
        <f t="shared" si="1"/>
        <v>100</v>
      </c>
      <c r="V12" s="708" t="s">
        <v>21</v>
      </c>
      <c r="W12" s="709">
        <f t="shared" si="2"/>
        <v>100</v>
      </c>
      <c r="X12" s="710"/>
      <c r="Y12" s="3257"/>
      <c r="Z12" s="55">
        <f t="shared" si="7"/>
        <v>111</v>
      </c>
      <c r="AA12" s="711">
        <f>D12/F12</f>
        <v>1</v>
      </c>
      <c r="AB12" s="711">
        <f>D12/H12</f>
        <v>1</v>
      </c>
      <c r="AC12" s="711">
        <f>D12/J12</f>
        <v>1</v>
      </c>
    </row>
    <row r="13" spans="1:29" ht="15">
      <c r="A13" s="386"/>
      <c r="B13" s="2066">
        <v>111</v>
      </c>
      <c r="C13" s="392"/>
      <c r="D13" s="393">
        <v>100</v>
      </c>
      <c r="E13" s="392"/>
      <c r="F13" s="383">
        <f>SUMIF(72:72,E13,73:73)-SUMIF(72:72,C13,73:73)+100</f>
        <v>100</v>
      </c>
      <c r="G13" s="392"/>
      <c r="H13" s="393">
        <f>SUMIF(72:72,G13,73:73)-SUMIF(72:72,C13,73:73)+100</f>
        <v>100</v>
      </c>
      <c r="I13" s="392"/>
      <c r="J13" s="393">
        <f>SUMIF(72:72,I13,73:73)-SUMIF(72:72,C13,73:73)+100</f>
        <v>100</v>
      </c>
      <c r="K13" s="2067"/>
      <c r="L13" s="2932"/>
      <c r="M13" s="2926"/>
      <c r="N13" s="2926"/>
      <c r="O13" s="2926"/>
      <c r="P13" s="3359"/>
      <c r="Q13" s="1517">
        <f t="shared" si="6"/>
        <v>111</v>
      </c>
      <c r="R13" s="708" t="s">
        <v>21</v>
      </c>
      <c r="S13" s="709">
        <f t="shared" si="0"/>
        <v>100</v>
      </c>
      <c r="T13" s="708" t="s">
        <v>21</v>
      </c>
      <c r="U13" s="709">
        <f t="shared" si="1"/>
        <v>100</v>
      </c>
      <c r="V13" s="708" t="s">
        <v>21</v>
      </c>
      <c r="W13" s="709">
        <f t="shared" si="2"/>
        <v>100</v>
      </c>
      <c r="X13" s="710"/>
      <c r="Y13" s="3257"/>
      <c r="Z13" s="55">
        <f t="shared" si="7"/>
        <v>111</v>
      </c>
      <c r="AA13" s="711">
        <f t="shared" si="3"/>
        <v>1</v>
      </c>
      <c r="AB13" s="711">
        <f t="shared" si="4"/>
        <v>1</v>
      </c>
      <c r="AC13" s="711">
        <f t="shared" si="5"/>
        <v>1</v>
      </c>
    </row>
    <row r="14" spans="1:29" ht="15.75" thickBot="1">
      <c r="A14" s="394"/>
      <c r="B14" s="2068">
        <v>111</v>
      </c>
      <c r="C14" s="395"/>
      <c r="D14" s="396">
        <v>100</v>
      </c>
      <c r="E14" s="395"/>
      <c r="F14" s="397">
        <f>SUMIF(74:74,E14,75:75)-SUMIF(74:74,C14,75:75)+100</f>
        <v>100</v>
      </c>
      <c r="G14" s="395"/>
      <c r="H14" s="396">
        <f>SUMIF(74:74,G14,75:75)-SUMIF(74:74,C14,75:75)+100</f>
        <v>100</v>
      </c>
      <c r="I14" s="395"/>
      <c r="J14" s="396">
        <f>SUMIF(74:74,I14,75:75)-SUMIF(74:74,C14,75:75)+100</f>
        <v>100</v>
      </c>
      <c r="K14" s="2067"/>
      <c r="L14" s="2932"/>
      <c r="M14" s="2926"/>
      <c r="N14" s="2926"/>
      <c r="O14" s="2926"/>
      <c r="P14" s="3359"/>
      <c r="Q14" s="1517">
        <f t="shared" si="6"/>
        <v>111</v>
      </c>
      <c r="R14" s="708" t="s">
        <v>21</v>
      </c>
      <c r="S14" s="709">
        <f t="shared" si="0"/>
        <v>100</v>
      </c>
      <c r="T14" s="708" t="s">
        <v>21</v>
      </c>
      <c r="U14" s="709">
        <f t="shared" si="1"/>
        <v>100</v>
      </c>
      <c r="V14" s="708" t="s">
        <v>21</v>
      </c>
      <c r="W14" s="709">
        <f t="shared" si="2"/>
        <v>100</v>
      </c>
      <c r="X14" s="710"/>
      <c r="Y14" s="3257"/>
      <c r="Z14" s="55">
        <f t="shared" si="7"/>
        <v>111</v>
      </c>
      <c r="AA14" s="711">
        <f t="shared" si="3"/>
        <v>1</v>
      </c>
      <c r="AB14" s="711">
        <f t="shared" si="4"/>
        <v>1</v>
      </c>
      <c r="AC14" s="711">
        <f t="shared" si="5"/>
        <v>1</v>
      </c>
    </row>
    <row r="15" spans="1:29" ht="15">
      <c r="A15" s="398" t="s">
        <v>2374</v>
      </c>
      <c r="B15" s="65" t="s">
        <v>1942</v>
      </c>
      <c r="C15" s="2069">
        <f>估价对象房地状况!C3</f>
        <v>0</v>
      </c>
      <c r="D15" s="399">
        <v>100</v>
      </c>
      <c r="E15" s="402"/>
      <c r="F15" s="399">
        <f>SUMIF(76:76,E16,77:77)-SUMIF(76:76,C16,77:77)+100</f>
        <v>100</v>
      </c>
      <c r="G15" s="400"/>
      <c r="H15" s="399">
        <f>SUMIF(76:76,G16,77:77)-SUMIF(76:76,C16,77:77)+100</f>
        <v>100</v>
      </c>
      <c r="I15" s="400"/>
      <c r="J15" s="399">
        <f>SUMIF(76:76,I16,77:77)-SUMIF(76:76,C16,77:77)+100</f>
        <v>100</v>
      </c>
      <c r="K15" s="403"/>
      <c r="L15" s="2932"/>
      <c r="M15" s="2926"/>
      <c r="N15" s="2926"/>
      <c r="O15" s="2926"/>
      <c r="P15" s="3462" t="s">
        <v>2375</v>
      </c>
      <c r="Q15" s="1526" t="str">
        <f t="shared" si="6"/>
        <v>居住社区成熟度</v>
      </c>
      <c r="R15" s="712" t="s">
        <v>21</v>
      </c>
      <c r="S15" s="713">
        <f t="shared" si="0"/>
        <v>100</v>
      </c>
      <c r="T15" s="712" t="s">
        <v>21</v>
      </c>
      <c r="U15" s="713">
        <f t="shared" si="1"/>
        <v>100</v>
      </c>
      <c r="V15" s="712" t="s">
        <v>21</v>
      </c>
      <c r="W15" s="713">
        <f t="shared" si="2"/>
        <v>100</v>
      </c>
      <c r="X15" s="1529"/>
      <c r="Y15" s="3362" t="s">
        <v>2375</v>
      </c>
      <c r="Z15" s="1530" t="str">
        <f t="shared" si="7"/>
        <v>居住社区成熟度</v>
      </c>
      <c r="AA15" s="1527">
        <f t="shared" si="3"/>
        <v>1</v>
      </c>
      <c r="AB15" s="1527">
        <f t="shared" si="4"/>
        <v>1</v>
      </c>
      <c r="AC15" s="1527">
        <f t="shared" si="5"/>
        <v>1</v>
      </c>
    </row>
    <row r="16" spans="1:29" ht="15">
      <c r="A16" s="386"/>
      <c r="B16" s="404"/>
      <c r="C16" s="405"/>
      <c r="D16" s="406"/>
      <c r="E16" s="2070"/>
      <c r="F16" s="406"/>
      <c r="G16" s="2071"/>
      <c r="H16" s="408"/>
      <c r="I16" s="2071"/>
      <c r="J16" s="406"/>
      <c r="K16" s="2072"/>
      <c r="L16" s="2932"/>
      <c r="M16" s="2926"/>
      <c r="N16" s="2926"/>
      <c r="O16" s="2926"/>
      <c r="P16" s="3463"/>
      <c r="Q16" s="1526"/>
      <c r="R16" s="712"/>
      <c r="S16" s="713"/>
      <c r="T16" s="712"/>
      <c r="U16" s="713"/>
      <c r="V16" s="712"/>
      <c r="W16" s="713"/>
      <c r="X16" s="1529"/>
      <c r="Y16" s="3363"/>
      <c r="Z16" s="1530"/>
      <c r="AA16" s="1527">
        <v>1</v>
      </c>
      <c r="AB16" s="1527">
        <v>1</v>
      </c>
      <c r="AC16" s="1527">
        <v>1</v>
      </c>
    </row>
    <row r="17" spans="1:29" ht="15">
      <c r="A17" s="386"/>
      <c r="B17" s="409" t="s">
        <v>1944</v>
      </c>
      <c r="C17" s="2073">
        <f>估价对象房地状况!C6</f>
        <v>0</v>
      </c>
      <c r="D17" s="408">
        <v>100</v>
      </c>
      <c r="E17" s="412"/>
      <c r="F17" s="408">
        <f>SUMIF(78:78,E18,79:79)-SUMIF(78:78,C18,79:79)+100</f>
        <v>100</v>
      </c>
      <c r="G17" s="410"/>
      <c r="H17" s="413">
        <f>SUMIF(78:78,G18,79:79)-SUMIF(78:78,C18,79:79)+100</f>
        <v>100</v>
      </c>
      <c r="I17" s="410"/>
      <c r="J17" s="413">
        <f>SUMIF(78:78,I18,79:79)-SUMIF(78:78,C18,79:79)+100</f>
        <v>100</v>
      </c>
      <c r="K17" s="403"/>
      <c r="L17" s="2932"/>
      <c r="M17" s="2926"/>
      <c r="N17" s="2926"/>
      <c r="O17" s="2926"/>
      <c r="P17" s="3463"/>
      <c r="Q17" s="1526" t="str">
        <f>B17</f>
        <v>交通便捷度</v>
      </c>
      <c r="R17" s="712" t="s">
        <v>21</v>
      </c>
      <c r="S17" s="713">
        <f>F17</f>
        <v>100</v>
      </c>
      <c r="T17" s="712" t="s">
        <v>21</v>
      </c>
      <c r="U17" s="713">
        <f>H17</f>
        <v>100</v>
      </c>
      <c r="V17" s="712" t="s">
        <v>21</v>
      </c>
      <c r="W17" s="713">
        <f>J17</f>
        <v>100</v>
      </c>
      <c r="X17" s="1529"/>
      <c r="Y17" s="3363"/>
      <c r="Z17" s="1530" t="str">
        <f>Q17</f>
        <v>交通便捷度</v>
      </c>
      <c r="AA17" s="1527">
        <f t="shared" si="3"/>
        <v>1</v>
      </c>
      <c r="AB17" s="1527">
        <f t="shared" si="4"/>
        <v>1</v>
      </c>
      <c r="AC17" s="1527">
        <f t="shared" si="5"/>
        <v>1</v>
      </c>
    </row>
    <row r="18" spans="1:29" ht="15">
      <c r="A18" s="386"/>
      <c r="B18" s="414"/>
      <c r="C18" s="2074"/>
      <c r="D18" s="408"/>
      <c r="E18" s="2075"/>
      <c r="F18" s="408"/>
      <c r="G18" s="2076"/>
      <c r="H18" s="406"/>
      <c r="I18" s="2076"/>
      <c r="J18" s="406"/>
      <c r="K18" s="2072"/>
      <c r="L18" s="2932"/>
      <c r="M18" s="2926"/>
      <c r="N18" s="2926"/>
      <c r="O18" s="2926"/>
      <c r="P18" s="3463"/>
      <c r="Q18" s="1526"/>
      <c r="R18" s="712"/>
      <c r="S18" s="713"/>
      <c r="T18" s="712"/>
      <c r="U18" s="713"/>
      <c r="V18" s="712"/>
      <c r="W18" s="713"/>
      <c r="X18" s="1529"/>
      <c r="Y18" s="3363"/>
      <c r="Z18" s="1530"/>
      <c r="AA18" s="1527">
        <v>1</v>
      </c>
      <c r="AB18" s="1527">
        <v>1</v>
      </c>
      <c r="AC18" s="1527">
        <v>1</v>
      </c>
    </row>
    <row r="19" spans="1:29" ht="15">
      <c r="A19" s="386"/>
      <c r="B19" s="409" t="s">
        <v>1943</v>
      </c>
      <c r="C19" s="2073">
        <f>估价对象房地状况!C7</f>
        <v>0</v>
      </c>
      <c r="D19" s="413">
        <v>100</v>
      </c>
      <c r="E19" s="417"/>
      <c r="F19" s="413">
        <f>SUMIF(80:80,E20,81:81)-SUMIF(80:80,C20,81:81)+100</f>
        <v>100</v>
      </c>
      <c r="G19" s="415"/>
      <c r="H19" s="408">
        <f>SUMIF(80:80,G20,81:81)-SUMIF(80:80,C20,81:81)+100</f>
        <v>100</v>
      </c>
      <c r="I19" s="415"/>
      <c r="J19" s="408">
        <f>SUMIF(80:80,I20,81:81)-SUMIF(80:80,C20,81:81)+100</f>
        <v>100</v>
      </c>
      <c r="K19" s="403"/>
      <c r="L19" s="2932"/>
      <c r="M19" s="2926"/>
      <c r="N19" s="2926"/>
      <c r="O19" s="2926"/>
      <c r="P19" s="3463"/>
      <c r="Q19" s="1526" t="str">
        <f>B19</f>
        <v>公共配套设施</v>
      </c>
      <c r="R19" s="712" t="s">
        <v>21</v>
      </c>
      <c r="S19" s="713">
        <f>F19</f>
        <v>100</v>
      </c>
      <c r="T19" s="712" t="s">
        <v>21</v>
      </c>
      <c r="U19" s="713">
        <f>H19</f>
        <v>100</v>
      </c>
      <c r="V19" s="712" t="s">
        <v>21</v>
      </c>
      <c r="W19" s="713">
        <f>J19</f>
        <v>100</v>
      </c>
      <c r="X19" s="1529"/>
      <c r="Y19" s="3363"/>
      <c r="Z19" s="1530" t="str">
        <f>Q19</f>
        <v>公共配套设施</v>
      </c>
      <c r="AA19" s="1527">
        <f t="shared" si="3"/>
        <v>1</v>
      </c>
      <c r="AB19" s="1527">
        <f t="shared" si="4"/>
        <v>1</v>
      </c>
      <c r="AC19" s="1527">
        <f t="shared" si="5"/>
        <v>1</v>
      </c>
    </row>
    <row r="20" spans="1:29" ht="15">
      <c r="A20" s="386"/>
      <c r="B20" s="414"/>
      <c r="C20" s="405"/>
      <c r="D20" s="406"/>
      <c r="E20" s="2070"/>
      <c r="F20" s="406"/>
      <c r="G20" s="2071"/>
      <c r="H20" s="406"/>
      <c r="I20" s="2071"/>
      <c r="J20" s="406"/>
      <c r="K20" s="2072"/>
      <c r="L20" s="2932"/>
      <c r="M20" s="2926"/>
      <c r="N20" s="2926"/>
      <c r="O20" s="2926"/>
      <c r="P20" s="3463"/>
      <c r="Q20" s="1526"/>
      <c r="R20" s="712"/>
      <c r="S20" s="713"/>
      <c r="T20" s="712"/>
      <c r="U20" s="713"/>
      <c r="V20" s="712"/>
      <c r="W20" s="713"/>
      <c r="X20" s="1529"/>
      <c r="Y20" s="3363"/>
      <c r="Z20" s="1530"/>
      <c r="AA20" s="1527">
        <v>1</v>
      </c>
      <c r="AB20" s="1527">
        <v>1</v>
      </c>
      <c r="AC20" s="1527">
        <v>1</v>
      </c>
    </row>
    <row r="21" spans="1:29" ht="15">
      <c r="A21" s="386"/>
      <c r="B21" s="1284" t="s">
        <v>1945</v>
      </c>
      <c r="C21" s="2073">
        <f>估价对象房地状况!C8</f>
        <v>0</v>
      </c>
      <c r="D21" s="408">
        <v>100</v>
      </c>
      <c r="E21" s="417"/>
      <c r="F21" s="413">
        <f>SUMIF(82:82,E22,83:83)-SUMIF(82:82,C22,83:83)+100</f>
        <v>100</v>
      </c>
      <c r="G21" s="415"/>
      <c r="H21" s="408">
        <f>SUMIF(82:82,G22,83:83)-SUMIF(82:82,C22,83:83)+100</f>
        <v>100</v>
      </c>
      <c r="I21" s="415"/>
      <c r="J21" s="408">
        <f>SUMIF(82:82,I22,83:83)-SUMIF(82:82,C22,83:83)+100</f>
        <v>100</v>
      </c>
      <c r="K21" s="403"/>
      <c r="L21" s="2932"/>
      <c r="M21" s="2926"/>
      <c r="N21" s="2926"/>
      <c r="O21" s="2926"/>
      <c r="P21" s="3463"/>
      <c r="Q21" s="1526" t="str">
        <f>B21</f>
        <v>基础设施水平</v>
      </c>
      <c r="R21" s="712" t="s">
        <v>17</v>
      </c>
      <c r="S21" s="713">
        <f>F21</f>
        <v>100</v>
      </c>
      <c r="T21" s="712" t="s">
        <v>17</v>
      </c>
      <c r="U21" s="713">
        <f>H21</f>
        <v>100</v>
      </c>
      <c r="V21" s="712" t="s">
        <v>17</v>
      </c>
      <c r="W21" s="713">
        <f>J21</f>
        <v>100</v>
      </c>
      <c r="X21" s="1529"/>
      <c r="Y21" s="3363"/>
      <c r="Z21" s="1530" t="str">
        <f>Q21</f>
        <v>基础设施水平</v>
      </c>
      <c r="AA21" s="1527">
        <f t="shared" ref="AA21" si="8">D21/F21</f>
        <v>1</v>
      </c>
      <c r="AB21" s="1527">
        <f t="shared" ref="AB21" si="9">D21/H21</f>
        <v>1</v>
      </c>
      <c r="AC21" s="1527">
        <f t="shared" ref="AC21" si="10">D21/J21</f>
        <v>1</v>
      </c>
    </row>
    <row r="22" spans="1:29" ht="15">
      <c r="A22" s="386"/>
      <c r="B22" s="1284"/>
      <c r="C22" s="2074"/>
      <c r="D22" s="406"/>
      <c r="E22" s="405"/>
      <c r="F22" s="406"/>
      <c r="G22" s="2077"/>
      <c r="H22" s="406"/>
      <c r="I22" s="405"/>
      <c r="J22" s="406"/>
      <c r="K22" s="2078"/>
      <c r="L22" s="2932"/>
      <c r="M22" s="2926"/>
      <c r="N22" s="2926"/>
      <c r="O22" s="2926"/>
      <c r="P22" s="3463"/>
      <c r="Q22" s="1526"/>
      <c r="R22" s="712"/>
      <c r="S22" s="713"/>
      <c r="T22" s="712"/>
      <c r="U22" s="713"/>
      <c r="V22" s="712"/>
      <c r="W22" s="713"/>
      <c r="X22" s="1529"/>
      <c r="Y22" s="3363"/>
      <c r="Z22" s="1530"/>
      <c r="AA22" s="1527">
        <v>1</v>
      </c>
      <c r="AB22" s="1527">
        <v>1</v>
      </c>
      <c r="AC22" s="1527">
        <v>1</v>
      </c>
    </row>
    <row r="23" spans="1:29" ht="15">
      <c r="A23" s="386"/>
      <c r="B23" s="409" t="s">
        <v>1946</v>
      </c>
      <c r="C23" s="2073">
        <f>估价对象房地状况!C9</f>
        <v>0</v>
      </c>
      <c r="D23" s="408">
        <v>100</v>
      </c>
      <c r="E23" s="412"/>
      <c r="F23" s="408">
        <f>SUMIF(84:84,E24,85:85)-SUMIF(84:84,C24,85:85)+100</f>
        <v>100</v>
      </c>
      <c r="G23" s="410"/>
      <c r="H23" s="408">
        <f>SUMIF(84:84,G24,85:85)-SUMIF(84:84,C24,85:85)+100</f>
        <v>100</v>
      </c>
      <c r="I23" s="410"/>
      <c r="J23" s="408">
        <f>SUMIF(84:84,I24,85:85)-SUMIF(84:84,C24,85:85)+100</f>
        <v>100</v>
      </c>
      <c r="K23" s="403"/>
      <c r="L23" s="2932"/>
      <c r="M23" s="2926"/>
      <c r="N23" s="2926"/>
      <c r="O23" s="2926"/>
      <c r="P23" s="3463"/>
      <c r="Q23" s="1526" t="str">
        <f>B23</f>
        <v>自然及人文环境</v>
      </c>
      <c r="R23" s="712" t="s">
        <v>21</v>
      </c>
      <c r="S23" s="713">
        <f>F23</f>
        <v>100</v>
      </c>
      <c r="T23" s="712" t="s">
        <v>21</v>
      </c>
      <c r="U23" s="713">
        <f>H23</f>
        <v>100</v>
      </c>
      <c r="V23" s="712" t="s">
        <v>21</v>
      </c>
      <c r="W23" s="713">
        <f>J23</f>
        <v>100</v>
      </c>
      <c r="X23" s="1529"/>
      <c r="Y23" s="3363"/>
      <c r="Z23" s="1530" t="str">
        <f>Q23</f>
        <v>自然及人文环境</v>
      </c>
      <c r="AA23" s="1527">
        <f>D23/F23</f>
        <v>1</v>
      </c>
      <c r="AB23" s="1527">
        <f>D23/H23</f>
        <v>1</v>
      </c>
      <c r="AC23" s="1527">
        <f>D23/J23</f>
        <v>1</v>
      </c>
    </row>
    <row r="24" spans="1:29" ht="15">
      <c r="A24" s="386"/>
      <c r="B24" s="414"/>
      <c r="C24" s="405"/>
      <c r="D24" s="406"/>
      <c r="E24" s="2070"/>
      <c r="F24" s="406"/>
      <c r="G24" s="2071"/>
      <c r="H24" s="406"/>
      <c r="I24" s="2071"/>
      <c r="J24" s="406"/>
      <c r="K24" s="2072"/>
      <c r="L24" s="2932"/>
      <c r="M24" s="2926"/>
      <c r="N24" s="2926"/>
      <c r="O24" s="2926"/>
      <c r="P24" s="3463"/>
      <c r="Q24" s="1526"/>
      <c r="R24" s="712"/>
      <c r="S24" s="713"/>
      <c r="T24" s="712"/>
      <c r="U24" s="713"/>
      <c r="V24" s="712"/>
      <c r="W24" s="713"/>
      <c r="X24" s="1529"/>
      <c r="Y24" s="3363"/>
      <c r="Z24" s="1530"/>
      <c r="AA24" s="1527">
        <v>1</v>
      </c>
      <c r="AB24" s="1527">
        <v>1</v>
      </c>
      <c r="AC24" s="1527">
        <v>1</v>
      </c>
    </row>
    <row r="25" spans="1:29" ht="15">
      <c r="A25" s="386"/>
      <c r="B25" s="380" t="s">
        <v>2376</v>
      </c>
      <c r="C25" s="418"/>
      <c r="D25" s="393">
        <v>100</v>
      </c>
      <c r="E25" s="2079"/>
      <c r="F25" s="393">
        <f>SUMIF(86:86,E25,87:87)-SUMIF(86:86,C25,87:87)+100</f>
        <v>100</v>
      </c>
      <c r="G25" s="2080"/>
      <c r="H25" s="393">
        <f>SUMIF(86:86,G25,87:87)-SUMIF(86:86,C25,87:87)+100</f>
        <v>100</v>
      </c>
      <c r="I25" s="2080"/>
      <c r="J25" s="393">
        <f>SUMIF(86:86,I25,87:87)-SUMIF(86:86,C25,87:87)+100</f>
        <v>100</v>
      </c>
      <c r="K25" s="384"/>
      <c r="L25" s="2932"/>
      <c r="M25" s="2926"/>
      <c r="N25" s="2926"/>
      <c r="O25" s="2926"/>
      <c r="P25" s="3463"/>
      <c r="Q25" s="1526" t="str">
        <f t="shared" ref="Q25:Q46" si="11">B25</f>
        <v>楼层-1</v>
      </c>
      <c r="R25" s="712" t="s">
        <v>21</v>
      </c>
      <c r="S25" s="713">
        <f t="shared" ref="S25:S46" si="12">F25</f>
        <v>100</v>
      </c>
      <c r="T25" s="712" t="s">
        <v>21</v>
      </c>
      <c r="U25" s="713">
        <f t="shared" ref="U25:U46" si="13">H25</f>
        <v>100</v>
      </c>
      <c r="V25" s="712" t="s">
        <v>21</v>
      </c>
      <c r="W25" s="713">
        <f t="shared" ref="W25:W46" si="14">J25</f>
        <v>100</v>
      </c>
      <c r="X25" s="1529"/>
      <c r="Y25" s="3363"/>
      <c r="Z25" s="1530" t="str">
        <f>Q25</f>
        <v>楼层-1</v>
      </c>
      <c r="AA25" s="1527">
        <f t="shared" ref="AA25:AA46" si="15">D25/F25</f>
        <v>1</v>
      </c>
      <c r="AB25" s="1527">
        <f t="shared" ref="AB25:AB46" si="16">D25/H25</f>
        <v>1</v>
      </c>
      <c r="AC25" s="1527">
        <f t="shared" ref="AC25:AC46" si="17">D25/J25</f>
        <v>1</v>
      </c>
    </row>
    <row r="26" spans="1:29" ht="15">
      <c r="A26" s="386"/>
      <c r="B26" s="380" t="s">
        <v>2377</v>
      </c>
      <c r="C26" s="418"/>
      <c r="D26" s="393">
        <v>100</v>
      </c>
      <c r="E26" s="2079"/>
      <c r="F26" s="393">
        <f>SUMIF(88:88,E26,89:89)-SUMIF(88:88,C26,89:89)+100</f>
        <v>100</v>
      </c>
      <c r="G26" s="2080"/>
      <c r="H26" s="393">
        <f>SUMIF(88:88,G26,89:89)-SUMIF(88:88,C26,89:89)+100</f>
        <v>100</v>
      </c>
      <c r="I26" s="2080"/>
      <c r="J26" s="393">
        <f>SUMIF(88:88,I26,89:89)-SUMIF(88:88,C26,89:89)+100</f>
        <v>100</v>
      </c>
      <c r="K26" s="384"/>
      <c r="L26" s="2932"/>
      <c r="M26" s="2926"/>
      <c r="N26" s="2926"/>
      <c r="O26" s="2926"/>
      <c r="P26" s="3463"/>
      <c r="Q26" s="1526" t="str">
        <f t="shared" si="11"/>
        <v>朝向</v>
      </c>
      <c r="R26" s="712" t="s">
        <v>21</v>
      </c>
      <c r="S26" s="713">
        <f t="shared" si="12"/>
        <v>100</v>
      </c>
      <c r="T26" s="712" t="s">
        <v>21</v>
      </c>
      <c r="U26" s="713">
        <f t="shared" si="13"/>
        <v>100</v>
      </c>
      <c r="V26" s="712" t="s">
        <v>21</v>
      </c>
      <c r="W26" s="713">
        <f t="shared" si="14"/>
        <v>100</v>
      </c>
      <c r="X26" s="1529"/>
      <c r="Y26" s="3363"/>
      <c r="Z26" s="1530" t="str">
        <f>Q26</f>
        <v>朝向</v>
      </c>
      <c r="AA26" s="1527">
        <f t="shared" si="15"/>
        <v>1</v>
      </c>
      <c r="AB26" s="1527">
        <f t="shared" si="16"/>
        <v>1</v>
      </c>
      <c r="AC26" s="1527">
        <f t="shared" si="17"/>
        <v>1</v>
      </c>
    </row>
    <row r="27" spans="1:29" s="113" customFormat="1" ht="15">
      <c r="A27" s="389"/>
      <c r="B27" s="1286">
        <v>111</v>
      </c>
      <c r="C27" s="390"/>
      <c r="D27" s="420">
        <v>100</v>
      </c>
      <c r="E27" s="423"/>
      <c r="F27" s="420">
        <f>SUMIF(90:90,E27,91:91)-SUMIF(90:90,C27,91:91)+100</f>
        <v>100</v>
      </c>
      <c r="G27" s="421"/>
      <c r="H27" s="420">
        <f>SUMIF(90:90,G27,91:91)-SUMIF(90:90,C27,91:91)+100</f>
        <v>100</v>
      </c>
      <c r="I27" s="421"/>
      <c r="J27" s="420">
        <f>SUMIF(90:90,I27,91:91)-SUMIF(90:90,C27,91:91)+100</f>
        <v>100</v>
      </c>
      <c r="K27" s="2067"/>
      <c r="L27" s="2927"/>
      <c r="M27" s="2928"/>
      <c r="N27" s="2928"/>
      <c r="O27" s="2928"/>
      <c r="P27" s="3463"/>
      <c r="Q27" s="1517">
        <f t="shared" si="11"/>
        <v>111</v>
      </c>
      <c r="R27" s="708" t="s">
        <v>21</v>
      </c>
      <c r="S27" s="709">
        <f t="shared" si="12"/>
        <v>100</v>
      </c>
      <c r="T27" s="708" t="s">
        <v>21</v>
      </c>
      <c r="U27" s="709">
        <f t="shared" si="13"/>
        <v>100</v>
      </c>
      <c r="V27" s="708" t="s">
        <v>21</v>
      </c>
      <c r="W27" s="709">
        <f t="shared" si="14"/>
        <v>100</v>
      </c>
      <c r="X27" s="710"/>
      <c r="Y27" s="3363"/>
      <c r="Z27" s="55">
        <f>Q27</f>
        <v>111</v>
      </c>
      <c r="AA27" s="1527">
        <f t="shared" si="15"/>
        <v>1</v>
      </c>
      <c r="AB27" s="1527">
        <f t="shared" si="16"/>
        <v>1</v>
      </c>
      <c r="AC27" s="1527">
        <f t="shared" si="17"/>
        <v>1</v>
      </c>
    </row>
    <row r="28" spans="1:29" ht="15">
      <c r="A28" s="386"/>
      <c r="B28" s="1286">
        <v>111</v>
      </c>
      <c r="C28" s="392"/>
      <c r="D28" s="393">
        <v>100</v>
      </c>
      <c r="E28" s="392"/>
      <c r="F28" s="393">
        <f>SUMIF(92:92,E28,93:93)-SUMIF(92:92,C28,93:93)+100</f>
        <v>100</v>
      </c>
      <c r="G28" s="2081"/>
      <c r="H28" s="393">
        <f>SUMIF(92:92,G28,93:93)-SUMIF(92:92,C28,93:93)+100</f>
        <v>100</v>
      </c>
      <c r="I28" s="392"/>
      <c r="J28" s="393">
        <f>SUMIF(92:92,I28,93:93)-SUMIF(92:92,C28,93:93)+100</f>
        <v>100</v>
      </c>
      <c r="K28" s="2067"/>
      <c r="L28" s="2932"/>
      <c r="M28" s="2926"/>
      <c r="N28" s="2926"/>
      <c r="O28" s="2926"/>
      <c r="P28" s="3463"/>
      <c r="Q28" s="1526">
        <f t="shared" si="11"/>
        <v>111</v>
      </c>
      <c r="R28" s="712" t="s">
        <v>21</v>
      </c>
      <c r="S28" s="713">
        <f t="shared" si="12"/>
        <v>100</v>
      </c>
      <c r="T28" s="712" t="s">
        <v>21</v>
      </c>
      <c r="U28" s="713">
        <f t="shared" si="13"/>
        <v>100</v>
      </c>
      <c r="V28" s="712" t="s">
        <v>21</v>
      </c>
      <c r="W28" s="713">
        <f t="shared" si="14"/>
        <v>100</v>
      </c>
      <c r="X28" s="1529"/>
      <c r="Y28" s="3363"/>
      <c r="Z28" s="1530">
        <f t="shared" ref="Z28:Z46" si="18">Q28</f>
        <v>111</v>
      </c>
      <c r="AA28" s="1527">
        <f t="shared" si="15"/>
        <v>1</v>
      </c>
      <c r="AB28" s="1527">
        <f t="shared" si="16"/>
        <v>1</v>
      </c>
      <c r="AC28" s="1527">
        <f t="shared" si="17"/>
        <v>1</v>
      </c>
    </row>
    <row r="29" spans="1:29" ht="15">
      <c r="A29" s="386"/>
      <c r="B29" s="1286">
        <v>111</v>
      </c>
      <c r="C29" s="392"/>
      <c r="D29" s="393">
        <v>100</v>
      </c>
      <c r="E29" s="392"/>
      <c r="F29" s="393">
        <f>SUMIF(94:94,E29,95:95)-SUMIF(94:94,C29,95:95)+100</f>
        <v>100</v>
      </c>
      <c r="G29" s="2081"/>
      <c r="H29" s="393">
        <f>SUMIF(94:94,G29,95:95)-SUMIF(94:94,C29,95:95)+100</f>
        <v>100</v>
      </c>
      <c r="I29" s="392"/>
      <c r="J29" s="393">
        <f>SUMIF(94:94,I29,95:95)-SUMIF(94:94,C29,95:95)+100</f>
        <v>100</v>
      </c>
      <c r="K29" s="2067"/>
      <c r="L29" s="2932"/>
      <c r="M29" s="2926"/>
      <c r="N29" s="2926"/>
      <c r="O29" s="2926"/>
      <c r="P29" s="3463"/>
      <c r="Q29" s="1526">
        <f t="shared" si="11"/>
        <v>111</v>
      </c>
      <c r="R29" s="712" t="s">
        <v>21</v>
      </c>
      <c r="S29" s="713">
        <f t="shared" si="12"/>
        <v>100</v>
      </c>
      <c r="T29" s="712" t="s">
        <v>21</v>
      </c>
      <c r="U29" s="713">
        <f t="shared" si="13"/>
        <v>100</v>
      </c>
      <c r="V29" s="712" t="s">
        <v>21</v>
      </c>
      <c r="W29" s="713">
        <f t="shared" si="14"/>
        <v>100</v>
      </c>
      <c r="X29" s="1529"/>
      <c r="Y29" s="3363"/>
      <c r="Z29" s="1530">
        <f t="shared" si="18"/>
        <v>111</v>
      </c>
      <c r="AA29" s="1527">
        <f t="shared" si="15"/>
        <v>1</v>
      </c>
      <c r="AB29" s="1527">
        <f t="shared" si="16"/>
        <v>1</v>
      </c>
      <c r="AC29" s="1527">
        <f t="shared" si="17"/>
        <v>1</v>
      </c>
    </row>
    <row r="30" spans="1:29" ht="15">
      <c r="A30" s="386"/>
      <c r="B30" s="1286">
        <v>111</v>
      </c>
      <c r="C30" s="392"/>
      <c r="D30" s="393">
        <v>100</v>
      </c>
      <c r="E30" s="392"/>
      <c r="F30" s="393">
        <f>SUMIF(96:96,E30,97:97)-SUMIF(96:96,C30,97:97)+100</f>
        <v>100</v>
      </c>
      <c r="G30" s="2081"/>
      <c r="H30" s="393">
        <f>SUMIF(96:96,G30,97:97)-SUMIF(96:96,C30,97:97)+100</f>
        <v>100</v>
      </c>
      <c r="I30" s="392"/>
      <c r="J30" s="393">
        <f>SUMIF(96:96,I30,97:97)-SUMIF(96:96,C30,97:97)+100</f>
        <v>100</v>
      </c>
      <c r="K30" s="2067"/>
      <c r="L30" s="2932"/>
      <c r="M30" s="2926"/>
      <c r="N30" s="2926"/>
      <c r="O30" s="2926"/>
      <c r="P30" s="3463"/>
      <c r="Q30" s="1526">
        <f t="shared" si="11"/>
        <v>111</v>
      </c>
      <c r="R30" s="712" t="s">
        <v>21</v>
      </c>
      <c r="S30" s="713">
        <f t="shared" si="12"/>
        <v>100</v>
      </c>
      <c r="T30" s="712" t="s">
        <v>21</v>
      </c>
      <c r="U30" s="713">
        <f t="shared" si="13"/>
        <v>100</v>
      </c>
      <c r="V30" s="712" t="s">
        <v>21</v>
      </c>
      <c r="W30" s="713">
        <f t="shared" si="14"/>
        <v>100</v>
      </c>
      <c r="X30" s="1529"/>
      <c r="Y30" s="3363"/>
      <c r="Z30" s="1530">
        <f t="shared" si="18"/>
        <v>111</v>
      </c>
      <c r="AA30" s="1527">
        <f t="shared" si="15"/>
        <v>1</v>
      </c>
      <c r="AB30" s="1527">
        <f t="shared" si="16"/>
        <v>1</v>
      </c>
      <c r="AC30" s="1527">
        <f t="shared" si="17"/>
        <v>1</v>
      </c>
    </row>
    <row r="31" spans="1:29" ht="15.75" thickBot="1">
      <c r="A31" s="394"/>
      <c r="B31" s="1286">
        <v>111</v>
      </c>
      <c r="C31" s="395"/>
      <c r="D31" s="396">
        <v>100</v>
      </c>
      <c r="E31" s="395"/>
      <c r="F31" s="396">
        <f>SUMIF(98:98,E31,99:99)-SUMIF(98:98,C31,99:99)+100</f>
        <v>100</v>
      </c>
      <c r="G31" s="2082"/>
      <c r="H31" s="396">
        <f>SUMIF(98:98,G31,99:99)-SUMIF(98:98,C31,99:99)+100</f>
        <v>100</v>
      </c>
      <c r="I31" s="395"/>
      <c r="J31" s="396">
        <f>SUMIF(98:98,I31,99:99)-SUMIF(98:98,C31,99:99)+100</f>
        <v>100</v>
      </c>
      <c r="K31" s="2067"/>
      <c r="L31" s="2932"/>
      <c r="M31" s="2926"/>
      <c r="N31" s="2926"/>
      <c r="O31" s="2926"/>
      <c r="P31" s="3463"/>
      <c r="Q31" s="1526">
        <f t="shared" si="11"/>
        <v>111</v>
      </c>
      <c r="R31" s="712" t="s">
        <v>21</v>
      </c>
      <c r="S31" s="713">
        <f t="shared" si="12"/>
        <v>100</v>
      </c>
      <c r="T31" s="712" t="s">
        <v>21</v>
      </c>
      <c r="U31" s="713">
        <f t="shared" si="13"/>
        <v>100</v>
      </c>
      <c r="V31" s="712" t="s">
        <v>21</v>
      </c>
      <c r="W31" s="713">
        <f t="shared" si="14"/>
        <v>100</v>
      </c>
      <c r="X31" s="1529"/>
      <c r="Y31" s="3363"/>
      <c r="Z31" s="1530">
        <f t="shared" si="18"/>
        <v>111</v>
      </c>
      <c r="AA31" s="1527">
        <f t="shared" si="15"/>
        <v>1</v>
      </c>
      <c r="AB31" s="1527">
        <f t="shared" si="16"/>
        <v>1</v>
      </c>
      <c r="AC31" s="1527">
        <f t="shared" si="17"/>
        <v>1</v>
      </c>
    </row>
    <row r="32" spans="1:29" ht="15">
      <c r="A32" s="398" t="s">
        <v>2378</v>
      </c>
      <c r="B32" s="67" t="s">
        <v>2379</v>
      </c>
      <c r="C32" s="2083"/>
      <c r="D32" s="425">
        <v>100</v>
      </c>
      <c r="E32" s="2084"/>
      <c r="F32" s="419">
        <f>SUMIF(100:100,E32,101:101)-SUMIF(100:100,C32,101:101)+100</f>
        <v>100</v>
      </c>
      <c r="G32" s="2083"/>
      <c r="H32" s="425">
        <f>SUMIF(100:100,G32,101:101)-SUMIF(100:100,C32,101:101)+100</f>
        <v>100</v>
      </c>
      <c r="I32" s="2084"/>
      <c r="J32" s="393">
        <f>SUMIF(100:100,I32,101:101)-SUMIF(100:100,C32,101:101)+100</f>
        <v>100</v>
      </c>
      <c r="K32" s="384"/>
      <c r="L32" s="2932"/>
      <c r="M32" s="2926"/>
      <c r="N32" s="2926"/>
      <c r="O32" s="2926"/>
      <c r="P32" s="3458" t="s">
        <v>2380</v>
      </c>
      <c r="Q32" s="1526" t="str">
        <f t="shared" si="11"/>
        <v>建筑类型</v>
      </c>
      <c r="R32" s="712" t="s">
        <v>21</v>
      </c>
      <c r="S32" s="713">
        <f t="shared" si="12"/>
        <v>100</v>
      </c>
      <c r="T32" s="712" t="s">
        <v>21</v>
      </c>
      <c r="U32" s="713">
        <f t="shared" si="13"/>
        <v>100</v>
      </c>
      <c r="V32" s="712" t="s">
        <v>21</v>
      </c>
      <c r="W32" s="713">
        <f t="shared" si="14"/>
        <v>100</v>
      </c>
      <c r="X32" s="1529"/>
      <c r="Y32" s="3365" t="s">
        <v>2380</v>
      </c>
      <c r="Z32" s="1530" t="str">
        <f t="shared" si="18"/>
        <v>建筑类型</v>
      </c>
      <c r="AA32" s="1527">
        <f t="shared" si="15"/>
        <v>1</v>
      </c>
      <c r="AB32" s="1527">
        <f t="shared" si="16"/>
        <v>1</v>
      </c>
      <c r="AC32" s="1527">
        <f t="shared" si="17"/>
        <v>1</v>
      </c>
    </row>
    <row r="33" spans="1:29" s="429" customFormat="1" ht="15">
      <c r="A33" s="426"/>
      <c r="B33" s="380" t="s">
        <v>2381</v>
      </c>
      <c r="C33" s="427"/>
      <c r="D33" s="132">
        <v>100</v>
      </c>
      <c r="E33" s="388"/>
      <c r="F33" s="383" t="e">
        <f>LOOKUP(E33,103:103,104:104)-LOOKUP(C33,103:103,104:104)+100</f>
        <v>#N/A</v>
      </c>
      <c r="G33" s="387"/>
      <c r="H33" s="132" t="e">
        <f>LOOKUP(G33,103:103,104:104)-LOOKUP(C33,103:103,104:104)+100</f>
        <v>#N/A</v>
      </c>
      <c r="I33" s="388"/>
      <c r="J33" s="132" t="e">
        <f>LOOKUP(I33,103:103,104:104)-LOOKUP(C33,103:103,104:104)+100</f>
        <v>#N/A</v>
      </c>
      <c r="K33" s="2067"/>
      <c r="L33" s="2931"/>
      <c r="M33" s="2933"/>
      <c r="N33" s="2933"/>
      <c r="O33" s="2933"/>
      <c r="P33" s="3459"/>
      <c r="Q33" s="714" t="str">
        <f t="shared" si="11"/>
        <v>项目建筑规模</v>
      </c>
      <c r="R33" s="715" t="s">
        <v>21</v>
      </c>
      <c r="S33" s="716" t="e">
        <f t="shared" si="12"/>
        <v>#N/A</v>
      </c>
      <c r="T33" s="715" t="s">
        <v>21</v>
      </c>
      <c r="U33" s="716" t="e">
        <f t="shared" si="13"/>
        <v>#N/A</v>
      </c>
      <c r="V33" s="715" t="s">
        <v>21</v>
      </c>
      <c r="W33" s="716" t="e">
        <f t="shared" si="14"/>
        <v>#N/A</v>
      </c>
      <c r="X33" s="717"/>
      <c r="Y33" s="3365"/>
      <c r="Z33" s="718" t="str">
        <f t="shared" si="18"/>
        <v>项目建筑规模</v>
      </c>
      <c r="AA33" s="1527" t="e">
        <f t="shared" si="15"/>
        <v>#N/A</v>
      </c>
      <c r="AB33" s="1527" t="e">
        <f t="shared" si="16"/>
        <v>#N/A</v>
      </c>
      <c r="AC33" s="1527" t="e">
        <f t="shared" si="17"/>
        <v>#N/A</v>
      </c>
    </row>
    <row r="34" spans="1:29" ht="15">
      <c r="A34" s="430"/>
      <c r="B34" s="380" t="s">
        <v>2382</v>
      </c>
      <c r="C34" s="2085"/>
      <c r="D34" s="393">
        <v>100</v>
      </c>
      <c r="E34" s="2086"/>
      <c r="F34" s="419">
        <f>SUMIF(105:105,E34,106:106)-SUMIF(105:105,C34,106:106)+100</f>
        <v>100</v>
      </c>
      <c r="G34" s="2085"/>
      <c r="H34" s="393">
        <f>SUMIF(105:105,G34,106:106)-SUMIF(105:105,C34,106:106)+100</f>
        <v>100</v>
      </c>
      <c r="I34" s="2086"/>
      <c r="J34" s="393">
        <f>SUMIF(105:105,I34,106:106)-SUMIF(105:105,C34,106:106)+100</f>
        <v>100</v>
      </c>
      <c r="K34" s="384"/>
      <c r="L34" s="2932"/>
      <c r="M34" s="2926"/>
      <c r="N34" s="2926"/>
      <c r="O34" s="2926"/>
      <c r="P34" s="3459"/>
      <c r="Q34" s="1526" t="str">
        <f t="shared" si="11"/>
        <v>建筑结构</v>
      </c>
      <c r="R34" s="712" t="s">
        <v>21</v>
      </c>
      <c r="S34" s="713">
        <f t="shared" si="12"/>
        <v>100</v>
      </c>
      <c r="T34" s="712" t="s">
        <v>21</v>
      </c>
      <c r="U34" s="713">
        <f t="shared" si="13"/>
        <v>100</v>
      </c>
      <c r="V34" s="712" t="s">
        <v>21</v>
      </c>
      <c r="W34" s="713">
        <f t="shared" si="14"/>
        <v>100</v>
      </c>
      <c r="X34" s="1529"/>
      <c r="Y34" s="3365"/>
      <c r="Z34" s="1530" t="str">
        <f t="shared" si="18"/>
        <v>建筑结构</v>
      </c>
      <c r="AA34" s="1527">
        <f t="shared" si="15"/>
        <v>1</v>
      </c>
      <c r="AB34" s="1527">
        <f t="shared" si="16"/>
        <v>1</v>
      </c>
      <c r="AC34" s="1527">
        <f t="shared" si="17"/>
        <v>1</v>
      </c>
    </row>
    <row r="35" spans="1:29" ht="15">
      <c r="A35" s="430"/>
      <c r="B35" s="380" t="s">
        <v>2383</v>
      </c>
      <c r="C35" s="2079"/>
      <c r="D35" s="393">
        <v>100</v>
      </c>
      <c r="E35" s="2080"/>
      <c r="F35" s="419">
        <f>SUMIF(107:107,E35,108:108)-SUMIF(107:107,C35,108:108)+100</f>
        <v>100</v>
      </c>
      <c r="G35" s="2079"/>
      <c r="H35" s="393">
        <f>SUMIF(107:107,G35,108:108)-SUMIF(107:107,C35,108:108)+100</f>
        <v>100</v>
      </c>
      <c r="I35" s="2080"/>
      <c r="J35" s="393">
        <f>SUMIF(107:107,I35,108:108)-SUMIF(107:107,C35,108:108)+100</f>
        <v>100</v>
      </c>
      <c r="K35" s="384"/>
      <c r="L35" s="2932"/>
      <c r="M35" s="2926"/>
      <c r="N35" s="2926"/>
      <c r="O35" s="2926"/>
      <c r="P35" s="3459"/>
      <c r="Q35" s="1526" t="str">
        <f t="shared" si="11"/>
        <v>建筑品质</v>
      </c>
      <c r="R35" s="712" t="s">
        <v>21</v>
      </c>
      <c r="S35" s="713">
        <f t="shared" si="12"/>
        <v>100</v>
      </c>
      <c r="T35" s="712" t="s">
        <v>21</v>
      </c>
      <c r="U35" s="713">
        <f t="shared" si="13"/>
        <v>100</v>
      </c>
      <c r="V35" s="712" t="s">
        <v>21</v>
      </c>
      <c r="W35" s="713">
        <f t="shared" si="14"/>
        <v>100</v>
      </c>
      <c r="X35" s="1529"/>
      <c r="Y35" s="3365"/>
      <c r="Z35" s="1530" t="str">
        <f t="shared" si="18"/>
        <v>建筑品质</v>
      </c>
      <c r="AA35" s="1527">
        <f t="shared" si="15"/>
        <v>1</v>
      </c>
      <c r="AB35" s="1527">
        <f t="shared" si="16"/>
        <v>1</v>
      </c>
      <c r="AC35" s="1527">
        <f t="shared" si="17"/>
        <v>1</v>
      </c>
    </row>
    <row r="36" spans="1:29" ht="15">
      <c r="A36" s="430"/>
      <c r="B36" s="380" t="s">
        <v>2384</v>
      </c>
      <c r="C36" s="2079"/>
      <c r="D36" s="393">
        <v>100</v>
      </c>
      <c r="E36" s="2080"/>
      <c r="F36" s="419">
        <f>SUMIF(109:109,E36,110:110)-SUMIF(109:109,C36,110:110)+100</f>
        <v>100</v>
      </c>
      <c r="G36" s="2079"/>
      <c r="H36" s="393">
        <f>SUMIF(109:109,G36,110:110)-SUMIF(109:109,C36,110:110)+100</f>
        <v>100</v>
      </c>
      <c r="I36" s="2080"/>
      <c r="J36" s="393">
        <f>SUMIF(109:109,I36,110:110)-SUMIF(109:109,C36,110:110)+100</f>
        <v>100</v>
      </c>
      <c r="K36" s="384"/>
      <c r="L36" s="2932"/>
      <c r="M36" s="2926"/>
      <c r="N36" s="2926"/>
      <c r="O36" s="2926"/>
      <c r="P36" s="3459"/>
      <c r="Q36" s="1526" t="str">
        <f t="shared" si="11"/>
        <v>公共部分装修</v>
      </c>
      <c r="R36" s="712" t="s">
        <v>21</v>
      </c>
      <c r="S36" s="713">
        <f t="shared" si="12"/>
        <v>100</v>
      </c>
      <c r="T36" s="712" t="s">
        <v>21</v>
      </c>
      <c r="U36" s="713">
        <f t="shared" si="13"/>
        <v>100</v>
      </c>
      <c r="V36" s="712" t="s">
        <v>21</v>
      </c>
      <c r="W36" s="713">
        <f t="shared" si="14"/>
        <v>100</v>
      </c>
      <c r="X36" s="1529"/>
      <c r="Y36" s="3365"/>
      <c r="Z36" s="1530" t="str">
        <f t="shared" si="18"/>
        <v>公共部分装修</v>
      </c>
      <c r="AA36" s="1527">
        <f t="shared" si="15"/>
        <v>1</v>
      </c>
      <c r="AB36" s="1527">
        <f t="shared" si="16"/>
        <v>1</v>
      </c>
      <c r="AC36" s="1527">
        <f t="shared" si="17"/>
        <v>1</v>
      </c>
    </row>
    <row r="37" spans="1:29" s="113" customFormat="1" ht="15">
      <c r="A37" s="431"/>
      <c r="B37" s="380" t="s">
        <v>2385</v>
      </c>
      <c r="C37" s="432"/>
      <c r="D37" s="132">
        <v>100</v>
      </c>
      <c r="E37" s="432"/>
      <c r="F37" s="383" t="e">
        <f>LOOKUP(E37,112:112,113:113)-LOOKUP(C37,112:112,113:113)+100</f>
        <v>#N/A</v>
      </c>
      <c r="G37" s="434"/>
      <c r="H37" s="132" t="e">
        <f>LOOKUP(G37,112:112,113:113)-LOOKUP(C37,112:112,113:113)+100</f>
        <v>#N/A</v>
      </c>
      <c r="I37" s="433"/>
      <c r="J37" s="132" t="e">
        <f>LOOKUP(I37,112:112,113:113)-LOOKUP(C37,112:112,113:113)+100</f>
        <v>#N/A</v>
      </c>
      <c r="K37" s="384"/>
      <c r="L37" s="2927"/>
      <c r="M37" s="2928"/>
      <c r="N37" s="2928"/>
      <c r="O37" s="2928"/>
      <c r="P37" s="3459"/>
      <c r="Q37" s="1517" t="str">
        <f t="shared" si="11"/>
        <v>成新度</v>
      </c>
      <c r="R37" s="708" t="s">
        <v>21</v>
      </c>
      <c r="S37" s="709" t="e">
        <f t="shared" si="12"/>
        <v>#N/A</v>
      </c>
      <c r="T37" s="708" t="s">
        <v>21</v>
      </c>
      <c r="U37" s="709" t="e">
        <f t="shared" si="13"/>
        <v>#N/A</v>
      </c>
      <c r="V37" s="708" t="s">
        <v>21</v>
      </c>
      <c r="W37" s="709" t="e">
        <f t="shared" si="14"/>
        <v>#N/A</v>
      </c>
      <c r="X37" s="710"/>
      <c r="Y37" s="3365"/>
      <c r="Z37" s="55" t="str">
        <f t="shared" si="18"/>
        <v>成新度</v>
      </c>
      <c r="AA37" s="711" t="e">
        <f t="shared" si="15"/>
        <v>#N/A</v>
      </c>
      <c r="AB37" s="711" t="e">
        <f t="shared" si="16"/>
        <v>#N/A</v>
      </c>
      <c r="AC37" s="711" t="e">
        <f t="shared" si="17"/>
        <v>#N/A</v>
      </c>
    </row>
    <row r="38" spans="1:29" ht="15">
      <c r="A38" s="430"/>
      <c r="B38" s="380" t="s">
        <v>2386</v>
      </c>
      <c r="C38" s="2079"/>
      <c r="D38" s="393">
        <v>100</v>
      </c>
      <c r="E38" s="2080"/>
      <c r="F38" s="419">
        <f>SUMIF(114:114,E38,115:115)-SUMIF(114:114,C38,115:115)+100</f>
        <v>100</v>
      </c>
      <c r="G38" s="2079"/>
      <c r="H38" s="393">
        <f>SUMIF(114:114,G38,115:115)-SUMIF(114:114,C38,115:115)+100</f>
        <v>100</v>
      </c>
      <c r="I38" s="2080"/>
      <c r="J38" s="393">
        <f>SUMIF(114:114,I38,115:115)-SUMIF(114:114,C38,115:115)+100</f>
        <v>100</v>
      </c>
      <c r="K38" s="384"/>
      <c r="L38" s="2932"/>
      <c r="M38" s="2926"/>
      <c r="N38" s="2926"/>
      <c r="O38" s="2926"/>
      <c r="P38" s="3459" t="s">
        <v>2380</v>
      </c>
      <c r="Q38" s="1526" t="str">
        <f t="shared" si="11"/>
        <v>物业管理</v>
      </c>
      <c r="R38" s="712" t="s">
        <v>21</v>
      </c>
      <c r="S38" s="713">
        <f t="shared" si="12"/>
        <v>100</v>
      </c>
      <c r="T38" s="712" t="s">
        <v>21</v>
      </c>
      <c r="U38" s="713">
        <f t="shared" si="13"/>
        <v>100</v>
      </c>
      <c r="V38" s="712" t="s">
        <v>21</v>
      </c>
      <c r="W38" s="713">
        <f t="shared" si="14"/>
        <v>100</v>
      </c>
      <c r="X38" s="1529"/>
      <c r="Y38" s="3365" t="s">
        <v>2380</v>
      </c>
      <c r="Z38" s="1530" t="str">
        <f t="shared" si="18"/>
        <v>物业管理</v>
      </c>
      <c r="AA38" s="1527">
        <f t="shared" si="15"/>
        <v>1</v>
      </c>
      <c r="AB38" s="1527">
        <f t="shared" si="16"/>
        <v>1</v>
      </c>
      <c r="AC38" s="1527">
        <f t="shared" si="17"/>
        <v>1</v>
      </c>
    </row>
    <row r="39" spans="1:29" ht="15">
      <c r="A39" s="430"/>
      <c r="B39" s="380" t="s">
        <v>2387</v>
      </c>
      <c r="C39" s="2079"/>
      <c r="D39" s="393">
        <v>100</v>
      </c>
      <c r="E39" s="2080"/>
      <c r="F39" s="419">
        <f>SUMIF(116:116,E39,117:117)-SUMIF(116:116,C39,117:117)+100</f>
        <v>100</v>
      </c>
      <c r="G39" s="2079"/>
      <c r="H39" s="393">
        <f>SUMIF(116:116,G39,117:117)-SUMIF(116:116,C39,117:117)+100</f>
        <v>100</v>
      </c>
      <c r="I39" s="2080"/>
      <c r="J39" s="393">
        <f>SUMIF(116:116,I39,117:117)-SUMIF(116:116,C39,117:117)+100</f>
        <v>100</v>
      </c>
      <c r="K39" s="384"/>
      <c r="L39" s="2932"/>
      <c r="M39" s="2926"/>
      <c r="N39" s="2926"/>
      <c r="O39" s="2926"/>
      <c r="P39" s="3459"/>
      <c r="Q39" s="1526" t="str">
        <f t="shared" si="11"/>
        <v>市政基础设施</v>
      </c>
      <c r="R39" s="712" t="s">
        <v>21</v>
      </c>
      <c r="S39" s="713">
        <f t="shared" si="12"/>
        <v>100</v>
      </c>
      <c r="T39" s="712" t="s">
        <v>21</v>
      </c>
      <c r="U39" s="713">
        <f t="shared" si="13"/>
        <v>100</v>
      </c>
      <c r="V39" s="712" t="s">
        <v>21</v>
      </c>
      <c r="W39" s="713">
        <f t="shared" si="14"/>
        <v>100</v>
      </c>
      <c r="X39" s="1529"/>
      <c r="Y39" s="3365"/>
      <c r="Z39" s="1530" t="str">
        <f t="shared" si="18"/>
        <v>市政基础设施</v>
      </c>
      <c r="AA39" s="1527">
        <f t="shared" si="15"/>
        <v>1</v>
      </c>
      <c r="AB39" s="1527">
        <f t="shared" si="16"/>
        <v>1</v>
      </c>
      <c r="AC39" s="1527">
        <f t="shared" si="17"/>
        <v>1</v>
      </c>
    </row>
    <row r="40" spans="1:29" ht="15">
      <c r="A40" s="430"/>
      <c r="B40" s="380" t="s">
        <v>2388</v>
      </c>
      <c r="C40" s="2079"/>
      <c r="D40" s="393">
        <v>100</v>
      </c>
      <c r="E40" s="2080"/>
      <c r="F40" s="419">
        <f>SUMIF(118:118,E40,119:119)-SUMIF(118:118,C40,119:119)+100</f>
        <v>100</v>
      </c>
      <c r="G40" s="2079"/>
      <c r="H40" s="393">
        <f>SUMIF(118:118,G40,119:119)-SUMIF(118:118,C40,119:119)+100</f>
        <v>100</v>
      </c>
      <c r="I40" s="2080"/>
      <c r="J40" s="393">
        <f>SUMIF(118:118,I40,119:119)-SUMIF(118:118,C40,119:119)+100</f>
        <v>100</v>
      </c>
      <c r="K40" s="384"/>
      <c r="L40" s="2932"/>
      <c r="M40" s="2926"/>
      <c r="N40" s="2926"/>
      <c r="O40" s="2926"/>
      <c r="P40" s="3459"/>
      <c r="Q40" s="1526" t="str">
        <f t="shared" si="11"/>
        <v>房型</v>
      </c>
      <c r="R40" s="712" t="s">
        <v>21</v>
      </c>
      <c r="S40" s="713">
        <f t="shared" si="12"/>
        <v>100</v>
      </c>
      <c r="T40" s="712" t="s">
        <v>21</v>
      </c>
      <c r="U40" s="713">
        <f t="shared" si="13"/>
        <v>100</v>
      </c>
      <c r="V40" s="712" t="s">
        <v>21</v>
      </c>
      <c r="W40" s="713">
        <f t="shared" si="14"/>
        <v>100</v>
      </c>
      <c r="X40" s="1529"/>
      <c r="Y40" s="3365"/>
      <c r="Z40" s="1530" t="str">
        <f t="shared" si="18"/>
        <v>房型</v>
      </c>
      <c r="AA40" s="1527">
        <f t="shared" si="15"/>
        <v>1</v>
      </c>
      <c r="AB40" s="1527">
        <f t="shared" si="16"/>
        <v>1</v>
      </c>
      <c r="AC40" s="1527">
        <f t="shared" si="17"/>
        <v>1</v>
      </c>
    </row>
    <row r="41" spans="1:29" s="429" customFormat="1" ht="28.5">
      <c r="A41" s="426"/>
      <c r="B41" s="380" t="s">
        <v>2389</v>
      </c>
      <c r="C41" s="427"/>
      <c r="D41" s="132">
        <v>100</v>
      </c>
      <c r="E41" s="388"/>
      <c r="F41" s="383">
        <f>SUMIF(120:120,E41,121:121)-SUMIF(120:120,C41,121:121)+100</f>
        <v>100</v>
      </c>
      <c r="G41" s="387"/>
      <c r="H41" s="132">
        <f>SUMIF(120:120,G41,121:121)-SUMIF(120:120,C41,121:121)+100</f>
        <v>100</v>
      </c>
      <c r="I41" s="435"/>
      <c r="J41" s="393">
        <f>SUMIF(120:120,I41,121:121)-SUMIF(120:120,C41,121:121)+100</f>
        <v>100</v>
      </c>
      <c r="K41" s="2067"/>
      <c r="L41" s="2931"/>
      <c r="M41" s="2933"/>
      <c r="N41" s="2933"/>
      <c r="O41" s="2933"/>
      <c r="P41" s="3459"/>
      <c r="Q41" s="714" t="str">
        <f t="shared" si="11"/>
        <v>单套/主力户型建筑面积</v>
      </c>
      <c r="R41" s="715" t="s">
        <v>21</v>
      </c>
      <c r="S41" s="716">
        <f t="shared" si="12"/>
        <v>100</v>
      </c>
      <c r="T41" s="715" t="s">
        <v>21</v>
      </c>
      <c r="U41" s="716">
        <f t="shared" si="13"/>
        <v>100</v>
      </c>
      <c r="V41" s="715" t="s">
        <v>21</v>
      </c>
      <c r="W41" s="716">
        <f t="shared" si="14"/>
        <v>100</v>
      </c>
      <c r="X41" s="717"/>
      <c r="Y41" s="3365"/>
      <c r="Z41" s="718" t="str">
        <f t="shared" si="18"/>
        <v>单套/主力户型建筑面积</v>
      </c>
      <c r="AA41" s="1527">
        <f t="shared" si="15"/>
        <v>1</v>
      </c>
      <c r="AB41" s="1527">
        <f t="shared" si="16"/>
        <v>1</v>
      </c>
      <c r="AC41" s="1527">
        <f t="shared" si="17"/>
        <v>1</v>
      </c>
    </row>
    <row r="42" spans="1:29" ht="15">
      <c r="A42" s="430"/>
      <c r="B42" s="380" t="s">
        <v>2390</v>
      </c>
      <c r="C42" s="2079"/>
      <c r="D42" s="393">
        <v>100</v>
      </c>
      <c r="E42" s="2080"/>
      <c r="F42" s="419">
        <f>SUMIF(122:122,E42,123:123)-SUMIF(122:122,C42,123:123)+100</f>
        <v>100</v>
      </c>
      <c r="G42" s="2079"/>
      <c r="H42" s="393">
        <f>SUMIF(122:122,G42,123:123)-SUMIF(122:122,C42,123:123)+100</f>
        <v>100</v>
      </c>
      <c r="I42" s="2080"/>
      <c r="J42" s="393">
        <f>SUMIF(122:122,I42,123:123)-SUMIF(122:122,C42,123:123)+100</f>
        <v>100</v>
      </c>
      <c r="K42" s="384"/>
      <c r="L42" s="2932"/>
      <c r="M42" s="2926"/>
      <c r="N42" s="2926"/>
      <c r="O42" s="2926"/>
      <c r="P42" s="3459"/>
      <c r="Q42" s="1526" t="str">
        <f t="shared" si="11"/>
        <v>内部装修</v>
      </c>
      <c r="R42" s="712" t="s">
        <v>21</v>
      </c>
      <c r="S42" s="713">
        <f t="shared" si="12"/>
        <v>100</v>
      </c>
      <c r="T42" s="712" t="s">
        <v>21</v>
      </c>
      <c r="U42" s="713">
        <f t="shared" si="13"/>
        <v>100</v>
      </c>
      <c r="V42" s="712" t="s">
        <v>21</v>
      </c>
      <c r="W42" s="713">
        <f t="shared" si="14"/>
        <v>100</v>
      </c>
      <c r="X42" s="1529"/>
      <c r="Y42" s="3365"/>
      <c r="Z42" s="1530" t="str">
        <f t="shared" si="18"/>
        <v>内部装修</v>
      </c>
      <c r="AA42" s="1527">
        <f t="shared" si="15"/>
        <v>1</v>
      </c>
      <c r="AB42" s="1527">
        <f t="shared" si="16"/>
        <v>1</v>
      </c>
      <c r="AC42" s="1527">
        <f t="shared" si="17"/>
        <v>1</v>
      </c>
    </row>
    <row r="43" spans="1:29" ht="15">
      <c r="A43" s="430"/>
      <c r="B43" s="380" t="s">
        <v>2391</v>
      </c>
      <c r="C43" s="2079"/>
      <c r="D43" s="393">
        <v>100</v>
      </c>
      <c r="E43" s="2080"/>
      <c r="F43" s="419">
        <f>SUMIF(124:124,E43,125:125)-SUMIF(124:124,C43,125:125)+100</f>
        <v>100</v>
      </c>
      <c r="G43" s="2079"/>
      <c r="H43" s="393">
        <f>SUMIF(124:124,G43,125:125)-SUMIF(124:124,C43,125:125)+100</f>
        <v>100</v>
      </c>
      <c r="I43" s="2080"/>
      <c r="J43" s="393">
        <f>SUMIF(124:124,I43,125:125)-SUMIF(124:124,C43,125:125)+100</f>
        <v>100</v>
      </c>
      <c r="K43" s="384"/>
      <c r="L43" s="2932"/>
      <c r="M43" s="2926"/>
      <c r="N43" s="2926"/>
      <c r="O43" s="2926"/>
      <c r="P43" s="3459"/>
      <c r="Q43" s="1526" t="str">
        <f t="shared" si="11"/>
        <v>内部装修维护情况</v>
      </c>
      <c r="R43" s="712" t="s">
        <v>21</v>
      </c>
      <c r="S43" s="713">
        <f t="shared" si="12"/>
        <v>100</v>
      </c>
      <c r="T43" s="712" t="s">
        <v>21</v>
      </c>
      <c r="U43" s="713">
        <f t="shared" si="13"/>
        <v>100</v>
      </c>
      <c r="V43" s="712" t="s">
        <v>21</v>
      </c>
      <c r="W43" s="713">
        <f t="shared" si="14"/>
        <v>100</v>
      </c>
      <c r="X43" s="1529"/>
      <c r="Y43" s="3365"/>
      <c r="Z43" s="1530" t="str">
        <f t="shared" si="18"/>
        <v>内部装修维护情况</v>
      </c>
      <c r="AA43" s="1527">
        <f t="shared" si="15"/>
        <v>1</v>
      </c>
      <c r="AB43" s="1527">
        <f t="shared" si="16"/>
        <v>1</v>
      </c>
      <c r="AC43" s="1527">
        <f t="shared" si="17"/>
        <v>1</v>
      </c>
    </row>
    <row r="44" spans="1:29" s="113" customFormat="1" ht="15">
      <c r="A44" s="431"/>
      <c r="B44" s="1286">
        <v>111</v>
      </c>
      <c r="C44" s="427"/>
      <c r="D44" s="132">
        <v>100</v>
      </c>
      <c r="E44" s="427"/>
      <c r="F44" s="383">
        <f>SUMIF(126:126,E44,127:127)-SUMIF(126:126,C44,127:127)+100</f>
        <v>100</v>
      </c>
      <c r="G44" s="427"/>
      <c r="H44" s="132">
        <f>SUMIF(126:126,G44,127:127)-SUMIF(126:126,C44,127:127)+100</f>
        <v>100</v>
      </c>
      <c r="I44" s="427"/>
      <c r="J44" s="132">
        <f>SUMIF(126:126,I44,127:127)-SUMIF(126:126,C44,127:127)+100</f>
        <v>100</v>
      </c>
      <c r="K44" s="2067"/>
      <c r="L44" s="2927"/>
      <c r="M44" s="2928"/>
      <c r="N44" s="2928"/>
      <c r="O44" s="2928"/>
      <c r="P44" s="3459"/>
      <c r="Q44" s="1517">
        <f t="shared" si="11"/>
        <v>111</v>
      </c>
      <c r="R44" s="708" t="s">
        <v>21</v>
      </c>
      <c r="S44" s="709">
        <f t="shared" si="12"/>
        <v>100</v>
      </c>
      <c r="T44" s="708" t="s">
        <v>21</v>
      </c>
      <c r="U44" s="709">
        <f t="shared" si="13"/>
        <v>100</v>
      </c>
      <c r="V44" s="708" t="s">
        <v>21</v>
      </c>
      <c r="W44" s="709">
        <f t="shared" si="14"/>
        <v>100</v>
      </c>
      <c r="X44" s="710"/>
      <c r="Y44" s="3365"/>
      <c r="Z44" s="55">
        <f t="shared" si="18"/>
        <v>111</v>
      </c>
      <c r="AA44" s="711">
        <f t="shared" si="15"/>
        <v>1</v>
      </c>
      <c r="AB44" s="711">
        <f t="shared" si="16"/>
        <v>1</v>
      </c>
      <c r="AC44" s="711">
        <f t="shared" si="17"/>
        <v>1</v>
      </c>
    </row>
    <row r="45" spans="1:29" ht="15">
      <c r="A45" s="430"/>
      <c r="B45" s="1286">
        <v>111</v>
      </c>
      <c r="C45" s="392"/>
      <c r="D45" s="393">
        <v>100</v>
      </c>
      <c r="E45" s="392"/>
      <c r="F45" s="419">
        <f>SUMIF(128:128,E45,129:129)-SUMIF(128:128,C45,129:129)+100</f>
        <v>100</v>
      </c>
      <c r="G45" s="392"/>
      <c r="H45" s="393">
        <f>SUMIF(128:128,G45,129:129)-SUMIF(128:128,C45,129:129)+100</f>
        <v>100</v>
      </c>
      <c r="I45" s="392"/>
      <c r="J45" s="393">
        <f>SUMIF(128:128,I45,129:129)-SUMIF(128:128,C45,129:129)+100</f>
        <v>100</v>
      </c>
      <c r="K45" s="2067"/>
      <c r="L45" s="2932"/>
      <c r="M45" s="2926"/>
      <c r="N45" s="2926"/>
      <c r="O45" s="2926"/>
      <c r="P45" s="3459"/>
      <c r="Q45" s="1526">
        <f t="shared" si="11"/>
        <v>111</v>
      </c>
      <c r="R45" s="712" t="s">
        <v>21</v>
      </c>
      <c r="S45" s="713">
        <f t="shared" si="12"/>
        <v>100</v>
      </c>
      <c r="T45" s="712" t="s">
        <v>21</v>
      </c>
      <c r="U45" s="713">
        <f t="shared" si="13"/>
        <v>100</v>
      </c>
      <c r="V45" s="712" t="s">
        <v>21</v>
      </c>
      <c r="W45" s="713">
        <f t="shared" si="14"/>
        <v>100</v>
      </c>
      <c r="X45" s="1529"/>
      <c r="Y45" s="3365"/>
      <c r="Z45" s="1530">
        <f t="shared" si="18"/>
        <v>111</v>
      </c>
      <c r="AA45" s="1527">
        <f t="shared" si="15"/>
        <v>1</v>
      </c>
      <c r="AB45" s="1527">
        <f t="shared" si="16"/>
        <v>1</v>
      </c>
      <c r="AC45" s="1527">
        <f t="shared" si="17"/>
        <v>1</v>
      </c>
    </row>
    <row r="46" spans="1:29" ht="15.75" thickBot="1">
      <c r="A46" s="436"/>
      <c r="B46" s="2068">
        <v>111</v>
      </c>
      <c r="C46" s="395"/>
      <c r="D46" s="396">
        <v>100</v>
      </c>
      <c r="E46" s="395"/>
      <c r="F46" s="397">
        <f>SUMIF(130:130,E46,131:131)-SUMIF(130:130,C46,131:131)+100</f>
        <v>100</v>
      </c>
      <c r="G46" s="395"/>
      <c r="H46" s="396">
        <f>SUMIF(130:130,G46,131:131)-SUMIF(130:130,C46,131:131)+100</f>
        <v>100</v>
      </c>
      <c r="I46" s="395"/>
      <c r="J46" s="396">
        <f>SUMIF(130:130,I46,131:131)-SUMIF(130:130,C46,131:131)+100</f>
        <v>100</v>
      </c>
      <c r="K46" s="2067"/>
      <c r="L46" s="2932"/>
      <c r="M46" s="2926"/>
      <c r="N46" s="2926"/>
      <c r="O46" s="2926"/>
      <c r="P46" s="3460"/>
      <c r="Q46" s="1526">
        <f t="shared" si="11"/>
        <v>111</v>
      </c>
      <c r="R46" s="712" t="s">
        <v>20</v>
      </c>
      <c r="S46" s="713">
        <f t="shared" si="12"/>
        <v>100</v>
      </c>
      <c r="T46" s="712" t="s">
        <v>20</v>
      </c>
      <c r="U46" s="713">
        <f t="shared" si="13"/>
        <v>100</v>
      </c>
      <c r="V46" s="712" t="s">
        <v>20</v>
      </c>
      <c r="W46" s="713">
        <f t="shared" si="14"/>
        <v>100</v>
      </c>
      <c r="X46" s="1529"/>
      <c r="Y46" s="3461"/>
      <c r="Z46" s="1530">
        <f t="shared" si="18"/>
        <v>111</v>
      </c>
      <c r="AA46" s="1527">
        <f t="shared" si="15"/>
        <v>1</v>
      </c>
      <c r="AB46" s="1527">
        <f t="shared" si="16"/>
        <v>1</v>
      </c>
      <c r="AC46" s="1527">
        <f t="shared" si="17"/>
        <v>1</v>
      </c>
    </row>
    <row r="47" spans="1:29" ht="15">
      <c r="A47" s="437" t="s">
        <v>2392</v>
      </c>
      <c r="B47" s="438"/>
      <c r="C47" s="1305" t="s">
        <v>19</v>
      </c>
      <c r="D47" s="1306"/>
      <c r="E47" s="1307"/>
      <c r="F47" s="1308"/>
      <c r="G47" s="1309"/>
      <c r="H47" s="1310"/>
      <c r="I47" s="1307"/>
      <c r="J47" s="1310"/>
      <c r="K47" s="2087"/>
      <c r="L47" s="2934"/>
      <c r="M47" s="2935"/>
      <c r="N47" s="2926"/>
      <c r="O47" s="2935"/>
      <c r="P47" s="3360" t="str">
        <f>A47</f>
        <v>成交单价（元/平方米）</v>
      </c>
      <c r="Q47" s="3360"/>
      <c r="R47" s="3457">
        <f>E47</f>
        <v>0</v>
      </c>
      <c r="S47" s="3457"/>
      <c r="T47" s="3457">
        <f>G47</f>
        <v>0</v>
      </c>
      <c r="U47" s="3457"/>
      <c r="V47" s="3457">
        <f>I47</f>
        <v>0</v>
      </c>
      <c r="W47" s="3457"/>
      <c r="X47" s="697"/>
      <c r="Y47" s="719"/>
      <c r="Z47" s="697"/>
      <c r="AA47" s="697"/>
      <c r="AB47" s="697"/>
      <c r="AC47" s="697"/>
    </row>
    <row r="48" spans="1:29" ht="15.75" thickBot="1">
      <c r="A48" s="444" t="s">
        <v>2393</v>
      </c>
      <c r="B48" s="445"/>
      <c r="C48" s="1311" t="e">
        <f>R49</f>
        <v>#DIV/0!</v>
      </c>
      <c r="D48" s="2522" t="s">
        <v>2864</v>
      </c>
      <c r="E48" s="1312" t="e">
        <f>R48</f>
        <v>#DIV/0!</v>
      </c>
      <c r="F48" s="2523"/>
      <c r="G48" s="1311" t="e">
        <f>T48</f>
        <v>#DIV/0!</v>
      </c>
      <c r="H48" s="2523"/>
      <c r="I48" s="1312" t="e">
        <f>V48</f>
        <v>#DIV/0!</v>
      </c>
      <c r="J48" s="2523"/>
      <c r="K48" s="2524">
        <f>F48+H48+J48</f>
        <v>0</v>
      </c>
      <c r="L48" s="2934"/>
      <c r="M48" s="2935"/>
      <c r="N48" s="2935"/>
      <c r="O48" s="2935"/>
      <c r="P48" s="3360" t="str">
        <f>A48</f>
        <v>比较价值（元/平方米）</v>
      </c>
      <c r="Q48" s="3360"/>
      <c r="R48" s="3457" t="e">
        <f>IF(F1="售价",ROUND(PRODUCT(R47,AA7:AA46),0),ROUND(PRODUCT(R47,AA7:AA46),1))</f>
        <v>#DIV/0!</v>
      </c>
      <c r="S48" s="3457"/>
      <c r="T48" s="3457" t="e">
        <f>IF(F1="售价",ROUND(PRODUCT(T47,AB7:AB46),0),ROUND(PRODUCT(T47,AB7:AB46),1))</f>
        <v>#DIV/0!</v>
      </c>
      <c r="U48" s="3457"/>
      <c r="V48" s="3457" t="e">
        <f>IF(F1="售价",ROUND(PRODUCT(V47,AC7:AC46),0),ROUND(PRODUCT(V47,AC7:AC46),1))</f>
        <v>#DIV/0!</v>
      </c>
      <c r="W48" s="3457"/>
      <c r="X48" s="697"/>
      <c r="Y48" s="697"/>
      <c r="Z48" s="697"/>
      <c r="AA48" s="697"/>
      <c r="AB48" s="697"/>
      <c r="AC48" s="697"/>
    </row>
    <row r="49" spans="1:29" ht="15.75" thickBot="1">
      <c r="A49" s="448" t="s">
        <v>2394</v>
      </c>
      <c r="B49" s="449"/>
      <c r="C49" s="1313" t="e">
        <f>R49</f>
        <v>#DIV/0!</v>
      </c>
      <c r="D49" s="1314"/>
      <c r="E49" s="1314"/>
      <c r="F49" s="1314"/>
      <c r="G49" s="1314"/>
      <c r="H49" s="1314"/>
      <c r="I49" s="1314"/>
      <c r="J49" s="1314"/>
      <c r="K49" s="2088"/>
      <c r="L49" s="2934"/>
      <c r="M49" s="2935"/>
      <c r="N49" s="2935"/>
      <c r="O49" s="2935"/>
      <c r="P49" s="3354" t="str">
        <f>A49</f>
        <v>估价对象XX用房的比较价值（楼面单价，元/平方米）</v>
      </c>
      <c r="Q49" s="3355"/>
      <c r="R49" s="3456" t="e">
        <f>IF(F1="售价",ROUND(IF(D48="简单平均",AVERAGE(R48:V48),R48*F48+T48*H48+V48*J48),0),ROUND(IF(D48="简单平均",AVERAGE(R48:V48),R48*F48+T48*H48+V48*J48),1))</f>
        <v>#DIV/0!</v>
      </c>
      <c r="S49" s="3456"/>
      <c r="T49" s="3456"/>
      <c r="U49" s="3456"/>
      <c r="V49" s="3456"/>
      <c r="W49" s="3456"/>
      <c r="X49" s="697"/>
      <c r="Y49" s="697"/>
      <c r="Z49" s="697"/>
      <c r="AA49" s="697"/>
      <c r="AB49" s="697"/>
      <c r="AC49" s="697"/>
    </row>
    <row r="50" spans="1:29">
      <c r="A50" s="2935"/>
      <c r="B50" s="2935"/>
      <c r="C50" s="2935"/>
      <c r="D50" s="2935"/>
      <c r="E50" s="2935"/>
      <c r="F50" s="2935"/>
      <c r="G50" s="2939"/>
      <c r="H50" s="2935"/>
      <c r="I50" s="2935"/>
      <c r="J50" s="2935"/>
      <c r="K50" s="2940"/>
      <c r="L50" s="2936"/>
      <c r="M50" s="2935"/>
      <c r="N50" s="2935"/>
      <c r="O50" s="2935"/>
    </row>
    <row r="51" spans="1:29">
      <c r="A51" s="2935"/>
      <c r="B51" s="2935"/>
      <c r="C51" s="2935"/>
      <c r="D51" s="2935"/>
      <c r="E51" s="2935"/>
      <c r="F51" s="2935"/>
      <c r="G51" s="2935"/>
      <c r="H51" s="2935"/>
      <c r="I51" s="2935"/>
      <c r="J51" s="2935"/>
      <c r="K51" s="2940"/>
      <c r="L51" s="2936"/>
      <c r="M51" s="2935"/>
      <c r="N51" s="2935"/>
      <c r="O51" s="2935"/>
    </row>
    <row r="52" spans="1:29" ht="13.5" customHeight="1">
      <c r="A52" s="2935"/>
      <c r="B52" s="2935"/>
      <c r="C52" s="453" t="s">
        <v>2395</v>
      </c>
      <c r="D52" s="454"/>
      <c r="E52" s="455" t="e">
        <f>IF(E47&lt;E48,E48/E47-1,E47/E48-1)</f>
        <v>#DIV/0!</v>
      </c>
      <c r="F52" s="456" t="e">
        <f>IF(OR(E52&gt;=0.3,E52&lt;=-0.3),"超过30%","")</f>
        <v>#DIV/0!</v>
      </c>
      <c r="G52" s="455" t="e">
        <f>IF(G47&lt;G48,G48/G47-1,G47/G48-1)</f>
        <v>#DIV/0!</v>
      </c>
      <c r="H52" s="456" t="e">
        <f>IF(OR(G52&gt;=0.3,G52&lt;=-0.3),"超过30%","")</f>
        <v>#DIV/0!</v>
      </c>
      <c r="I52" s="455" t="e">
        <f>IF(I47&lt;I48,I48/I47-1,I47/I48-1)</f>
        <v>#DIV/0!</v>
      </c>
      <c r="J52" s="456" t="e">
        <f>IF(OR(I52&gt;=0.3,I52&lt;=-0.3),"超过30%","")</f>
        <v>#DIV/0!</v>
      </c>
      <c r="K52" s="2940"/>
      <c r="L52" s="2936"/>
      <c r="M52" s="2935"/>
      <c r="N52" s="2935"/>
      <c r="O52" s="2935"/>
    </row>
    <row r="53" spans="1:29" ht="13.5" customHeight="1">
      <c r="A53" s="2935"/>
      <c r="B53" s="2935"/>
      <c r="C53" s="453" t="s">
        <v>2396</v>
      </c>
      <c r="D53" s="457"/>
      <c r="E53" s="455" t="e">
        <f>IF(E48&lt;G48,G48/E48-1,E48/G48-1)</f>
        <v>#DIV/0!</v>
      </c>
      <c r="F53" s="456" t="e">
        <f>IF(OR(E53&gt;=0.2,E53&lt;=-0.2),"超过20%","")</f>
        <v>#DIV/0!</v>
      </c>
      <c r="G53" s="455" t="e">
        <f>IF(G48&lt;I48,I48/G48-1,G48/I48-1)</f>
        <v>#DIV/0!</v>
      </c>
      <c r="H53" s="456" t="e">
        <f>IF(OR(G53&gt;=0.2,G53&lt;=-0.2),"超过20%","")</f>
        <v>#DIV/0!</v>
      </c>
      <c r="I53" s="455" t="e">
        <f>IF(I48&lt;E48,E48/I48-1,I48/E48-1)</f>
        <v>#DIV/0!</v>
      </c>
      <c r="J53" s="456" t="e">
        <f>IF(OR(I53&gt;=0.2,I53&lt;=-0.2),"超过20%","")</f>
        <v>#DIV/0!</v>
      </c>
      <c r="K53" s="2940"/>
      <c r="L53" s="2936"/>
      <c r="M53" s="2935"/>
      <c r="N53" s="2935"/>
      <c r="O53" s="2935"/>
    </row>
    <row r="54" spans="1:29" s="458" customFormat="1" ht="13.5" customHeight="1">
      <c r="A54" s="2938"/>
      <c r="B54" s="2938"/>
      <c r="C54" s="453" t="s">
        <v>2397</v>
      </c>
      <c r="D54" s="457"/>
      <c r="E54" s="455" t="e">
        <f>IF(E47&lt;G47,G47/E47-1,E47/G47-1)</f>
        <v>#DIV/0!</v>
      </c>
      <c r="F54" s="456" t="e">
        <f>IF(OR(E54&gt;=0.3,E54&lt;=-0.3),"超过30%","")</f>
        <v>#DIV/0!</v>
      </c>
      <c r="G54" s="455" t="e">
        <f>IF(G47&lt;I47,I47/G47-1,G47/I47-1)</f>
        <v>#DIV/0!</v>
      </c>
      <c r="H54" s="456" t="e">
        <f>IF(OR(G54&gt;=0.3,G54&lt;=-0.3),"超过30%","")</f>
        <v>#DIV/0!</v>
      </c>
      <c r="I54" s="455" t="e">
        <f>IF(I47&lt;E47,E47/I47-1,I47/E47-1)</f>
        <v>#DIV/0!</v>
      </c>
      <c r="J54" s="456" t="e">
        <f>IF(OR(I54&gt;=0.3,I54&lt;=-0.3),"超过30%","")</f>
        <v>#DIV/0!</v>
      </c>
      <c r="K54" s="2943"/>
      <c r="L54" s="2937"/>
      <c r="M54" s="2938"/>
      <c r="N54" s="2938"/>
      <c r="O54" s="2938"/>
      <c r="P54" s="2090"/>
    </row>
    <row r="55" spans="1:29" s="458" customFormat="1">
      <c r="A55" s="2938"/>
      <c r="B55" s="2941"/>
      <c r="C55" s="2942"/>
      <c r="D55" s="2938"/>
      <c r="E55" s="2938"/>
      <c r="F55" s="2938"/>
      <c r="G55" s="2938"/>
      <c r="H55" s="2938"/>
      <c r="I55" s="2938"/>
      <c r="J55" s="2938"/>
      <c r="K55" s="2943"/>
      <c r="L55" s="2937"/>
      <c r="M55" s="2938"/>
      <c r="N55" s="2938"/>
      <c r="O55" s="2938"/>
      <c r="P55" s="2090"/>
    </row>
    <row r="56" spans="1:29">
      <c r="A56" s="2935"/>
      <c r="B56" s="2941"/>
      <c r="C56" s="2942"/>
      <c r="D56" s="2935"/>
      <c r="E56" s="2935"/>
      <c r="F56" s="2935"/>
      <c r="G56" s="2935"/>
      <c r="H56" s="2935"/>
      <c r="I56" s="2935"/>
      <c r="J56" s="2935"/>
      <c r="K56" s="2940"/>
      <c r="L56" s="2936"/>
      <c r="M56" s="2935"/>
      <c r="N56" s="2935"/>
      <c r="O56" s="2935"/>
    </row>
    <row r="57" spans="1:29" ht="21.75" thickBot="1">
      <c r="A57" s="701" t="s">
        <v>2398</v>
      </c>
      <c r="B57" s="697"/>
      <c r="C57" s="702"/>
      <c r="D57" s="702"/>
      <c r="E57" s="702"/>
      <c r="F57" s="703"/>
      <c r="G57" s="703"/>
      <c r="H57" s="702"/>
      <c r="I57" s="702"/>
      <c r="J57" s="702"/>
      <c r="K57" s="1064"/>
      <c r="L57" s="1065"/>
      <c r="M57" s="1063"/>
      <c r="N57" s="1063"/>
      <c r="O57" s="1063"/>
      <c r="P57" s="2091"/>
      <c r="Q57" s="460"/>
    </row>
    <row r="58" spans="1:29" s="464" customFormat="1" ht="15">
      <c r="A58" s="461" t="s">
        <v>2399</v>
      </c>
      <c r="B58" s="462"/>
      <c r="C58" s="1336" t="str">
        <f>YEAR(C7)&amp;"-"&amp;MONTH(C7)</f>
        <v>2021-3</v>
      </c>
      <c r="D58" s="1335">
        <f>EDATE(C58,-1)</f>
        <v>44228</v>
      </c>
      <c r="E58" s="1335">
        <f>EDATE(D58,-1)</f>
        <v>44197</v>
      </c>
      <c r="F58" s="1335">
        <f t="shared" ref="F58:O58" si="19">EDATE(E58,-1)</f>
        <v>44166</v>
      </c>
      <c r="G58" s="1335">
        <f t="shared" si="19"/>
        <v>44136</v>
      </c>
      <c r="H58" s="1335">
        <f t="shared" si="19"/>
        <v>44105</v>
      </c>
      <c r="I58" s="1335">
        <f t="shared" si="19"/>
        <v>44075</v>
      </c>
      <c r="J58" s="1335">
        <f t="shared" si="19"/>
        <v>44044</v>
      </c>
      <c r="K58" s="1335">
        <f t="shared" si="19"/>
        <v>44013</v>
      </c>
      <c r="L58" s="1335">
        <f t="shared" si="19"/>
        <v>43983</v>
      </c>
      <c r="M58" s="1335">
        <f t="shared" si="19"/>
        <v>43952</v>
      </c>
      <c r="N58" s="1335">
        <f t="shared" si="19"/>
        <v>43922</v>
      </c>
      <c r="O58" s="1335">
        <f t="shared" si="19"/>
        <v>43891</v>
      </c>
      <c r="P58" s="1331"/>
    </row>
    <row r="59" spans="1:29" s="113" customFormat="1" ht="15">
      <c r="A59" s="465"/>
      <c r="B59" s="2092"/>
      <c r="C59" s="1333">
        <v>100</v>
      </c>
      <c r="D59" s="467"/>
      <c r="E59" s="468"/>
      <c r="F59" s="468"/>
      <c r="G59" s="468"/>
      <c r="H59" s="468"/>
      <c r="I59" s="468"/>
      <c r="J59" s="468"/>
      <c r="K59" s="468"/>
      <c r="L59" s="468"/>
      <c r="M59" s="469"/>
      <c r="N59" s="468"/>
      <c r="O59" s="469"/>
      <c r="P59" s="2093"/>
    </row>
    <row r="60" spans="1:29" s="113" customFormat="1" ht="15.75" thickBot="1">
      <c r="A60" s="471" t="s">
        <v>2400</v>
      </c>
      <c r="B60" s="472"/>
      <c r="C60" s="473"/>
      <c r="D60" s="474"/>
      <c r="E60" s="474"/>
      <c r="F60" s="474"/>
      <c r="G60" s="474"/>
      <c r="H60" s="474"/>
      <c r="I60" s="474"/>
      <c r="J60" s="474"/>
      <c r="K60" s="474"/>
      <c r="L60" s="474"/>
      <c r="M60" s="475"/>
      <c r="N60" s="474"/>
      <c r="O60" s="475"/>
      <c r="P60" s="2093"/>
      <c r="Q60" s="460"/>
    </row>
    <row r="61" spans="1:29" s="113" customFormat="1" ht="15">
      <c r="A61" s="477" t="s">
        <v>2401</v>
      </c>
      <c r="B61" s="466"/>
      <c r="C61" s="478" t="s">
        <v>2402</v>
      </c>
      <c r="D61" s="479"/>
      <c r="E61" s="479"/>
      <c r="F61" s="479"/>
      <c r="G61" s="479"/>
      <c r="H61" s="479"/>
      <c r="I61" s="479"/>
      <c r="J61" s="479"/>
      <c r="K61" s="479"/>
      <c r="L61" s="480"/>
      <c r="M61" s="481"/>
      <c r="N61" s="1055"/>
      <c r="O61" s="1055"/>
      <c r="P61" s="2094"/>
      <c r="Q61" s="460"/>
    </row>
    <row r="62" spans="1:29" s="113" customFormat="1" ht="15.75" thickBot="1">
      <c r="A62" s="477"/>
      <c r="B62" s="466"/>
      <c r="C62" s="467">
        <v>100</v>
      </c>
      <c r="D62" s="468"/>
      <c r="E62" s="468"/>
      <c r="F62" s="468"/>
      <c r="G62" s="468"/>
      <c r="H62" s="468"/>
      <c r="I62" s="468"/>
      <c r="J62" s="468"/>
      <c r="K62" s="468"/>
      <c r="L62" s="468"/>
      <c r="M62" s="470"/>
      <c r="N62" s="1055"/>
      <c r="O62" s="1055"/>
      <c r="P62" s="2093"/>
      <c r="Q62" s="460"/>
    </row>
    <row r="63" spans="1:29">
      <c r="A63" s="483" t="s">
        <v>2403</v>
      </c>
      <c r="B63" s="484" t="s">
        <v>2369</v>
      </c>
      <c r="C63" s="485">
        <f>C9</f>
        <v>0</v>
      </c>
      <c r="D63" s="486"/>
      <c r="E63" s="486"/>
      <c r="F63" s="486"/>
      <c r="G63" s="486"/>
      <c r="H63" s="486"/>
      <c r="I63" s="486"/>
      <c r="J63" s="486"/>
      <c r="K63" s="487"/>
      <c r="L63" s="488"/>
      <c r="M63" s="489"/>
      <c r="N63" s="1056"/>
      <c r="O63" s="1056"/>
      <c r="P63" s="2095"/>
      <c r="Q63" s="460"/>
    </row>
    <row r="64" spans="1:29" ht="15.75" thickBot="1">
      <c r="A64" s="490"/>
      <c r="B64" s="491"/>
      <c r="C64" s="492">
        <v>100</v>
      </c>
      <c r="D64" s="492"/>
      <c r="E64" s="492"/>
      <c r="F64" s="492"/>
      <c r="G64" s="492"/>
      <c r="H64" s="492"/>
      <c r="I64" s="492"/>
      <c r="J64" s="492"/>
      <c r="K64" s="492"/>
      <c r="L64" s="492"/>
      <c r="M64" s="493"/>
      <c r="N64" s="1057"/>
      <c r="O64" s="1057"/>
      <c r="P64" s="2095"/>
      <c r="Q64" s="460"/>
    </row>
    <row r="65" spans="1:17" ht="27.75" thickTop="1">
      <c r="A65" s="490"/>
      <c r="B65" s="494" t="s">
        <v>2372</v>
      </c>
      <c r="C65" s="495" t="s">
        <v>2404</v>
      </c>
      <c r="D65" s="495" t="s">
        <v>2405</v>
      </c>
      <c r="E65" s="495" t="s">
        <v>2406</v>
      </c>
      <c r="F65" s="495" t="s">
        <v>2407</v>
      </c>
      <c r="G65" s="495" t="s">
        <v>2408</v>
      </c>
      <c r="H65" s="495" t="s">
        <v>2409</v>
      </c>
      <c r="I65" s="495" t="s">
        <v>2410</v>
      </c>
      <c r="J65" s="495"/>
      <c r="K65" s="496"/>
      <c r="L65" s="497"/>
      <c r="M65" s="498"/>
      <c r="N65" s="1056"/>
      <c r="O65" s="1056"/>
      <c r="P65" s="2095"/>
      <c r="Q65" s="460"/>
    </row>
    <row r="66" spans="1:17" ht="15.75" thickBot="1">
      <c r="A66" s="490"/>
      <c r="B66" s="499"/>
      <c r="C66" s="500">
        <v>100</v>
      </c>
      <c r="D66" s="500">
        <f t="shared" ref="D66:I66" si="20">C66-$K10</f>
        <v>100</v>
      </c>
      <c r="E66" s="500">
        <f t="shared" si="20"/>
        <v>100</v>
      </c>
      <c r="F66" s="500">
        <f t="shared" si="20"/>
        <v>100</v>
      </c>
      <c r="G66" s="500">
        <f t="shared" si="20"/>
        <v>100</v>
      </c>
      <c r="H66" s="500">
        <f t="shared" si="20"/>
        <v>100</v>
      </c>
      <c r="I66" s="500">
        <f t="shared" si="20"/>
        <v>100</v>
      </c>
      <c r="J66" s="500"/>
      <c r="K66" s="500"/>
      <c r="L66" s="500"/>
      <c r="M66" s="501"/>
      <c r="N66" s="1057"/>
      <c r="O66" s="1057"/>
      <c r="P66" s="2095"/>
      <c r="Q66" s="460"/>
    </row>
    <row r="67" spans="1:17" ht="15.75" thickTop="1">
      <c r="A67" s="490"/>
      <c r="B67" s="502" t="s">
        <v>2373</v>
      </c>
      <c r="C67" s="503" t="str">
        <f>C68&amp;"（含）"&amp;"-"&amp;D68</f>
        <v>（含）-</v>
      </c>
      <c r="D67" s="503" t="str">
        <f t="shared" ref="D67:L67" si="21">D68&amp;"（含）"&amp;"-"&amp;E68</f>
        <v>（含）-</v>
      </c>
      <c r="E67" s="503" t="str">
        <f t="shared" si="21"/>
        <v>（含）-</v>
      </c>
      <c r="F67" s="503" t="str">
        <f t="shared" si="21"/>
        <v>（含）-</v>
      </c>
      <c r="G67" s="503" t="str">
        <f t="shared" si="21"/>
        <v>（含）-</v>
      </c>
      <c r="H67" s="503" t="str">
        <f t="shared" si="21"/>
        <v>（含）-</v>
      </c>
      <c r="I67" s="503" t="str">
        <f t="shared" si="21"/>
        <v>（含）-</v>
      </c>
      <c r="J67" s="503" t="str">
        <f t="shared" si="21"/>
        <v>（含）-</v>
      </c>
      <c r="K67" s="503" t="str">
        <f>K68&amp;"（含）"&amp;"-"&amp;L68</f>
        <v>（含）-</v>
      </c>
      <c r="L67" s="503" t="str">
        <f t="shared" si="21"/>
        <v>（含）-</v>
      </c>
      <c r="M67" s="406" t="str">
        <f>M68&amp;"（含）"&amp;"-"&amp;P68</f>
        <v>（含）-</v>
      </c>
      <c r="N67" s="1057"/>
      <c r="O67" s="1057"/>
      <c r="P67" s="2095"/>
      <c r="Q67" s="460"/>
    </row>
    <row r="68" spans="1:17" ht="15">
      <c r="A68" s="490"/>
      <c r="B68" s="504"/>
      <c r="C68" s="505"/>
      <c r="D68" s="505"/>
      <c r="E68" s="505"/>
      <c r="F68" s="505"/>
      <c r="G68" s="505"/>
      <c r="H68" s="505"/>
      <c r="I68" s="505"/>
      <c r="J68" s="505"/>
      <c r="K68" s="506"/>
      <c r="L68" s="507"/>
      <c r="M68" s="508"/>
      <c r="N68" s="1056"/>
      <c r="O68" s="1056"/>
      <c r="P68" s="2095"/>
      <c r="Q68" s="460"/>
    </row>
    <row r="69" spans="1:17" ht="15.75" thickBot="1">
      <c r="A69" s="490"/>
      <c r="B69" s="491"/>
      <c r="C69" s="500">
        <v>100</v>
      </c>
      <c r="D69" s="500">
        <f t="shared" ref="D69:M69" si="22">C69-$K11</f>
        <v>100</v>
      </c>
      <c r="E69" s="500">
        <f t="shared" si="22"/>
        <v>100</v>
      </c>
      <c r="F69" s="500">
        <f t="shared" si="22"/>
        <v>100</v>
      </c>
      <c r="G69" s="500">
        <f t="shared" si="22"/>
        <v>100</v>
      </c>
      <c r="H69" s="500">
        <f t="shared" si="22"/>
        <v>100</v>
      </c>
      <c r="I69" s="500">
        <f t="shared" si="22"/>
        <v>100</v>
      </c>
      <c r="J69" s="500">
        <f t="shared" si="22"/>
        <v>100</v>
      </c>
      <c r="K69" s="500">
        <f t="shared" si="22"/>
        <v>100</v>
      </c>
      <c r="L69" s="500">
        <f t="shared" si="22"/>
        <v>100</v>
      </c>
      <c r="M69" s="501">
        <f t="shared" si="22"/>
        <v>100</v>
      </c>
      <c r="N69" s="1057"/>
      <c r="O69" s="1057"/>
      <c r="P69" s="2095"/>
      <c r="Q69" s="460"/>
    </row>
    <row r="70" spans="1:17" s="429" customFormat="1" ht="15.75" thickTop="1">
      <c r="A70" s="509"/>
      <c r="B70" s="494">
        <f>B12</f>
        <v>111</v>
      </c>
      <c r="C70" s="510"/>
      <c r="D70" s="510"/>
      <c r="E70" s="510"/>
      <c r="F70" s="510"/>
      <c r="G70" s="510"/>
      <c r="H70" s="511"/>
      <c r="I70" s="511"/>
      <c r="J70" s="511"/>
      <c r="K70" s="511"/>
      <c r="L70" s="512"/>
      <c r="M70" s="513"/>
      <c r="N70" s="1058"/>
      <c r="O70" s="1058"/>
      <c r="P70" s="2096"/>
      <c r="Q70" s="515"/>
    </row>
    <row r="71" spans="1:17" s="429" customFormat="1" ht="15.75" thickBot="1">
      <c r="A71" s="509"/>
      <c r="B71" s="499"/>
      <c r="C71" s="516"/>
      <c r="D71" s="492"/>
      <c r="E71" s="492"/>
      <c r="F71" s="492"/>
      <c r="G71" s="492"/>
      <c r="H71" s="492"/>
      <c r="I71" s="492"/>
      <c r="J71" s="492"/>
      <c r="K71" s="492"/>
      <c r="L71" s="492"/>
      <c r="M71" s="493"/>
      <c r="N71" s="1057"/>
      <c r="O71" s="1057"/>
      <c r="P71" s="2096"/>
      <c r="Q71" s="515"/>
    </row>
    <row r="72" spans="1:17" s="429" customFormat="1" ht="15.75" thickTop="1">
      <c r="A72" s="509"/>
      <c r="B72" s="494">
        <f>B13</f>
        <v>111</v>
      </c>
      <c r="C72" s="510"/>
      <c r="D72" s="510"/>
      <c r="E72" s="510"/>
      <c r="F72" s="510"/>
      <c r="G72" s="510"/>
      <c r="H72" s="511"/>
      <c r="I72" s="511"/>
      <c r="J72" s="511"/>
      <c r="K72" s="511"/>
      <c r="L72" s="512"/>
      <c r="M72" s="513"/>
      <c r="N72" s="1058"/>
      <c r="O72" s="1058"/>
      <c r="P72" s="2097"/>
      <c r="Q72" s="517"/>
    </row>
    <row r="73" spans="1:17" s="429" customFormat="1" ht="15.75" thickBot="1">
      <c r="A73" s="509"/>
      <c r="B73" s="499"/>
      <c r="C73" s="516"/>
      <c r="D73" s="516"/>
      <c r="E73" s="516"/>
      <c r="F73" s="516"/>
      <c r="G73" s="516"/>
      <c r="H73" s="518"/>
      <c r="I73" s="518"/>
      <c r="J73" s="518"/>
      <c r="K73" s="518"/>
      <c r="L73" s="518"/>
      <c r="M73" s="519"/>
      <c r="N73" s="1058"/>
      <c r="O73" s="1058"/>
      <c r="P73" s="2096"/>
      <c r="Q73" s="515"/>
    </row>
    <row r="74" spans="1:17" s="429" customFormat="1" ht="15.75" thickTop="1">
      <c r="A74" s="509"/>
      <c r="B74" s="502">
        <f>B14</f>
        <v>111</v>
      </c>
      <c r="C74" s="510"/>
      <c r="D74" s="510"/>
      <c r="E74" s="510"/>
      <c r="F74" s="510"/>
      <c r="G74" s="479"/>
      <c r="H74" s="520"/>
      <c r="I74" s="520"/>
      <c r="J74" s="520"/>
      <c r="K74" s="520"/>
      <c r="L74" s="521"/>
      <c r="M74" s="522"/>
      <c r="N74" s="1058"/>
      <c r="O74" s="1058"/>
      <c r="P74" s="2098"/>
      <c r="Q74" s="515"/>
    </row>
    <row r="75" spans="1:17" s="429" customFormat="1" ht="15.75" thickBot="1">
      <c r="A75" s="524"/>
      <c r="B75" s="525"/>
      <c r="C75" s="526"/>
      <c r="D75" s="526"/>
      <c r="E75" s="526"/>
      <c r="F75" s="526"/>
      <c r="G75" s="526"/>
      <c r="H75" s="527"/>
      <c r="I75" s="527"/>
      <c r="J75" s="527"/>
      <c r="K75" s="527"/>
      <c r="L75" s="527"/>
      <c r="M75" s="528"/>
      <c r="N75" s="1058"/>
      <c r="O75" s="1058"/>
      <c r="P75" s="2096"/>
      <c r="Q75" s="515"/>
    </row>
    <row r="76" spans="1:17">
      <c r="A76" s="483" t="s">
        <v>2374</v>
      </c>
      <c r="B76" s="484" t="s">
        <v>2411</v>
      </c>
      <c r="C76" s="529" t="s">
        <v>2412</v>
      </c>
      <c r="D76" s="529" t="s">
        <v>2413</v>
      </c>
      <c r="E76" s="529" t="s">
        <v>2414</v>
      </c>
      <c r="F76" s="529" t="s">
        <v>2415</v>
      </c>
      <c r="G76" s="529" t="s">
        <v>2416</v>
      </c>
      <c r="H76" s="485"/>
      <c r="I76" s="485"/>
      <c r="J76" s="485"/>
      <c r="K76" s="530"/>
      <c r="L76" s="531"/>
      <c r="M76" s="532"/>
      <c r="N76" s="1056"/>
      <c r="O76" s="1056"/>
      <c r="P76" s="2099"/>
      <c r="Q76" s="460"/>
    </row>
    <row r="77" spans="1:17" ht="15.75" thickBot="1">
      <c r="A77" s="490"/>
      <c r="B77" s="499"/>
      <c r="C77" s="500">
        <v>100</v>
      </c>
      <c r="D77" s="500">
        <f>C77-$K15</f>
        <v>100</v>
      </c>
      <c r="E77" s="500">
        <f>D77-$K15</f>
        <v>100</v>
      </c>
      <c r="F77" s="500">
        <f>E77-$K15</f>
        <v>100</v>
      </c>
      <c r="G77" s="500">
        <f>F77-$K15</f>
        <v>100</v>
      </c>
      <c r="H77" s="500"/>
      <c r="I77" s="500"/>
      <c r="J77" s="500"/>
      <c r="K77" s="500"/>
      <c r="L77" s="500"/>
      <c r="M77" s="501"/>
      <c r="N77" s="1057"/>
      <c r="O77" s="1057"/>
      <c r="P77" s="2095"/>
      <c r="Q77" s="460"/>
    </row>
    <row r="78" spans="1:17" ht="15.75" thickTop="1">
      <c r="A78" s="490"/>
      <c r="B78" s="494" t="s">
        <v>2417</v>
      </c>
      <c r="C78" s="534" t="s">
        <v>2412</v>
      </c>
      <c r="D78" s="534" t="s">
        <v>2413</v>
      </c>
      <c r="E78" s="534" t="s">
        <v>2414</v>
      </c>
      <c r="F78" s="534" t="s">
        <v>2415</v>
      </c>
      <c r="G78" s="534" t="s">
        <v>2416</v>
      </c>
      <c r="H78" s="495"/>
      <c r="I78" s="495"/>
      <c r="J78" s="495"/>
      <c r="K78" s="496"/>
      <c r="L78" s="497"/>
      <c r="M78" s="498"/>
      <c r="N78" s="1056"/>
      <c r="O78" s="1056"/>
      <c r="P78" s="2095"/>
      <c r="Q78" s="460"/>
    </row>
    <row r="79" spans="1:17" ht="15.75" thickBot="1">
      <c r="A79" s="490"/>
      <c r="B79" s="499"/>
      <c r="C79" s="500">
        <v>100</v>
      </c>
      <c r="D79" s="500">
        <f>C79-$K17</f>
        <v>100</v>
      </c>
      <c r="E79" s="500">
        <f>D79-$K17</f>
        <v>100</v>
      </c>
      <c r="F79" s="500">
        <f>E79-$K17</f>
        <v>100</v>
      </c>
      <c r="G79" s="500">
        <f>F79-$K17</f>
        <v>100</v>
      </c>
      <c r="H79" s="500"/>
      <c r="I79" s="500"/>
      <c r="J79" s="500"/>
      <c r="K79" s="500"/>
      <c r="L79" s="500"/>
      <c r="M79" s="501"/>
      <c r="N79" s="1057"/>
      <c r="O79" s="1057"/>
      <c r="P79" s="2095"/>
      <c r="Q79" s="460"/>
    </row>
    <row r="80" spans="1:17" ht="15.75" thickTop="1">
      <c r="A80" s="490"/>
      <c r="B80" s="494" t="s">
        <v>2418</v>
      </c>
      <c r="C80" s="534" t="s">
        <v>2412</v>
      </c>
      <c r="D80" s="534" t="s">
        <v>2413</v>
      </c>
      <c r="E80" s="534" t="s">
        <v>2414</v>
      </c>
      <c r="F80" s="534" t="s">
        <v>2415</v>
      </c>
      <c r="G80" s="534" t="s">
        <v>2416</v>
      </c>
      <c r="H80" s="495"/>
      <c r="I80" s="495"/>
      <c r="J80" s="495"/>
      <c r="K80" s="496"/>
      <c r="L80" s="497"/>
      <c r="M80" s="498"/>
      <c r="N80" s="1056"/>
      <c r="O80" s="1056"/>
      <c r="P80" s="2095"/>
      <c r="Q80" s="460"/>
    </row>
    <row r="81" spans="1:17" ht="15.75" thickBot="1">
      <c r="A81" s="490"/>
      <c r="B81" s="499"/>
      <c r="C81" s="500">
        <v>100</v>
      </c>
      <c r="D81" s="500">
        <f>C81-$K19</f>
        <v>100</v>
      </c>
      <c r="E81" s="500">
        <f>D81-$K19</f>
        <v>100</v>
      </c>
      <c r="F81" s="500">
        <f>E81-$K19</f>
        <v>100</v>
      </c>
      <c r="G81" s="500">
        <f>F81-$K19</f>
        <v>100</v>
      </c>
      <c r="H81" s="500"/>
      <c r="I81" s="500"/>
      <c r="J81" s="500"/>
      <c r="K81" s="500"/>
      <c r="L81" s="500"/>
      <c r="M81" s="501"/>
      <c r="N81" s="1057"/>
      <c r="O81" s="1057"/>
      <c r="P81" s="2095"/>
      <c r="Q81" s="460"/>
    </row>
    <row r="82" spans="1:17" ht="15.75" thickTop="1">
      <c r="A82" s="490"/>
      <c r="B82" s="502" t="s">
        <v>1945</v>
      </c>
      <c r="C82" s="495" t="s">
        <v>2419</v>
      </c>
      <c r="D82" s="495" t="s">
        <v>2420</v>
      </c>
      <c r="E82" s="495" t="s">
        <v>2421</v>
      </c>
      <c r="F82" s="495" t="s">
        <v>2422</v>
      </c>
      <c r="G82" s="495" t="s">
        <v>2423</v>
      </c>
      <c r="H82" s="495"/>
      <c r="I82" s="495"/>
      <c r="J82" s="495"/>
      <c r="K82" s="495"/>
      <c r="L82" s="495"/>
      <c r="M82" s="1282"/>
      <c r="N82" s="1057"/>
      <c r="O82" s="1057"/>
      <c r="P82" s="2095"/>
      <c r="Q82" s="460"/>
    </row>
    <row r="83" spans="1:17" ht="15.75" thickBot="1">
      <c r="A83" s="490"/>
      <c r="B83" s="502"/>
      <c r="C83" s="615">
        <v>100</v>
      </c>
      <c r="D83" s="615">
        <f>C83-$K21</f>
        <v>100</v>
      </c>
      <c r="E83" s="615">
        <f t="shared" ref="E83:G83" si="23">D83-$K21</f>
        <v>100</v>
      </c>
      <c r="F83" s="615">
        <f t="shared" si="23"/>
        <v>100</v>
      </c>
      <c r="G83" s="615">
        <f t="shared" si="23"/>
        <v>100</v>
      </c>
      <c r="H83" s="615"/>
      <c r="I83" s="615"/>
      <c r="J83" s="615"/>
      <c r="K83" s="615"/>
      <c r="L83" s="615"/>
      <c r="M83" s="408"/>
      <c r="N83" s="1057"/>
      <c r="O83" s="1057"/>
      <c r="P83" s="2095"/>
      <c r="Q83" s="460"/>
    </row>
    <row r="84" spans="1:17" ht="15.75" thickTop="1">
      <c r="A84" s="490"/>
      <c r="B84" s="494" t="s">
        <v>2424</v>
      </c>
      <c r="C84" s="534" t="s">
        <v>2412</v>
      </c>
      <c r="D84" s="534" t="s">
        <v>2413</v>
      </c>
      <c r="E84" s="534" t="s">
        <v>2414</v>
      </c>
      <c r="F84" s="534" t="s">
        <v>2415</v>
      </c>
      <c r="G84" s="534" t="s">
        <v>2416</v>
      </c>
      <c r="H84" s="495"/>
      <c r="I84" s="495"/>
      <c r="J84" s="495"/>
      <c r="K84" s="496"/>
      <c r="L84" s="497"/>
      <c r="M84" s="498"/>
      <c r="N84" s="1056"/>
      <c r="O84" s="1056"/>
      <c r="P84" s="2095"/>
      <c r="Q84" s="460"/>
    </row>
    <row r="85" spans="1:17" ht="15.75" thickBot="1">
      <c r="A85" s="490"/>
      <c r="B85" s="499"/>
      <c r="C85" s="500">
        <v>100</v>
      </c>
      <c r="D85" s="500">
        <f>C85-$K23</f>
        <v>100</v>
      </c>
      <c r="E85" s="500">
        <f>D85-$K23</f>
        <v>100</v>
      </c>
      <c r="F85" s="500">
        <f>E85-$K23</f>
        <v>100</v>
      </c>
      <c r="G85" s="500">
        <f>F85-$K23</f>
        <v>100</v>
      </c>
      <c r="H85" s="500"/>
      <c r="I85" s="500"/>
      <c r="J85" s="500"/>
      <c r="K85" s="500"/>
      <c r="L85" s="500"/>
      <c r="M85" s="501"/>
      <c r="N85" s="1057"/>
      <c r="O85" s="1057"/>
      <c r="P85" s="2095"/>
      <c r="Q85" s="460"/>
    </row>
    <row r="86" spans="1:17" s="113" customFormat="1" ht="15.75" thickTop="1">
      <c r="A86" s="535"/>
      <c r="B86" s="494" t="s">
        <v>2425</v>
      </c>
      <c r="C86" s="510"/>
      <c r="D86" s="510"/>
      <c r="E86" s="510"/>
      <c r="F86" s="510"/>
      <c r="G86" s="510"/>
      <c r="H86" s="510"/>
      <c r="I86" s="510"/>
      <c r="J86" s="510"/>
      <c r="K86" s="510"/>
      <c r="L86" s="536"/>
      <c r="M86" s="537"/>
      <c r="N86" s="1055"/>
      <c r="O86" s="1055"/>
      <c r="P86" s="2095"/>
      <c r="Q86" s="460"/>
    </row>
    <row r="87" spans="1:17" s="113" customFormat="1" ht="15.75" thickBot="1">
      <c r="A87" s="535"/>
      <c r="B87" s="499"/>
      <c r="C87" s="538">
        <v>100</v>
      </c>
      <c r="D87" s="500">
        <f t="shared" ref="D87:M87" si="24">$C$87-($C$86-D86)*$K$25</f>
        <v>100</v>
      </c>
      <c r="E87" s="500">
        <f t="shared" si="24"/>
        <v>100</v>
      </c>
      <c r="F87" s="500">
        <f t="shared" si="24"/>
        <v>100</v>
      </c>
      <c r="G87" s="500">
        <f t="shared" si="24"/>
        <v>100</v>
      </c>
      <c r="H87" s="500">
        <f t="shared" si="24"/>
        <v>100</v>
      </c>
      <c r="I87" s="500">
        <f t="shared" si="24"/>
        <v>100</v>
      </c>
      <c r="J87" s="500">
        <f t="shared" si="24"/>
        <v>100</v>
      </c>
      <c r="K87" s="500">
        <f t="shared" si="24"/>
        <v>100</v>
      </c>
      <c r="L87" s="500">
        <f t="shared" si="24"/>
        <v>100</v>
      </c>
      <c r="M87" s="500">
        <f t="shared" si="24"/>
        <v>100</v>
      </c>
      <c r="N87" s="1057"/>
      <c r="O87" s="1057"/>
      <c r="P87" s="2095"/>
      <c r="Q87" s="460"/>
    </row>
    <row r="88" spans="1:17" s="113" customFormat="1" ht="15.75" thickTop="1">
      <c r="A88" s="535"/>
      <c r="B88" s="494" t="s">
        <v>2426</v>
      </c>
      <c r="C88" s="510"/>
      <c r="D88" s="510"/>
      <c r="E88" s="510"/>
      <c r="F88" s="2100"/>
      <c r="G88" s="510"/>
      <c r="H88" s="510"/>
      <c r="I88" s="510"/>
      <c r="J88" s="510"/>
      <c r="K88" s="510"/>
      <c r="L88" s="510"/>
      <c r="M88" s="537"/>
      <c r="N88" s="1055"/>
      <c r="O88" s="1055"/>
      <c r="P88" s="2095"/>
      <c r="Q88" s="460"/>
    </row>
    <row r="89" spans="1:17" s="113" customFormat="1" ht="15.75" thickBot="1">
      <c r="A89" s="535"/>
      <c r="B89" s="499"/>
      <c r="C89" s="538">
        <v>100</v>
      </c>
      <c r="D89" s="500">
        <f t="shared" ref="D89:M89" si="25">C89-$K26</f>
        <v>100</v>
      </c>
      <c r="E89" s="500">
        <f t="shared" si="25"/>
        <v>100</v>
      </c>
      <c r="F89" s="500">
        <f t="shared" si="25"/>
        <v>100</v>
      </c>
      <c r="G89" s="500">
        <f t="shared" si="25"/>
        <v>100</v>
      </c>
      <c r="H89" s="500">
        <f t="shared" si="25"/>
        <v>100</v>
      </c>
      <c r="I89" s="500">
        <f t="shared" si="25"/>
        <v>100</v>
      </c>
      <c r="J89" s="500">
        <f t="shared" si="25"/>
        <v>100</v>
      </c>
      <c r="K89" s="500">
        <f t="shared" si="25"/>
        <v>100</v>
      </c>
      <c r="L89" s="500">
        <f t="shared" si="25"/>
        <v>100</v>
      </c>
      <c r="M89" s="500">
        <f t="shared" si="25"/>
        <v>100</v>
      </c>
      <c r="N89" s="1057"/>
      <c r="O89" s="1057"/>
      <c r="P89" s="2095"/>
      <c r="Q89" s="460"/>
    </row>
    <row r="90" spans="1:17" s="429" customFormat="1" ht="15.75" thickTop="1">
      <c r="A90" s="509"/>
      <c r="B90" s="494">
        <f>B27</f>
        <v>111</v>
      </c>
      <c r="C90" s="510"/>
      <c r="D90" s="510"/>
      <c r="E90" s="510"/>
      <c r="F90" s="510"/>
      <c r="G90" s="510"/>
      <c r="H90" s="511"/>
      <c r="I90" s="511"/>
      <c r="J90" s="511"/>
      <c r="K90" s="511"/>
      <c r="L90" s="512"/>
      <c r="M90" s="513"/>
      <c r="N90" s="1058"/>
      <c r="O90" s="1058"/>
      <c r="P90" s="2096"/>
      <c r="Q90" s="515"/>
    </row>
    <row r="91" spans="1:17" s="429" customFormat="1" ht="15.75" thickBot="1">
      <c r="A91" s="509"/>
      <c r="B91" s="499"/>
      <c r="C91" s="516"/>
      <c r="D91" s="516"/>
      <c r="E91" s="516"/>
      <c r="F91" s="516"/>
      <c r="G91" s="516"/>
      <c r="H91" s="518"/>
      <c r="I91" s="518"/>
      <c r="J91" s="518"/>
      <c r="K91" s="518"/>
      <c r="L91" s="518"/>
      <c r="M91" s="519"/>
      <c r="N91" s="1058"/>
      <c r="O91" s="1058"/>
      <c r="P91" s="2096"/>
      <c r="Q91" s="515"/>
    </row>
    <row r="92" spans="1:17" ht="15.75" thickTop="1">
      <c r="A92" s="490"/>
      <c r="B92" s="494">
        <f>B28</f>
        <v>111</v>
      </c>
      <c r="C92" s="510"/>
      <c r="D92" s="510"/>
      <c r="E92" s="510"/>
      <c r="F92" s="510"/>
      <c r="G92" s="539"/>
      <c r="H92" s="539"/>
      <c r="I92" s="539"/>
      <c r="J92" s="539"/>
      <c r="K92" s="540"/>
      <c r="L92" s="541"/>
      <c r="M92" s="542"/>
      <c r="N92" s="1056"/>
      <c r="O92" s="1056"/>
      <c r="P92" s="2095"/>
      <c r="Q92" s="460"/>
    </row>
    <row r="93" spans="1:17" ht="15.75" thickBot="1">
      <c r="A93" s="490"/>
      <c r="B93" s="499"/>
      <c r="C93" s="516"/>
      <c r="D93" s="492"/>
      <c r="E93" s="492"/>
      <c r="F93" s="492"/>
      <c r="G93" s="492"/>
      <c r="H93" s="492"/>
      <c r="I93" s="492"/>
      <c r="J93" s="492"/>
      <c r="K93" s="492"/>
      <c r="L93" s="492"/>
      <c r="M93" s="493"/>
      <c r="N93" s="1057"/>
      <c r="O93" s="1057"/>
      <c r="P93" s="2095"/>
      <c r="Q93" s="460"/>
    </row>
    <row r="94" spans="1:17" ht="15.75" thickTop="1">
      <c r="A94" s="490"/>
      <c r="B94" s="494">
        <f>B29</f>
        <v>111</v>
      </c>
      <c r="C94" s="510"/>
      <c r="D94" s="510"/>
      <c r="E94" s="510"/>
      <c r="F94" s="510"/>
      <c r="G94" s="539"/>
      <c r="H94" s="539"/>
      <c r="I94" s="539"/>
      <c r="J94" s="539"/>
      <c r="K94" s="540"/>
      <c r="L94" s="541"/>
      <c r="M94" s="542"/>
      <c r="N94" s="1056"/>
      <c r="O94" s="1056"/>
      <c r="P94" s="2095"/>
      <c r="Q94" s="460"/>
    </row>
    <row r="95" spans="1:17" ht="15.75" thickBot="1">
      <c r="A95" s="490"/>
      <c r="B95" s="499"/>
      <c r="C95" s="516"/>
      <c r="D95" s="516"/>
      <c r="E95" s="516"/>
      <c r="F95" s="516"/>
      <c r="G95" s="492"/>
      <c r="H95" s="492"/>
      <c r="I95" s="492"/>
      <c r="J95" s="492"/>
      <c r="K95" s="492"/>
      <c r="L95" s="492"/>
      <c r="M95" s="493"/>
      <c r="N95" s="1057"/>
      <c r="O95" s="1057"/>
      <c r="P95" s="2095"/>
      <c r="Q95" s="460"/>
    </row>
    <row r="96" spans="1:17" ht="15.75" thickTop="1">
      <c r="A96" s="490"/>
      <c r="B96" s="494">
        <f>B30</f>
        <v>111</v>
      </c>
      <c r="C96" s="510"/>
      <c r="D96" s="510"/>
      <c r="E96" s="510"/>
      <c r="F96" s="510"/>
      <c r="G96" s="539"/>
      <c r="H96" s="539"/>
      <c r="I96" s="539"/>
      <c r="J96" s="539"/>
      <c r="K96" s="540"/>
      <c r="L96" s="541"/>
      <c r="M96" s="542"/>
      <c r="N96" s="1056"/>
      <c r="O96" s="1056"/>
      <c r="P96" s="2095"/>
      <c r="Q96" s="460"/>
    </row>
    <row r="97" spans="1:17" ht="15.75" thickBot="1">
      <c r="A97" s="490"/>
      <c r="B97" s="499"/>
      <c r="C97" s="526"/>
      <c r="D97" s="526"/>
      <c r="E97" s="526"/>
      <c r="F97" s="526"/>
      <c r="G97" s="492"/>
      <c r="H97" s="492"/>
      <c r="I97" s="492"/>
      <c r="J97" s="492"/>
      <c r="K97" s="492"/>
      <c r="L97" s="492"/>
      <c r="M97" s="493"/>
      <c r="N97" s="1057"/>
      <c r="O97" s="1057"/>
      <c r="P97" s="2095"/>
      <c r="Q97" s="460"/>
    </row>
    <row r="98" spans="1:17" ht="15.75" thickTop="1">
      <c r="A98" s="490"/>
      <c r="B98" s="502">
        <f>B31</f>
        <v>111</v>
      </c>
      <c r="C98" s="543"/>
      <c r="D98" s="543"/>
      <c r="E98" s="543"/>
      <c r="F98" s="543"/>
      <c r="G98" s="543"/>
      <c r="H98" s="543"/>
      <c r="I98" s="543"/>
      <c r="J98" s="543"/>
      <c r="K98" s="544"/>
      <c r="L98" s="545"/>
      <c r="M98" s="546"/>
      <c r="N98" s="1056"/>
      <c r="O98" s="1056"/>
      <c r="P98" s="2095"/>
      <c r="Q98" s="460"/>
    </row>
    <row r="99" spans="1:17" ht="15.75" thickBot="1">
      <c r="A99" s="2101"/>
      <c r="B99" s="525"/>
      <c r="C99" s="547"/>
      <c r="D99" s="547"/>
      <c r="E99" s="547"/>
      <c r="F99" s="547"/>
      <c r="G99" s="547"/>
      <c r="H99" s="547"/>
      <c r="I99" s="547"/>
      <c r="J99" s="547"/>
      <c r="K99" s="547"/>
      <c r="L99" s="547"/>
      <c r="M99" s="548"/>
      <c r="N99" s="1057"/>
      <c r="O99" s="1057"/>
      <c r="P99" s="2095"/>
      <c r="Q99" s="460"/>
    </row>
    <row r="100" spans="1:17">
      <c r="A100" s="483" t="s">
        <v>2378</v>
      </c>
      <c r="B100" s="484" t="s">
        <v>2427</v>
      </c>
      <c r="C100" s="486"/>
      <c r="D100" s="486"/>
      <c r="E100" s="486"/>
      <c r="F100" s="486"/>
      <c r="G100" s="486"/>
      <c r="H100" s="486"/>
      <c r="I100" s="486"/>
      <c r="J100" s="486"/>
      <c r="K100" s="487"/>
      <c r="L100" s="488"/>
      <c r="M100" s="489"/>
      <c r="N100" s="1056"/>
      <c r="O100" s="1056"/>
      <c r="P100" s="2095"/>
      <c r="Q100" s="460"/>
    </row>
    <row r="101" spans="1:17" ht="15.75" thickBot="1">
      <c r="A101" s="490"/>
      <c r="B101" s="499"/>
      <c r="C101" s="500">
        <v>100</v>
      </c>
      <c r="D101" s="500">
        <f t="shared" ref="D101:M101" si="26">C101-$K32</f>
        <v>100</v>
      </c>
      <c r="E101" s="500">
        <f t="shared" si="26"/>
        <v>100</v>
      </c>
      <c r="F101" s="500">
        <f t="shared" si="26"/>
        <v>100</v>
      </c>
      <c r="G101" s="500">
        <f t="shared" si="26"/>
        <v>100</v>
      </c>
      <c r="H101" s="500">
        <f t="shared" si="26"/>
        <v>100</v>
      </c>
      <c r="I101" s="500">
        <f t="shared" si="26"/>
        <v>100</v>
      </c>
      <c r="J101" s="500">
        <f t="shared" si="26"/>
        <v>100</v>
      </c>
      <c r="K101" s="500">
        <f t="shared" si="26"/>
        <v>100</v>
      </c>
      <c r="L101" s="500">
        <f t="shared" si="26"/>
        <v>100</v>
      </c>
      <c r="M101" s="500">
        <f t="shared" si="26"/>
        <v>100</v>
      </c>
      <c r="N101" s="1057"/>
      <c r="O101" s="1057"/>
      <c r="P101" s="2095"/>
      <c r="Q101" s="460"/>
    </row>
    <row r="102" spans="1:17" ht="15.75" thickTop="1">
      <c r="A102" s="490"/>
      <c r="B102" s="494" t="s">
        <v>2428</v>
      </c>
      <c r="C102" s="534" t="str">
        <f>C103&amp;"(含)"&amp;"-"&amp;D103</f>
        <v>(含)-</v>
      </c>
      <c r="D102" s="534" t="str">
        <f t="shared" ref="D102:L102" si="27">D103&amp;"(含)"&amp;"-"&amp;E103</f>
        <v>(含)-</v>
      </c>
      <c r="E102" s="534" t="str">
        <f t="shared" si="27"/>
        <v>(含)-</v>
      </c>
      <c r="F102" s="534" t="str">
        <f t="shared" si="27"/>
        <v>(含)-</v>
      </c>
      <c r="G102" s="534" t="str">
        <f t="shared" si="27"/>
        <v>(含)-</v>
      </c>
      <c r="H102" s="534" t="str">
        <f t="shared" si="27"/>
        <v>(含)-</v>
      </c>
      <c r="I102" s="534" t="str">
        <f t="shared" si="27"/>
        <v>(含)-</v>
      </c>
      <c r="J102" s="534" t="str">
        <f t="shared" si="27"/>
        <v>(含)-</v>
      </c>
      <c r="K102" s="534" t="str">
        <f>K103&amp;"(含)"&amp;"-"&amp;L103</f>
        <v>(含)-</v>
      </c>
      <c r="L102" s="534" t="str">
        <f t="shared" si="27"/>
        <v>(含)-</v>
      </c>
      <c r="M102" s="534" t="str">
        <f>M103&amp;"(含)"&amp;"-"&amp;P103</f>
        <v>(含)-</v>
      </c>
      <c r="N102" s="1055"/>
      <c r="O102" s="1055"/>
      <c r="P102" s="2095"/>
      <c r="Q102" s="460"/>
    </row>
    <row r="103" spans="1:17" s="429" customFormat="1">
      <c r="A103" s="549"/>
      <c r="B103" s="550"/>
      <c r="C103" s="551"/>
      <c r="D103" s="551"/>
      <c r="E103" s="551"/>
      <c r="F103" s="551"/>
      <c r="G103" s="551"/>
      <c r="H103" s="551"/>
      <c r="I103" s="551"/>
      <c r="J103" s="552"/>
      <c r="K103" s="552"/>
      <c r="L103" s="553"/>
      <c r="M103" s="554"/>
      <c r="N103" s="1058"/>
      <c r="O103" s="1058"/>
      <c r="P103" s="2096"/>
      <c r="Q103" s="515"/>
    </row>
    <row r="104" spans="1:17" s="429" customFormat="1" ht="15.75" thickBot="1">
      <c r="A104" s="509"/>
      <c r="B104" s="499"/>
      <c r="C104" s="516"/>
      <c r="D104" s="492"/>
      <c r="E104" s="492"/>
      <c r="F104" s="492"/>
      <c r="G104" s="492"/>
      <c r="H104" s="492"/>
      <c r="I104" s="492"/>
      <c r="J104" s="492"/>
      <c r="K104" s="492"/>
      <c r="L104" s="492"/>
      <c r="M104" s="492"/>
      <c r="N104" s="1057"/>
      <c r="O104" s="1057"/>
      <c r="P104" s="2096"/>
      <c r="Q104" s="515"/>
    </row>
    <row r="105" spans="1:17" ht="15" thickTop="1">
      <c r="A105" s="555"/>
      <c r="B105" s="494" t="s">
        <v>2429</v>
      </c>
      <c r="C105" s="510"/>
      <c r="D105" s="510"/>
      <c r="E105" s="539"/>
      <c r="F105" s="539"/>
      <c r="G105" s="539"/>
      <c r="H105" s="539"/>
      <c r="I105" s="539"/>
      <c r="J105" s="539"/>
      <c r="K105" s="540"/>
      <c r="L105" s="541"/>
      <c r="M105" s="542"/>
      <c r="N105" s="1056"/>
      <c r="O105" s="1056"/>
      <c r="P105" s="2095"/>
      <c r="Q105" s="460"/>
    </row>
    <row r="106" spans="1:17" ht="15.75" thickBot="1">
      <c r="A106" s="490"/>
      <c r="B106" s="499"/>
      <c r="C106" s="500">
        <v>100</v>
      </c>
      <c r="D106" s="500">
        <f t="shared" ref="D106:M106" si="28">C106-$K34</f>
        <v>100</v>
      </c>
      <c r="E106" s="500">
        <f t="shared" si="28"/>
        <v>100</v>
      </c>
      <c r="F106" s="500">
        <f t="shared" si="28"/>
        <v>100</v>
      </c>
      <c r="G106" s="500">
        <f t="shared" si="28"/>
        <v>100</v>
      </c>
      <c r="H106" s="500">
        <f t="shared" si="28"/>
        <v>100</v>
      </c>
      <c r="I106" s="500">
        <f t="shared" si="28"/>
        <v>100</v>
      </c>
      <c r="J106" s="500">
        <f t="shared" si="28"/>
        <v>100</v>
      </c>
      <c r="K106" s="500">
        <f t="shared" si="28"/>
        <v>100</v>
      </c>
      <c r="L106" s="500">
        <f t="shared" si="28"/>
        <v>100</v>
      </c>
      <c r="M106" s="500">
        <f t="shared" si="28"/>
        <v>100</v>
      </c>
      <c r="N106" s="1057"/>
      <c r="O106" s="1057"/>
      <c r="P106" s="2095"/>
      <c r="Q106" s="460"/>
    </row>
    <row r="107" spans="1:17" ht="15" thickTop="1">
      <c r="A107" s="555"/>
      <c r="B107" s="494" t="s">
        <v>2430</v>
      </c>
      <c r="C107" s="539"/>
      <c r="D107" s="539"/>
      <c r="E107" s="539"/>
      <c r="F107" s="539"/>
      <c r="G107" s="539"/>
      <c r="H107" s="539"/>
      <c r="I107" s="539"/>
      <c r="J107" s="539"/>
      <c r="K107" s="540"/>
      <c r="L107" s="541"/>
      <c r="M107" s="542"/>
      <c r="N107" s="1056"/>
      <c r="O107" s="1056"/>
      <c r="P107" s="2095"/>
      <c r="Q107" s="460"/>
    </row>
    <row r="108" spans="1:17" ht="15.75" thickBot="1">
      <c r="A108" s="490"/>
      <c r="B108" s="499"/>
      <c r="C108" s="500">
        <v>100</v>
      </c>
      <c r="D108" s="500">
        <f t="shared" ref="D108:M108" si="29">C108-$K35</f>
        <v>100</v>
      </c>
      <c r="E108" s="500">
        <f t="shared" si="29"/>
        <v>100</v>
      </c>
      <c r="F108" s="500">
        <f t="shared" si="29"/>
        <v>100</v>
      </c>
      <c r="G108" s="500">
        <f t="shared" si="29"/>
        <v>100</v>
      </c>
      <c r="H108" s="500">
        <f t="shared" si="29"/>
        <v>100</v>
      </c>
      <c r="I108" s="500">
        <f t="shared" si="29"/>
        <v>100</v>
      </c>
      <c r="J108" s="500">
        <f t="shared" si="29"/>
        <v>100</v>
      </c>
      <c r="K108" s="500">
        <f t="shared" si="29"/>
        <v>100</v>
      </c>
      <c r="L108" s="500">
        <f t="shared" si="29"/>
        <v>100</v>
      </c>
      <c r="M108" s="500">
        <f t="shared" si="29"/>
        <v>100</v>
      </c>
      <c r="N108" s="1057"/>
      <c r="O108" s="1057"/>
      <c r="P108" s="2095"/>
      <c r="Q108" s="460"/>
    </row>
    <row r="109" spans="1:17" ht="15" thickTop="1">
      <c r="A109" s="555"/>
      <c r="B109" s="494" t="s">
        <v>2431</v>
      </c>
      <c r="C109" s="510"/>
      <c r="D109" s="510"/>
      <c r="E109" s="510"/>
      <c r="F109" s="539"/>
      <c r="G109" s="539"/>
      <c r="H109" s="539"/>
      <c r="I109" s="539"/>
      <c r="J109" s="539"/>
      <c r="K109" s="540"/>
      <c r="L109" s="541"/>
      <c r="M109" s="542"/>
      <c r="N109" s="1056"/>
      <c r="O109" s="1056"/>
      <c r="P109" s="2095"/>
      <c r="Q109" s="460"/>
    </row>
    <row r="110" spans="1:17" ht="15.75" thickBot="1">
      <c r="A110" s="490"/>
      <c r="B110" s="499"/>
      <c r="C110" s="500">
        <v>100</v>
      </c>
      <c r="D110" s="500">
        <f t="shared" ref="D110:M110" si="30">C110-$K36</f>
        <v>100</v>
      </c>
      <c r="E110" s="500">
        <f t="shared" si="30"/>
        <v>100</v>
      </c>
      <c r="F110" s="500">
        <f t="shared" si="30"/>
        <v>100</v>
      </c>
      <c r="G110" s="500">
        <f t="shared" si="30"/>
        <v>100</v>
      </c>
      <c r="H110" s="500">
        <f t="shared" si="30"/>
        <v>100</v>
      </c>
      <c r="I110" s="500">
        <f t="shared" si="30"/>
        <v>100</v>
      </c>
      <c r="J110" s="500">
        <f t="shared" si="30"/>
        <v>100</v>
      </c>
      <c r="K110" s="500">
        <f t="shared" si="30"/>
        <v>100</v>
      </c>
      <c r="L110" s="500">
        <f t="shared" si="30"/>
        <v>100</v>
      </c>
      <c r="M110" s="500">
        <f t="shared" si="30"/>
        <v>100</v>
      </c>
      <c r="N110" s="1057"/>
      <c r="O110" s="1057"/>
      <c r="P110" s="2095"/>
      <c r="Q110" s="460"/>
    </row>
    <row r="111" spans="1:17" s="429" customFormat="1" ht="15" thickTop="1">
      <c r="A111" s="549"/>
      <c r="B111" s="494" t="s">
        <v>1874</v>
      </c>
      <c r="C111" s="534" t="str">
        <f>C112&amp;"(含)"&amp;"-"&amp;D112</f>
        <v>0.5(含)-0.6</v>
      </c>
      <c r="D111" s="534" t="str">
        <f>D112&amp;"(含)"&amp;"-"&amp;E112</f>
        <v>0.6(含)-0.7</v>
      </c>
      <c r="E111" s="534" t="str">
        <f>E112&amp;"(含)"&amp;"-"&amp;F112</f>
        <v>0.7(含)-0.8</v>
      </c>
      <c r="F111" s="534" t="str">
        <f>F112&amp;"(含)"&amp;"-"&amp;G112</f>
        <v>0.8(含)-0.9</v>
      </c>
      <c r="G111" s="534" t="str">
        <f>G112&amp;"(含)"&amp;"-"&amp;ROUND(H112,0)&amp;"(含)"</f>
        <v>0.9(含)-1(含)</v>
      </c>
      <c r="H111" s="534" t="str">
        <f>ROUND(H112,0)&amp;"(含)"&amp;"-"&amp;I112</f>
        <v>1(含)-</v>
      </c>
      <c r="I111" s="534"/>
      <c r="J111" s="556"/>
      <c r="K111" s="556"/>
      <c r="L111" s="557"/>
      <c r="M111" s="558"/>
      <c r="N111" s="1058"/>
      <c r="O111" s="1058"/>
      <c r="P111" s="2096"/>
      <c r="Q111" s="515"/>
    </row>
    <row r="112" spans="1:17" s="429" customFormat="1">
      <c r="A112" s="549"/>
      <c r="B112" s="502"/>
      <c r="C112" s="559">
        <v>0.5</v>
      </c>
      <c r="D112" s="559">
        <v>0.6</v>
      </c>
      <c r="E112" s="559">
        <v>0.7</v>
      </c>
      <c r="F112" s="559">
        <v>0.8</v>
      </c>
      <c r="G112" s="559">
        <v>0.9</v>
      </c>
      <c r="H112" s="559">
        <v>1.0001</v>
      </c>
      <c r="I112" s="559"/>
      <c r="J112" s="560"/>
      <c r="K112" s="560"/>
      <c r="L112" s="561"/>
      <c r="M112" s="562"/>
      <c r="N112" s="1058"/>
      <c r="O112" s="1058"/>
      <c r="P112" s="2096"/>
      <c r="Q112" s="515"/>
    </row>
    <row r="113" spans="1:17" s="429" customFormat="1" ht="15.75" thickBot="1">
      <c r="A113" s="509"/>
      <c r="B113" s="499"/>
      <c r="C113" s="538">
        <v>100</v>
      </c>
      <c r="D113" s="500">
        <f>C113+$K37</f>
        <v>100</v>
      </c>
      <c r="E113" s="500">
        <f>D113+$K37</f>
        <v>100</v>
      </c>
      <c r="F113" s="500">
        <f>E113+$K37</f>
        <v>100</v>
      </c>
      <c r="G113" s="500">
        <f>F113+$K37</f>
        <v>100</v>
      </c>
      <c r="H113" s="500">
        <f>G113+$K37</f>
        <v>100</v>
      </c>
      <c r="I113" s="538"/>
      <c r="J113" s="563"/>
      <c r="K113" s="563"/>
      <c r="L113" s="563"/>
      <c r="M113" s="564"/>
      <c r="N113" s="1058"/>
      <c r="O113" s="1058"/>
      <c r="P113" s="2096"/>
      <c r="Q113" s="515"/>
    </row>
    <row r="114" spans="1:17" ht="15" thickTop="1">
      <c r="A114" s="555"/>
      <c r="B114" s="494" t="s">
        <v>2432</v>
      </c>
      <c r="C114" s="510"/>
      <c r="D114" s="510"/>
      <c r="E114" s="539"/>
      <c r="F114" s="539"/>
      <c r="G114" s="539"/>
      <c r="H114" s="539"/>
      <c r="I114" s="539"/>
      <c r="J114" s="539"/>
      <c r="K114" s="540"/>
      <c r="L114" s="541"/>
      <c r="M114" s="542"/>
      <c r="N114" s="1056"/>
      <c r="O114" s="1056"/>
      <c r="P114" s="2095"/>
      <c r="Q114" s="460"/>
    </row>
    <row r="115" spans="1:17" ht="15.75" thickBot="1">
      <c r="A115" s="490"/>
      <c r="B115" s="499"/>
      <c r="C115" s="500">
        <v>100</v>
      </c>
      <c r="D115" s="500">
        <f t="shared" ref="D115:M115" si="31">C115-$K38</f>
        <v>100</v>
      </c>
      <c r="E115" s="500">
        <f t="shared" si="31"/>
        <v>100</v>
      </c>
      <c r="F115" s="500">
        <f t="shared" si="31"/>
        <v>100</v>
      </c>
      <c r="G115" s="500">
        <f t="shared" si="31"/>
        <v>100</v>
      </c>
      <c r="H115" s="500">
        <f t="shared" si="31"/>
        <v>100</v>
      </c>
      <c r="I115" s="500">
        <f t="shared" si="31"/>
        <v>100</v>
      </c>
      <c r="J115" s="500">
        <f t="shared" si="31"/>
        <v>100</v>
      </c>
      <c r="K115" s="500">
        <f t="shared" si="31"/>
        <v>100</v>
      </c>
      <c r="L115" s="500">
        <f t="shared" si="31"/>
        <v>100</v>
      </c>
      <c r="M115" s="500">
        <f t="shared" si="31"/>
        <v>100</v>
      </c>
      <c r="N115" s="1057"/>
      <c r="O115" s="1057"/>
      <c r="P115" s="2095"/>
      <c r="Q115" s="460"/>
    </row>
    <row r="116" spans="1:17" ht="15" thickTop="1">
      <c r="A116" s="555"/>
      <c r="B116" s="494" t="s">
        <v>2433</v>
      </c>
      <c r="C116" s="510"/>
      <c r="D116" s="510"/>
      <c r="E116" s="510"/>
      <c r="F116" s="510"/>
      <c r="G116" s="510"/>
      <c r="H116" s="539"/>
      <c r="I116" s="539"/>
      <c r="J116" s="539"/>
      <c r="K116" s="540"/>
      <c r="L116" s="541"/>
      <c r="M116" s="542"/>
      <c r="N116" s="1056"/>
      <c r="O116" s="1056"/>
      <c r="P116" s="2095"/>
      <c r="Q116" s="460"/>
    </row>
    <row r="117" spans="1:17" ht="15.75" thickBot="1">
      <c r="A117" s="490"/>
      <c r="B117" s="499"/>
      <c r="C117" s="500">
        <v>100</v>
      </c>
      <c r="D117" s="500">
        <f>C117-$K39</f>
        <v>100</v>
      </c>
      <c r="E117" s="500">
        <f>D117-$K39</f>
        <v>100</v>
      </c>
      <c r="F117" s="500">
        <f>E117-$K39</f>
        <v>100</v>
      </c>
      <c r="G117" s="500">
        <f>F117-$K39</f>
        <v>100</v>
      </c>
      <c r="H117" s="500"/>
      <c r="I117" s="500"/>
      <c r="J117" s="500"/>
      <c r="K117" s="500"/>
      <c r="L117" s="500"/>
      <c r="M117" s="501"/>
      <c r="N117" s="1057"/>
      <c r="O117" s="1057"/>
      <c r="P117" s="2095"/>
      <c r="Q117" s="460"/>
    </row>
    <row r="118" spans="1:17" ht="15" thickTop="1">
      <c r="A118" s="555"/>
      <c r="B118" s="494" t="s">
        <v>2434</v>
      </c>
      <c r="C118" s="539"/>
      <c r="D118" s="539"/>
      <c r="E118" s="539"/>
      <c r="F118" s="539"/>
      <c r="G118" s="539"/>
      <c r="H118" s="539"/>
      <c r="I118" s="539"/>
      <c r="J118" s="539"/>
      <c r="K118" s="540"/>
      <c r="L118" s="541"/>
      <c r="M118" s="542"/>
      <c r="N118" s="1056"/>
      <c r="O118" s="1056"/>
      <c r="P118" s="2095"/>
      <c r="Q118" s="460"/>
    </row>
    <row r="119" spans="1:17" ht="15.75" thickBot="1">
      <c r="A119" s="490"/>
      <c r="B119" s="499"/>
      <c r="C119" s="500">
        <v>100</v>
      </c>
      <c r="D119" s="500">
        <f t="shared" ref="D119:M119" si="32">C119-$K40</f>
        <v>100</v>
      </c>
      <c r="E119" s="500">
        <f t="shared" si="32"/>
        <v>100</v>
      </c>
      <c r="F119" s="500">
        <f t="shared" si="32"/>
        <v>100</v>
      </c>
      <c r="G119" s="500">
        <f t="shared" si="32"/>
        <v>100</v>
      </c>
      <c r="H119" s="500">
        <f t="shared" si="32"/>
        <v>100</v>
      </c>
      <c r="I119" s="500">
        <f t="shared" si="32"/>
        <v>100</v>
      </c>
      <c r="J119" s="500">
        <f t="shared" si="32"/>
        <v>100</v>
      </c>
      <c r="K119" s="500">
        <f t="shared" si="32"/>
        <v>100</v>
      </c>
      <c r="L119" s="500">
        <f t="shared" si="32"/>
        <v>100</v>
      </c>
      <c r="M119" s="500">
        <f t="shared" si="32"/>
        <v>100</v>
      </c>
      <c r="N119" s="1057"/>
      <c r="O119" s="1057"/>
      <c r="P119" s="2095"/>
      <c r="Q119" s="460"/>
    </row>
    <row r="120" spans="1:17" s="429" customFormat="1" ht="28.5" thickTop="1">
      <c r="A120" s="549"/>
      <c r="B120" s="494" t="s">
        <v>2389</v>
      </c>
      <c r="C120" s="510"/>
      <c r="D120" s="510"/>
      <c r="E120" s="510"/>
      <c r="F120" s="510"/>
      <c r="G120" s="510"/>
      <c r="H120" s="510"/>
      <c r="I120" s="510"/>
      <c r="J120" s="510"/>
      <c r="K120" s="510"/>
      <c r="L120" s="536"/>
      <c r="M120" s="537"/>
      <c r="N120" s="1058"/>
      <c r="O120" s="1058"/>
      <c r="P120" s="2096"/>
      <c r="Q120" s="515"/>
    </row>
    <row r="121" spans="1:17" s="429" customFormat="1" ht="15.75" thickBot="1">
      <c r="A121" s="509"/>
      <c r="B121" s="491"/>
      <c r="C121" s="516"/>
      <c r="D121" s="492"/>
      <c r="E121" s="492"/>
      <c r="F121" s="492"/>
      <c r="G121" s="492"/>
      <c r="H121" s="492"/>
      <c r="I121" s="492"/>
      <c r="J121" s="492"/>
      <c r="K121" s="492"/>
      <c r="L121" s="492"/>
      <c r="M121" s="492"/>
      <c r="N121" s="1058"/>
      <c r="O121" s="1058"/>
      <c r="P121" s="2096"/>
      <c r="Q121" s="515"/>
    </row>
    <row r="122" spans="1:17" ht="15" thickTop="1">
      <c r="A122" s="555"/>
      <c r="B122" s="494" t="s">
        <v>2435</v>
      </c>
      <c r="C122" s="510"/>
      <c r="D122" s="510"/>
      <c r="E122" s="510"/>
      <c r="F122" s="539"/>
      <c r="G122" s="539"/>
      <c r="H122" s="539"/>
      <c r="I122" s="539"/>
      <c r="J122" s="539"/>
      <c r="K122" s="540"/>
      <c r="L122" s="541"/>
      <c r="M122" s="542"/>
      <c r="N122" s="1056"/>
      <c r="O122" s="1056"/>
      <c r="P122" s="2095"/>
      <c r="Q122" s="460"/>
    </row>
    <row r="123" spans="1:17" ht="15.75" thickBot="1">
      <c r="A123" s="490"/>
      <c r="B123" s="499"/>
      <c r="C123" s="500">
        <v>100</v>
      </c>
      <c r="D123" s="500">
        <f t="shared" ref="D123:M123" si="33">C123-$K42</f>
        <v>100</v>
      </c>
      <c r="E123" s="500">
        <f t="shared" si="33"/>
        <v>100</v>
      </c>
      <c r="F123" s="500">
        <f t="shared" si="33"/>
        <v>100</v>
      </c>
      <c r="G123" s="500">
        <f t="shared" si="33"/>
        <v>100</v>
      </c>
      <c r="H123" s="500">
        <f t="shared" si="33"/>
        <v>100</v>
      </c>
      <c r="I123" s="500">
        <f t="shared" si="33"/>
        <v>100</v>
      </c>
      <c r="J123" s="500">
        <f t="shared" si="33"/>
        <v>100</v>
      </c>
      <c r="K123" s="500">
        <f t="shared" si="33"/>
        <v>100</v>
      </c>
      <c r="L123" s="500">
        <f t="shared" si="33"/>
        <v>100</v>
      </c>
      <c r="M123" s="500">
        <f t="shared" si="33"/>
        <v>100</v>
      </c>
      <c r="N123" s="1057"/>
      <c r="O123" s="1057"/>
      <c r="P123" s="2095"/>
      <c r="Q123" s="460"/>
    </row>
    <row r="124" spans="1:17" ht="15" thickTop="1">
      <c r="A124" s="555"/>
      <c r="B124" s="494" t="s">
        <v>2436</v>
      </c>
      <c r="C124" s="534" t="s">
        <v>2412</v>
      </c>
      <c r="D124" s="534" t="s">
        <v>2413</v>
      </c>
      <c r="E124" s="534" t="s">
        <v>2414</v>
      </c>
      <c r="F124" s="534" t="s">
        <v>2415</v>
      </c>
      <c r="G124" s="534" t="s">
        <v>2416</v>
      </c>
      <c r="H124" s="495"/>
      <c r="I124" s="495"/>
      <c r="J124" s="495"/>
      <c r="K124" s="496"/>
      <c r="L124" s="497"/>
      <c r="M124" s="498"/>
      <c r="N124" s="1056"/>
      <c r="O124" s="1056"/>
      <c r="P124" s="2096"/>
      <c r="Q124" s="460"/>
    </row>
    <row r="125" spans="1:17" ht="15.75" thickBot="1">
      <c r="A125" s="490"/>
      <c r="B125" s="499"/>
      <c r="C125" s="500">
        <v>100</v>
      </c>
      <c r="D125" s="500">
        <f>C125-$K43</f>
        <v>100</v>
      </c>
      <c r="E125" s="500">
        <f>D125-$K43</f>
        <v>100</v>
      </c>
      <c r="F125" s="500">
        <f>E125-$K43</f>
        <v>100</v>
      </c>
      <c r="G125" s="500">
        <f>F125-$K43</f>
        <v>100</v>
      </c>
      <c r="H125" s="500"/>
      <c r="I125" s="500"/>
      <c r="J125" s="500"/>
      <c r="K125" s="500"/>
      <c r="L125" s="500"/>
      <c r="M125" s="501"/>
      <c r="N125" s="1057"/>
      <c r="O125" s="1057"/>
      <c r="P125" s="2095"/>
      <c r="Q125" s="460"/>
    </row>
    <row r="126" spans="1:17" s="429" customFormat="1" ht="15" thickTop="1">
      <c r="A126" s="549"/>
      <c r="B126" s="494">
        <f>B44</f>
        <v>111</v>
      </c>
      <c r="C126" s="510"/>
      <c r="D126" s="510"/>
      <c r="E126" s="510"/>
      <c r="F126" s="510"/>
      <c r="G126" s="510"/>
      <c r="H126" s="511"/>
      <c r="I126" s="511"/>
      <c r="J126" s="511"/>
      <c r="K126" s="511"/>
      <c r="L126" s="512"/>
      <c r="M126" s="513"/>
      <c r="N126" s="1058"/>
      <c r="O126" s="1058"/>
      <c r="P126" s="2096"/>
      <c r="Q126" s="515"/>
    </row>
    <row r="127" spans="1:17" s="429" customFormat="1" ht="15.75" thickBot="1">
      <c r="A127" s="509"/>
      <c r="B127" s="499"/>
      <c r="C127" s="516"/>
      <c r="D127" s="492"/>
      <c r="E127" s="492"/>
      <c r="F127" s="492"/>
      <c r="G127" s="516"/>
      <c r="H127" s="518"/>
      <c r="I127" s="518"/>
      <c r="J127" s="518"/>
      <c r="K127" s="518"/>
      <c r="L127" s="518"/>
      <c r="M127" s="519"/>
      <c r="N127" s="1058"/>
      <c r="O127" s="1058"/>
      <c r="P127" s="2096"/>
      <c r="Q127" s="515"/>
    </row>
    <row r="128" spans="1:17" ht="15" thickTop="1">
      <c r="A128" s="555"/>
      <c r="B128" s="494">
        <f>B45</f>
        <v>111</v>
      </c>
      <c r="C128" s="510"/>
      <c r="D128" s="510"/>
      <c r="E128" s="510"/>
      <c r="F128" s="510"/>
      <c r="G128" s="539"/>
      <c r="H128" s="539"/>
      <c r="I128" s="539"/>
      <c r="J128" s="539"/>
      <c r="K128" s="540"/>
      <c r="L128" s="541"/>
      <c r="M128" s="542"/>
      <c r="N128" s="1056"/>
      <c r="O128" s="1056"/>
      <c r="P128" s="2095"/>
      <c r="Q128" s="460"/>
    </row>
    <row r="129" spans="1:17" ht="15.75" thickBot="1">
      <c r="A129" s="490"/>
      <c r="B129" s="499"/>
      <c r="C129" s="516"/>
      <c r="D129" s="516"/>
      <c r="E129" s="516"/>
      <c r="F129" s="516"/>
      <c r="G129" s="492"/>
      <c r="H129" s="492"/>
      <c r="I129" s="492"/>
      <c r="J129" s="492"/>
      <c r="K129" s="492"/>
      <c r="L129" s="492"/>
      <c r="M129" s="493"/>
      <c r="N129" s="1057"/>
      <c r="O129" s="1057"/>
      <c r="P129" s="2095"/>
      <c r="Q129" s="460"/>
    </row>
    <row r="130" spans="1:17" ht="15" thickTop="1">
      <c r="A130" s="555"/>
      <c r="B130" s="502">
        <f>B46</f>
        <v>111</v>
      </c>
      <c r="C130" s="510"/>
      <c r="D130" s="510"/>
      <c r="E130" s="510"/>
      <c r="F130" s="510"/>
      <c r="G130" s="543"/>
      <c r="H130" s="543"/>
      <c r="I130" s="543"/>
      <c r="J130" s="543"/>
      <c r="K130" s="479"/>
      <c r="L130" s="480"/>
      <c r="M130" s="546"/>
      <c r="N130" s="1056"/>
      <c r="O130" s="1056"/>
      <c r="P130" s="2095"/>
      <c r="Q130" s="460"/>
    </row>
    <row r="131" spans="1:17" ht="15.75" thickBot="1">
      <c r="A131" s="2101"/>
      <c r="B131" s="525"/>
      <c r="C131" s="526"/>
      <c r="D131" s="526"/>
      <c r="E131" s="526"/>
      <c r="F131" s="526"/>
      <c r="G131" s="547"/>
      <c r="H131" s="547"/>
      <c r="I131" s="547"/>
      <c r="J131" s="547"/>
      <c r="K131" s="547"/>
      <c r="L131" s="547"/>
      <c r="M131" s="548"/>
      <c r="N131" s="1057"/>
      <c r="O131" s="1057"/>
      <c r="P131" s="2095"/>
      <c r="Q131" s="460"/>
    </row>
    <row r="136" spans="1:17" ht="15" thickBot="1">
      <c r="B136" s="2102" t="s">
        <v>2437</v>
      </c>
    </row>
    <row r="137" spans="1:17" ht="15">
      <c r="B137" s="2103" t="s">
        <v>2438</v>
      </c>
      <c r="C137" s="2104"/>
      <c r="D137" s="2104"/>
      <c r="E137" s="2104"/>
      <c r="F137" s="2104"/>
      <c r="G137" s="2105"/>
      <c r="H137" s="2106"/>
      <c r="I137" s="2107" t="s">
        <v>2439</v>
      </c>
      <c r="J137" s="2104"/>
      <c r="K137" s="2108"/>
    </row>
    <row r="138" spans="1:17" ht="15">
      <c r="B138" s="2109"/>
      <c r="C138" s="142" t="s">
        <v>2440</v>
      </c>
      <c r="D138" s="142" t="s">
        <v>2441</v>
      </c>
      <c r="E138" s="2110" t="s">
        <v>2442</v>
      </c>
      <c r="F138" s="2111" t="s">
        <v>2443</v>
      </c>
      <c r="G138" s="142" t="s">
        <v>2441</v>
      </c>
      <c r="H138" s="143" t="s">
        <v>2442</v>
      </c>
      <c r="I138" s="2112"/>
      <c r="J138" s="142" t="s">
        <v>2444</v>
      </c>
      <c r="K138" s="143" t="s">
        <v>2445</v>
      </c>
    </row>
    <row r="139" spans="1:17" ht="15">
      <c r="B139" s="995">
        <v>6</v>
      </c>
      <c r="C139" s="996">
        <v>96</v>
      </c>
      <c r="D139" s="2113" t="s">
        <v>2446</v>
      </c>
      <c r="E139" s="997">
        <v>100</v>
      </c>
      <c r="F139" s="998">
        <v>102.5</v>
      </c>
      <c r="G139" s="2113" t="s">
        <v>2446</v>
      </c>
      <c r="H139" s="999">
        <v>105</v>
      </c>
      <c r="I139" s="2114" t="s">
        <v>2447</v>
      </c>
      <c r="J139" s="996">
        <v>20</v>
      </c>
      <c r="K139" s="1000">
        <f>C145/(J139-2)</f>
        <v>4.0555555555555553E-3</v>
      </c>
    </row>
    <row r="140" spans="1:17" ht="15">
      <c r="B140" s="1001">
        <v>5</v>
      </c>
      <c r="C140" s="1002">
        <v>100</v>
      </c>
      <c r="D140" s="1002"/>
      <c r="E140" s="1003"/>
      <c r="F140" s="1004">
        <v>102</v>
      </c>
      <c r="G140" s="1002"/>
      <c r="H140" s="1005"/>
      <c r="I140" s="2115" t="s">
        <v>2448</v>
      </c>
      <c r="J140" s="277">
        <f>ROUNDUP((J139-1)/2,0)</f>
        <v>10</v>
      </c>
      <c r="K140" s="1006">
        <v>100</v>
      </c>
    </row>
    <row r="141" spans="1:17" ht="15">
      <c r="B141" s="1001">
        <v>4</v>
      </c>
      <c r="C141" s="1002">
        <v>102</v>
      </c>
      <c r="D141" s="1002"/>
      <c r="E141" s="1003"/>
      <c r="F141" s="1004">
        <v>101.5</v>
      </c>
      <c r="G141" s="1002"/>
      <c r="H141" s="1005"/>
      <c r="I141" s="2115" t="s">
        <v>2449</v>
      </c>
      <c r="J141" s="277">
        <v>1</v>
      </c>
      <c r="K141" s="1007">
        <f>ROUND(100+(J141-J140)*K139*100,1)</f>
        <v>96.4</v>
      </c>
    </row>
    <row r="142" spans="1:17" ht="15">
      <c r="B142" s="1001">
        <v>3</v>
      </c>
      <c r="C142" s="1002">
        <v>103</v>
      </c>
      <c r="D142" s="1002"/>
      <c r="E142" s="1003"/>
      <c r="F142" s="1004">
        <v>101</v>
      </c>
      <c r="G142" s="1002"/>
      <c r="H142" s="1005"/>
      <c r="I142" s="2115" t="s">
        <v>2450</v>
      </c>
      <c r="J142" s="277">
        <f>J139</f>
        <v>20</v>
      </c>
      <c r="K142" s="1008">
        <v>95</v>
      </c>
    </row>
    <row r="143" spans="1:17" ht="15">
      <c r="B143" s="1001">
        <v>2</v>
      </c>
      <c r="C143" s="1002">
        <v>100</v>
      </c>
      <c r="D143" s="1002"/>
      <c r="E143" s="1003"/>
      <c r="F143" s="1004">
        <v>100.5</v>
      </c>
      <c r="G143" s="1002"/>
      <c r="H143" s="1005"/>
      <c r="I143" s="2115" t="s">
        <v>2451</v>
      </c>
      <c r="J143" s="1002">
        <v>15</v>
      </c>
      <c r="K143" s="1007">
        <f>ROUND(100+(J143-J140)*K139*100,1)</f>
        <v>102</v>
      </c>
    </row>
    <row r="144" spans="1:17" ht="15">
      <c r="B144" s="1001">
        <v>1</v>
      </c>
      <c r="C144" s="1002">
        <v>98</v>
      </c>
      <c r="D144" s="2116" t="s">
        <v>2452</v>
      </c>
      <c r="E144" s="1003">
        <v>102</v>
      </c>
      <c r="F144" s="1009">
        <v>100</v>
      </c>
      <c r="G144" s="2116" t="s">
        <v>2452</v>
      </c>
      <c r="H144" s="1005">
        <v>105</v>
      </c>
      <c r="I144" s="2115" t="s">
        <v>2451</v>
      </c>
      <c r="J144" s="1002">
        <v>18</v>
      </c>
      <c r="K144" s="1007">
        <f>ROUND(100+(J144-J140)*K139*100,1)</f>
        <v>103.2</v>
      </c>
    </row>
    <row r="145" spans="2:11" s="362" customFormat="1" ht="15.75" thickBot="1">
      <c r="B145" s="2117" t="s">
        <v>2453</v>
      </c>
      <c r="C145" s="1010">
        <f>ROUND(MAX(C139:C144)/MIN(C139:C144)-1,3)</f>
        <v>7.2999999999999995E-2</v>
      </c>
      <c r="D145" s="1011"/>
      <c r="E145" s="1011"/>
      <c r="F145" s="2118" t="s">
        <v>2454</v>
      </c>
      <c r="G145" s="2119"/>
      <c r="H145" s="2120"/>
      <c r="I145" s="2121" t="s">
        <v>2451</v>
      </c>
      <c r="J145" s="1012">
        <v>8</v>
      </c>
      <c r="K145" s="1013">
        <f>ROUND(100+(J145-J140)*K139*100,1)</f>
        <v>99.2</v>
      </c>
    </row>
    <row r="147" spans="2:11" s="362" customFormat="1">
      <c r="B147" s="2102" t="s">
        <v>2455</v>
      </c>
      <c r="K147" s="451"/>
    </row>
    <row r="148" spans="2:11" s="362" customFormat="1">
      <c r="B148" s="2102" t="s">
        <v>2456</v>
      </c>
      <c r="K148" s="451"/>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49:Q49"/>
    <mergeCell ref="R49:W49"/>
    <mergeCell ref="P48:Q48"/>
    <mergeCell ref="R48:S48"/>
    <mergeCell ref="Y15:Y31"/>
    <mergeCell ref="P32:P46"/>
    <mergeCell ref="Y32:Y46"/>
    <mergeCell ref="T48:U48"/>
    <mergeCell ref="V48:W48"/>
    <mergeCell ref="P47:Q47"/>
    <mergeCell ref="R47:S47"/>
    <mergeCell ref="T47:U47"/>
    <mergeCell ref="V47:W47"/>
    <mergeCell ref="P15:P31"/>
  </mergeCells>
  <phoneticPr fontId="25" type="noConversion"/>
  <conditionalFormatting sqref="F52 H52 J52">
    <cfRule type="containsText" dxfId="132" priority="19" stopIfTrue="1" operator="containsText" text="超过">
      <formula>NOT(ISERROR(SEARCH("超过",F52)))</formula>
    </cfRule>
  </conditionalFormatting>
  <conditionalFormatting sqref="J54">
    <cfRule type="containsText" dxfId="131" priority="18" stopIfTrue="1" operator="containsText" text="超过">
      <formula>NOT(ISERROR(SEARCH("超过",J54)))</formula>
    </cfRule>
  </conditionalFormatting>
  <conditionalFormatting sqref="H54">
    <cfRule type="containsText" dxfId="130" priority="17" stopIfTrue="1" operator="containsText" text="超过">
      <formula>NOT(ISERROR(SEARCH("超过",H54)))</formula>
    </cfRule>
  </conditionalFormatting>
  <conditionalFormatting sqref="F54">
    <cfRule type="containsText" dxfId="129" priority="16" stopIfTrue="1" operator="containsText" text="超过">
      <formula>NOT(ISERROR(SEARCH("超过",F54)))</formula>
    </cfRule>
  </conditionalFormatting>
  <conditionalFormatting sqref="F53 H53 J53">
    <cfRule type="containsText" dxfId="128" priority="15" stopIfTrue="1" operator="containsText" text="超过">
      <formula>NOT(ISERROR(SEARCH("超过",F53)))</formula>
    </cfRule>
  </conditionalFormatting>
  <conditionalFormatting sqref="E52">
    <cfRule type="expression" dxfId="127" priority="14" stopIfTrue="1">
      <formula>$F$52="超过30%"</formula>
    </cfRule>
  </conditionalFormatting>
  <conditionalFormatting sqref="G54">
    <cfRule type="expression" dxfId="126" priority="12" stopIfTrue="1">
      <formula>$H$54="超过30%"</formula>
    </cfRule>
  </conditionalFormatting>
  <conditionalFormatting sqref="E53">
    <cfRule type="expression" dxfId="125" priority="11" stopIfTrue="1">
      <formula>$F$53="超过20%"</formula>
    </cfRule>
  </conditionalFormatting>
  <conditionalFormatting sqref="E54">
    <cfRule type="expression" dxfId="124" priority="10" stopIfTrue="1">
      <formula>$F$54="超过30%"</formula>
    </cfRule>
  </conditionalFormatting>
  <conditionalFormatting sqref="G52">
    <cfRule type="expression" dxfId="123" priority="9" stopIfTrue="1">
      <formula>$H$52="超过30%"</formula>
    </cfRule>
  </conditionalFormatting>
  <conditionalFormatting sqref="G53">
    <cfRule type="expression" dxfId="122" priority="8" stopIfTrue="1">
      <formula>$H$53="超过20%"</formula>
    </cfRule>
  </conditionalFormatting>
  <conditionalFormatting sqref="I52">
    <cfRule type="expression" dxfId="121" priority="7" stopIfTrue="1">
      <formula>$J$52="超过30%"</formula>
    </cfRule>
  </conditionalFormatting>
  <conditionalFormatting sqref="I53">
    <cfRule type="expression" dxfId="120" priority="6" stopIfTrue="1">
      <formula>$J$53="超过20%"</formula>
    </cfRule>
  </conditionalFormatting>
  <conditionalFormatting sqref="I54">
    <cfRule type="expression" dxfId="119" priority="5" stopIfTrue="1">
      <formula>$J$54="超过30%"</formula>
    </cfRule>
  </conditionalFormatting>
  <conditionalFormatting sqref="F48">
    <cfRule type="expression" dxfId="118" priority="4">
      <formula>$D$48="简单平均"</formula>
    </cfRule>
  </conditionalFormatting>
  <conditionalFormatting sqref="H48">
    <cfRule type="expression" dxfId="117" priority="3">
      <formula>$D$48="简单平均"</formula>
    </cfRule>
  </conditionalFormatting>
  <conditionalFormatting sqref="J48">
    <cfRule type="expression" dxfId="116" priority="2">
      <formula>$D$48="简单平均"</formula>
    </cfRule>
  </conditionalFormatting>
  <conditionalFormatting sqref="F7:F46 H7:H46 J7:J46">
    <cfRule type="cellIs" dxfId="115"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E20 I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A48"/>
  <sheetViews>
    <sheetView view="pageLayout" zoomScale="80" zoomScaleNormal="100" zoomScaleSheetLayoutView="100" zoomScalePageLayoutView="80" workbookViewId="0">
      <selection activeCell="A14" sqref="A14"/>
    </sheetView>
  </sheetViews>
  <sheetFormatPr defaultColWidth="9" defaultRowHeight="14.25"/>
  <cols>
    <col min="1" max="1" width="84" style="1652" customWidth="1"/>
    <col min="2" max="16384" width="9" style="1652"/>
  </cols>
  <sheetData>
    <row r="1" spans="1:1" ht="23.25">
      <c r="A1" s="1651" t="s">
        <v>1576</v>
      </c>
    </row>
    <row r="2" spans="1:1">
      <c r="A2" s="1653"/>
    </row>
    <row r="3" spans="1:1" ht="18">
      <c r="A3" s="1654" t="str">
        <f>项目基本情况!B5&amp;"："</f>
        <v>：</v>
      </c>
    </row>
    <row r="4" spans="1:1" ht="36">
      <c r="A4" s="1655" t="str">
        <f>"受贵公司委托，我公司对"&amp;项目基本情况!S1&amp;"进行了预评估。"</f>
        <v>受贵公司委托，我公司对湖南省湘潭市岳塘区芙蓉路以南、晓塘路以北万达酒店出让国有建设用地使用权及在建建筑物房地产抵押价值进行了预评估。</v>
      </c>
    </row>
    <row r="5" spans="1:1" ht="18.75">
      <c r="A5" s="1656" t="s">
        <v>1577</v>
      </c>
    </row>
    <row r="6" spans="1:1" ht="18.75">
      <c r="A6" s="1657" t="s">
        <v>1578</v>
      </c>
    </row>
    <row r="7" spans="1:1" ht="54">
      <c r="A7" s="1655"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湖南省湘潭市岳塘区芙蓉路以南、晓塘路以北万达酒店出让国有建设用地使用权及在建建筑物房地产，为所有。根据《国有土地使用证》[]，估价对象（分摊）出让国有建设用地使用权面积为0平方米，建筑面积为29932.76平方米。</v>
      </c>
    </row>
    <row r="8" spans="1:1" ht="57.75">
      <c r="A8" s="1658" t="s">
        <v>1579</v>
      </c>
    </row>
    <row r="9" spans="1:1" ht="18.75">
      <c r="A9" s="1657" t="s">
        <v>1580</v>
      </c>
    </row>
    <row r="10" spans="1:1" ht="72">
      <c r="A10" s="1655"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湖南省湘潭市岳塘区芙蓉路以南、晓塘路以北万达酒店出让国有建设用地使用权及在建建筑物房地产,属开发建设的商业项目，该项目尚在开发建设中。根据《国有土地使用证》[]，估价对象（分摊）出让国有建设用地使用权面积为0平方米，规划建筑面积为29932.76平方米。</v>
      </c>
    </row>
    <row r="11" spans="1:1" ht="76.5">
      <c r="A11" s="1658" t="s">
        <v>1581</v>
      </c>
    </row>
    <row r="12" spans="1:1" ht="18.75">
      <c r="A12" s="1656" t="s">
        <v>1582</v>
      </c>
    </row>
    <row r="13" spans="1:1" ht="38.25" customHeight="1">
      <c r="A13" s="1659" t="str">
        <f>IF(项目基本情况!B8="抵押",IF(项目基本情况!B5=项目基本情况!B6,定义!C51,定义!B51),定义!D51)</f>
        <v>拟使用湖南省湘潭市岳塘区芙蓉路以南、晓塘路以北万达酒店出让国有建设用地使用权及在建建筑物房地产作为抵押担保物，向办理贷款手续。特委托北京康正宏基房地产评估有限公司对上述抵押物进行评估。本次评估为确定房地产抵押贷款额度提供参考依据而评估房地产抵押价值。</v>
      </c>
    </row>
    <row r="14" spans="1:1" ht="18.75">
      <c r="A14" s="1660" t="s">
        <v>1583</v>
      </c>
    </row>
    <row r="15" spans="1:1" ht="18">
      <c r="A15" s="1661" t="str">
        <f>TEXT(项目基本情况!D3,"yyyy年m月d日;;")&amp;IF(项目基本情况!D3=项目基本情况!B3,"（评估专业人员实地查勘之日）","")</f>
        <v>2021年3月25日（评估专业人员实地查勘之日）</v>
      </c>
    </row>
    <row r="16" spans="1:1" ht="18.75">
      <c r="A16" s="1660" t="s">
        <v>1584</v>
      </c>
    </row>
    <row r="17" spans="1:1" ht="75">
      <c r="A17" s="1655" t="s">
        <v>1585</v>
      </c>
    </row>
    <row r="18" spans="1:1" ht="54">
      <c r="A18" s="1655" t="str">
        <f>IF(项目基本情况!B12="出让","本次估价的“房地产价值”是指在正常市场情况下，在价值时点"&amp;TEXT(项目基本情况!D3,"yyyy年m月d日;;")&amp;"，估价对象规划用途为"&amp;项目基本情况!B16&amp;"，土地取得方式为"&amp;项目基本情况!B12&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B12&amp;"，假定未设立法定优先受偿款下的房地产市场价值。")</f>
        <v>本次估价的“房地产价值”是指在正常市场情况下，在价值时点2021年3月25日，估价对象规划用途为，土地取得方式为出让，出让国有建设用地使用权剩余土地使用年限为，假定未设立法定优先受偿款下的房地产市场价值。</v>
      </c>
    </row>
    <row r="19" spans="1:1" ht="157.5" customHeight="1">
      <c r="A19" s="1655" t="str">
        <f>IF(项目基本情况!B12="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通路、通电、通讯、通上水、通下水、通热、燃气）、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spans="1:1" ht="36">
      <c r="A20" s="1655"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v>
      </c>
    </row>
    <row r="21" spans="1:1" ht="54">
      <c r="A21" s="1655"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spans="1:1" ht="54">
      <c r="A22" s="1655" t="str">
        <f>IF(项目基本情况!B9="房地产市场价值","——",IF(项目基本情况!E9="——","",定义!C57))</f>
        <v>本次估价的“抵押净值”是指估价对象“房地产抵押价值”减去估价对象在价值时点以“房地产销售收入”为基数计算的预计抵押权实现进行处置时需缴纳的各项费用、税金等相关费用后的价值。</v>
      </c>
    </row>
    <row r="23" spans="1:1" ht="18.75">
      <c r="A23" s="1660" t="s">
        <v>1574</v>
      </c>
    </row>
    <row r="24" spans="1:1" ht="18">
      <c r="A24" s="1662" t="str">
        <f>"本次评估采用的主估价方法为"&amp;结果表!K4&amp;"和"&amp;结果表!L4&amp;"。"</f>
        <v>本次评估采用的主估价方法为成本法和收益法。</v>
      </c>
    </row>
    <row r="25" spans="1:1" ht="18">
      <c r="A25" s="1662"/>
    </row>
    <row r="26" spans="1:1" ht="18.75">
      <c r="A26" s="1663" t="s">
        <v>1575</v>
      </c>
    </row>
    <row r="27" spans="1:1">
      <c r="A27" s="1664"/>
    </row>
    <row r="28" spans="1:1">
      <c r="A28" s="1664"/>
    </row>
    <row r="29" spans="1:1">
      <c r="A29" s="1664"/>
    </row>
    <row r="30" spans="1:1">
      <c r="A30" s="1664"/>
    </row>
    <row r="31" spans="1:1">
      <c r="A31" s="1664"/>
    </row>
    <row r="32" spans="1:1">
      <c r="A32" s="1664"/>
    </row>
    <row r="33" spans="1:1">
      <c r="A33" s="1664"/>
    </row>
    <row r="34" spans="1:1">
      <c r="A34" s="1664"/>
    </row>
    <row r="35" spans="1:1">
      <c r="A35" s="1664"/>
    </row>
    <row r="36" spans="1:1">
      <c r="A36" s="1664"/>
    </row>
    <row r="37" spans="1:1">
      <c r="A37" s="1664"/>
    </row>
    <row r="38" spans="1:1">
      <c r="A38" s="1664"/>
    </row>
    <row r="39" spans="1:1">
      <c r="A39" s="1664"/>
    </row>
    <row r="40" spans="1:1">
      <c r="A40" s="1664"/>
    </row>
    <row r="41" spans="1:1">
      <c r="A41" s="1664"/>
    </row>
    <row r="42" spans="1:1">
      <c r="A42" s="1664"/>
    </row>
    <row r="43" spans="1:1">
      <c r="A43" s="1664"/>
    </row>
    <row r="44" spans="1:1">
      <c r="A44" s="1664"/>
    </row>
    <row r="45" spans="1:1">
      <c r="A45" s="1664"/>
    </row>
    <row r="46" spans="1:1">
      <c r="A46" s="1664"/>
    </row>
    <row r="47" spans="1:1">
      <c r="A47" s="1664"/>
    </row>
    <row r="48" spans="1:1">
      <c r="A48" s="1664"/>
    </row>
  </sheetData>
  <sheetProtection sheet="1" objects="1" scenarios="1" formatCells="0" formatRows="0"/>
  <phoneticPr fontId="86" type="noConversion"/>
  <dataValidations count="1">
    <dataValidation type="list" allowBlank="1" showInputMessage="1" showErrorMessage="1" sqref="A26">
      <formula1>"（转下页）,（本页下方空白无内容）"</formula1>
    </dataValidation>
  </dataValidations>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zoomScale="60" zoomScaleNormal="70" workbookViewId="0">
      <selection activeCell="F7" sqref="F7:F47"/>
    </sheetView>
  </sheetViews>
  <sheetFormatPr defaultColWidth="9" defaultRowHeight="14.25"/>
  <cols>
    <col min="1" max="1" width="10.5" style="362" customWidth="1"/>
    <col min="2" max="2" width="15.75" style="362" customWidth="1"/>
    <col min="3" max="3" width="15.125" style="362" customWidth="1"/>
    <col min="4" max="4" width="12.25" style="362" customWidth="1"/>
    <col min="5" max="5" width="14.375" style="362" customWidth="1"/>
    <col min="6" max="6" width="12.25" style="362" customWidth="1"/>
    <col min="7" max="7" width="14.5" style="362" customWidth="1"/>
    <col min="8" max="8" width="12.25" style="362" customWidth="1"/>
    <col min="9" max="9" width="14.5" style="362" customWidth="1"/>
    <col min="10" max="10" width="12.25" style="362" customWidth="1"/>
    <col min="11" max="11" width="12.25" style="451" customWidth="1"/>
    <col min="12" max="12" width="12.25" style="452" customWidth="1"/>
    <col min="13" max="15" width="12.25" style="362" customWidth="1"/>
    <col min="16" max="16" width="4.75" style="2089" customWidth="1"/>
    <col min="17" max="17" width="19.5" style="362" customWidth="1"/>
    <col min="18" max="22" width="6.125" style="362" customWidth="1"/>
    <col min="23" max="23" width="5.75" style="362" customWidth="1"/>
    <col min="24" max="24" width="4.25" style="362" customWidth="1"/>
    <col min="25" max="25" width="3.5" style="362" customWidth="1"/>
    <col min="26" max="26" width="19.75" style="362" customWidth="1"/>
    <col min="27" max="28" width="9.375" style="362" customWidth="1"/>
    <col min="29" max="16384" width="9" style="362"/>
  </cols>
  <sheetData>
    <row r="1" spans="1:29" s="1389" customFormat="1" ht="28.5" customHeight="1" thickBot="1">
      <c r="A1" s="1378" t="s">
        <v>2343</v>
      </c>
      <c r="B1" s="2051" t="s">
        <v>2457</v>
      </c>
      <c r="C1" s="1394" t="s">
        <v>2345</v>
      </c>
      <c r="D1" s="1381"/>
      <c r="E1" s="2527"/>
      <c r="F1" s="2052"/>
      <c r="G1" s="1391" t="s">
        <v>2458</v>
      </c>
      <c r="H1" s="1390"/>
      <c r="I1" s="1390"/>
      <c r="J1" s="1390"/>
      <c r="K1" s="1392"/>
      <c r="L1" s="1393"/>
      <c r="M1" s="1394"/>
      <c r="N1" s="1394"/>
      <c r="O1" s="1394"/>
      <c r="P1" s="2122"/>
      <c r="Q1" s="2123"/>
      <c r="R1" s="2123"/>
      <c r="S1" s="2123"/>
      <c r="T1" s="2123"/>
      <c r="U1" s="2123"/>
      <c r="V1" s="2123"/>
      <c r="W1" s="2123"/>
      <c r="X1" s="2123"/>
      <c r="Y1" s="2123"/>
      <c r="Z1" s="2123"/>
      <c r="AA1" s="2123"/>
      <c r="AB1" s="2123"/>
      <c r="AC1" s="2124"/>
    </row>
    <row r="2" spans="1:29" s="357" customFormat="1" ht="28.5" customHeight="1" thickTop="1">
      <c r="A2" s="1377" t="s">
        <v>2147</v>
      </c>
      <c r="B2" s="1315" t="e">
        <f ca="1">IF(C2="——",ROUND(C49*D3/10000,0),ROUND(C49*D3/10000,0)-D2)</f>
        <v>#DIV/0!</v>
      </c>
      <c r="C2" s="2054"/>
      <c r="D2" s="1266" t="e">
        <f ca="1">SUMIF(INDIRECT("'"&amp;F2&amp;"'"&amp;"!A:A"),"承租人权益价值",INDIRECT("'"&amp;F2&amp;"'"&amp;"!c:c"))</f>
        <v>#REF!</v>
      </c>
      <c r="E2" s="2055" t="s">
        <v>2148</v>
      </c>
      <c r="F2" s="2056"/>
      <c r="G2" s="1031"/>
      <c r="H2" s="1031"/>
      <c r="I2" s="1031"/>
      <c r="J2" s="1031"/>
      <c r="K2" s="1031"/>
      <c r="L2" s="2944"/>
      <c r="M2" s="2945"/>
      <c r="N2" s="2945"/>
      <c r="O2" s="2945"/>
      <c r="P2" s="2125"/>
      <c r="Q2" s="1035"/>
      <c r="R2" s="1035"/>
      <c r="S2" s="1035"/>
      <c r="T2" s="1035"/>
      <c r="U2" s="1035"/>
      <c r="V2" s="1035"/>
      <c r="W2" s="1035"/>
      <c r="X2" s="1035"/>
      <c r="Y2" s="1035"/>
      <c r="Z2" s="1035"/>
      <c r="AA2" s="1035"/>
      <c r="AB2" s="1035"/>
      <c r="AC2" s="2126"/>
    </row>
    <row r="3" spans="1:29" s="357" customFormat="1" ht="28.5" customHeight="1" thickBot="1">
      <c r="A3" s="209" t="s">
        <v>2149</v>
      </c>
      <c r="B3" s="565" t="e">
        <f ca="1">IF(C2="——",C49,ROUND(B2*10000/D3,0))</f>
        <v>#DIV/0!</v>
      </c>
      <c r="C3" s="359" t="s">
        <v>2459</v>
      </c>
      <c r="D3" s="358">
        <f>IF(D1="",'数据-汇总表'!E3,SUMIF('数据-汇总表'!$C19:$C33,D1,'数据-汇总表'!$E19:$E33))</f>
        <v>29932.760000000009</v>
      </c>
      <c r="E3" s="2127"/>
      <c r="F3" s="1032"/>
      <c r="G3" s="1031"/>
      <c r="H3" s="1031"/>
      <c r="I3" s="1031"/>
      <c r="J3" s="1031"/>
      <c r="K3" s="1033"/>
      <c r="L3" s="2944"/>
      <c r="M3" s="2945"/>
      <c r="N3" s="2945"/>
      <c r="O3" s="2945"/>
      <c r="P3" s="2125"/>
      <c r="Q3" s="1035"/>
      <c r="R3" s="1035"/>
      <c r="S3" s="1035"/>
      <c r="T3" s="1035"/>
      <c r="U3" s="1035"/>
      <c r="V3" s="1035"/>
      <c r="W3" s="1035"/>
      <c r="X3" s="1035"/>
      <c r="Y3" s="1035"/>
      <c r="Z3" s="1035"/>
      <c r="AA3" s="1035"/>
      <c r="AB3" s="1035"/>
      <c r="AC3" s="2127"/>
    </row>
    <row r="4" spans="1:29" ht="15">
      <c r="A4" s="360" t="s">
        <v>2460</v>
      </c>
      <c r="B4" s="361"/>
      <c r="C4" s="3357" t="s">
        <v>2461</v>
      </c>
      <c r="D4" s="3370"/>
      <c r="E4" s="3371" t="s">
        <v>2462</v>
      </c>
      <c r="F4" s="3372"/>
      <c r="G4" s="3357" t="s">
        <v>2463</v>
      </c>
      <c r="H4" s="3370"/>
      <c r="I4" s="3357" t="s">
        <v>2464</v>
      </c>
      <c r="J4" s="3370"/>
      <c r="K4" s="566" t="s">
        <v>2465</v>
      </c>
      <c r="L4" s="2925"/>
      <c r="M4" s="2926"/>
      <c r="N4" s="2926"/>
      <c r="O4" s="2926"/>
      <c r="P4" s="3373" t="s">
        <v>2466</v>
      </c>
      <c r="Q4" s="3374"/>
      <c r="R4" s="3379" t="s">
        <v>2462</v>
      </c>
      <c r="S4" s="3380"/>
      <c r="T4" s="3379" t="s">
        <v>2463</v>
      </c>
      <c r="U4" s="3380"/>
      <c r="V4" s="3366" t="s">
        <v>2464</v>
      </c>
      <c r="W4" s="3366"/>
      <c r="X4" s="1529"/>
      <c r="Y4" s="3379" t="s">
        <v>2466</v>
      </c>
      <c r="Z4" s="3380"/>
      <c r="AA4" s="3367" t="s">
        <v>2462</v>
      </c>
      <c r="AB4" s="3366" t="s">
        <v>2463</v>
      </c>
      <c r="AC4" s="3367" t="s">
        <v>2464</v>
      </c>
    </row>
    <row r="5" spans="1:29" ht="15">
      <c r="A5" s="363"/>
      <c r="B5" s="364"/>
      <c r="C5" s="3387" t="s">
        <v>2357</v>
      </c>
      <c r="D5" s="3388"/>
      <c r="E5" s="3394" t="s">
        <v>2358</v>
      </c>
      <c r="F5" s="3395"/>
      <c r="G5" s="3387" t="s">
        <v>2359</v>
      </c>
      <c r="H5" s="3388"/>
      <c r="I5" s="3387" t="s">
        <v>2360</v>
      </c>
      <c r="J5" s="3388"/>
      <c r="K5" s="566"/>
      <c r="L5" s="2925"/>
      <c r="M5" s="2926"/>
      <c r="N5" s="2926"/>
      <c r="O5" s="2926"/>
      <c r="P5" s="3375"/>
      <c r="Q5" s="3376"/>
      <c r="R5" s="3381"/>
      <c r="S5" s="3382"/>
      <c r="T5" s="3381"/>
      <c r="U5" s="3382"/>
      <c r="V5" s="3366"/>
      <c r="W5" s="3366"/>
      <c r="X5" s="1529"/>
      <c r="Y5" s="3381"/>
      <c r="Z5" s="3382"/>
      <c r="AA5" s="3368"/>
      <c r="AB5" s="3366"/>
      <c r="AC5" s="3368"/>
    </row>
    <row r="6" spans="1:29" ht="15.75" thickBot="1">
      <c r="A6" s="365"/>
      <c r="B6" s="366"/>
      <c r="C6" s="3385" t="s">
        <v>2361</v>
      </c>
      <c r="D6" s="3386"/>
      <c r="E6" s="3392" t="s">
        <v>2361</v>
      </c>
      <c r="F6" s="3393"/>
      <c r="G6" s="3385" t="s">
        <v>2361</v>
      </c>
      <c r="H6" s="3386"/>
      <c r="I6" s="3385" t="s">
        <v>2361</v>
      </c>
      <c r="J6" s="3386"/>
      <c r="K6" s="566" t="s">
        <v>2362</v>
      </c>
      <c r="L6" s="2925"/>
      <c r="M6" s="2926"/>
      <c r="N6" s="2926"/>
      <c r="O6" s="2926"/>
      <c r="P6" s="3377"/>
      <c r="Q6" s="3378"/>
      <c r="R6" s="3381"/>
      <c r="S6" s="3382"/>
      <c r="T6" s="3383"/>
      <c r="U6" s="3384"/>
      <c r="V6" s="3366"/>
      <c r="W6" s="3366"/>
      <c r="X6" s="1529"/>
      <c r="Y6" s="3383"/>
      <c r="Z6" s="3384"/>
      <c r="AA6" s="3369"/>
      <c r="AB6" s="3366"/>
      <c r="AC6" s="3369"/>
    </row>
    <row r="7" spans="1:29" s="113" customFormat="1" ht="15.75" thickBot="1">
      <c r="A7" s="367" t="s">
        <v>2363</v>
      </c>
      <c r="B7" s="368"/>
      <c r="C7" s="369">
        <f>'数据-取费表'!B2</f>
        <v>44280</v>
      </c>
      <c r="D7" s="370">
        <v>100</v>
      </c>
      <c r="E7" s="371"/>
      <c r="F7" s="372">
        <f>SUMIF(58:58,YEAR(E7)&amp;"-"&amp;MONTH(E7),59:59)</f>
        <v>0</v>
      </c>
      <c r="G7" s="371"/>
      <c r="H7" s="370">
        <f>SUMIF(58:58,YEAR(G7)&amp;"-"&amp;MONTH(G7),59:59)</f>
        <v>0</v>
      </c>
      <c r="I7" s="371"/>
      <c r="J7" s="370">
        <f>SUMIF(58:58,YEAR(I7)&amp;"-"&amp;MONTH(I7),59:59)</f>
        <v>0</v>
      </c>
      <c r="K7" s="567"/>
      <c r="L7" s="2927"/>
      <c r="M7" s="2928"/>
      <c r="N7" s="2928"/>
      <c r="O7" s="2928"/>
      <c r="P7" s="3389" t="s">
        <v>2364</v>
      </c>
      <c r="Q7" s="3391"/>
      <c r="R7" s="708" t="s">
        <v>17</v>
      </c>
      <c r="S7" s="709">
        <f t="shared" ref="S7:S15" si="0">F7</f>
        <v>0</v>
      </c>
      <c r="T7" s="708" t="s">
        <v>17</v>
      </c>
      <c r="U7" s="709">
        <f t="shared" ref="U7:U15" si="1">H7</f>
        <v>0</v>
      </c>
      <c r="V7" s="708" t="s">
        <v>17</v>
      </c>
      <c r="W7" s="709">
        <f t="shared" ref="W7:W15" si="2">J7</f>
        <v>0</v>
      </c>
      <c r="X7" s="710"/>
      <c r="Y7" s="3389" t="s">
        <v>2364</v>
      </c>
      <c r="Z7" s="3390"/>
      <c r="AA7" s="711" t="e">
        <f>D7/F7</f>
        <v>#DIV/0!</v>
      </c>
      <c r="AB7" s="711" t="e">
        <f>D7/H7</f>
        <v>#DIV/0!</v>
      </c>
      <c r="AC7" s="711" t="e">
        <f>D7/J7</f>
        <v>#DIV/0!</v>
      </c>
    </row>
    <row r="8" spans="1:29" s="113" customFormat="1" ht="15.75" thickBot="1">
      <c r="A8" s="367" t="s">
        <v>2365</v>
      </c>
      <c r="B8" s="368"/>
      <c r="C8" s="373" t="s">
        <v>2467</v>
      </c>
      <c r="D8" s="370">
        <v>100</v>
      </c>
      <c r="E8" s="373"/>
      <c r="F8" s="372">
        <f>SUMIF(61:61,E8,62:62)-SUMIF(61:61,C8,62:62)+100</f>
        <v>0</v>
      </c>
      <c r="G8" s="373"/>
      <c r="H8" s="370">
        <f>SUMIF(61:61,G8,62:62)-SUMIF(61:61,C8,62:62)+100</f>
        <v>0</v>
      </c>
      <c r="I8" s="373"/>
      <c r="J8" s="370">
        <f>SUMIF(61:61,I8,62:62)-SUMIF(61:61,C8,62:62)+100</f>
        <v>0</v>
      </c>
      <c r="K8" s="567"/>
      <c r="L8" s="2927"/>
      <c r="M8" s="2928"/>
      <c r="N8" s="2928"/>
      <c r="O8" s="2928"/>
      <c r="P8" s="3389" t="s">
        <v>2367</v>
      </c>
      <c r="Q8" s="3390"/>
      <c r="R8" s="708" t="s">
        <v>17</v>
      </c>
      <c r="S8" s="709">
        <f t="shared" si="0"/>
        <v>0</v>
      </c>
      <c r="T8" s="708" t="s">
        <v>17</v>
      </c>
      <c r="U8" s="709">
        <f t="shared" si="1"/>
        <v>0</v>
      </c>
      <c r="V8" s="708" t="s">
        <v>17</v>
      </c>
      <c r="W8" s="709">
        <f t="shared" si="2"/>
        <v>0</v>
      </c>
      <c r="X8" s="710"/>
      <c r="Y8" s="3389" t="s">
        <v>2367</v>
      </c>
      <c r="Z8" s="3390"/>
      <c r="AA8" s="711" t="e">
        <f t="shared" ref="AA8:AA46" si="3">D8/F8</f>
        <v>#DIV/0!</v>
      </c>
      <c r="AB8" s="711" t="e">
        <f t="shared" ref="AB8:AB46" si="4">D8/H8</f>
        <v>#DIV/0!</v>
      </c>
      <c r="AC8" s="711" t="e">
        <f t="shared" ref="AC8:AC46" si="5">D8/J8</f>
        <v>#DIV/0!</v>
      </c>
    </row>
    <row r="9" spans="1:29" s="113" customFormat="1">
      <c r="A9" s="374" t="s">
        <v>2368</v>
      </c>
      <c r="B9" s="67" t="s">
        <v>2369</v>
      </c>
      <c r="C9" s="375"/>
      <c r="D9" s="131">
        <v>100</v>
      </c>
      <c r="E9" s="376"/>
      <c r="F9" s="377">
        <f>SUMIF(63:63,E9,64:64)-SUMIF(63:63,C9,64:64)+100</f>
        <v>100</v>
      </c>
      <c r="G9" s="376"/>
      <c r="H9" s="131">
        <f>SUMIF(63:63,G9,64:64)-SUMIF(63:63,C9,64:64)+100</f>
        <v>100</v>
      </c>
      <c r="I9" s="376"/>
      <c r="J9" s="131">
        <f>SUMIF(63:63,I9,64:64)-SUMIF(63:63,C9,64:64)+100</f>
        <v>100</v>
      </c>
      <c r="K9" s="567"/>
      <c r="L9" s="2927"/>
      <c r="M9" s="2928"/>
      <c r="N9" s="2928"/>
      <c r="O9" s="2928"/>
      <c r="P9" s="3359" t="s">
        <v>2370</v>
      </c>
      <c r="Q9" s="1517" t="str">
        <f t="shared" ref="Q9:Q15" si="6">B9</f>
        <v>用途</v>
      </c>
      <c r="R9" s="708" t="s">
        <v>17</v>
      </c>
      <c r="S9" s="709">
        <f t="shared" si="0"/>
        <v>100</v>
      </c>
      <c r="T9" s="708" t="s">
        <v>17</v>
      </c>
      <c r="U9" s="709">
        <f t="shared" si="1"/>
        <v>100</v>
      </c>
      <c r="V9" s="708" t="s">
        <v>17</v>
      </c>
      <c r="W9" s="709">
        <f t="shared" si="2"/>
        <v>100</v>
      </c>
      <c r="X9" s="710"/>
      <c r="Y9" s="3257" t="s">
        <v>2371</v>
      </c>
      <c r="Z9" s="55" t="str">
        <f t="shared" ref="Z9:Z15" si="7">Q9</f>
        <v>用途</v>
      </c>
      <c r="AA9" s="711">
        <f t="shared" si="3"/>
        <v>1</v>
      </c>
      <c r="AB9" s="711">
        <f t="shared" si="4"/>
        <v>1</v>
      </c>
      <c r="AC9" s="711">
        <f t="shared" si="5"/>
        <v>1</v>
      </c>
    </row>
    <row r="10" spans="1:29" s="385" customFormat="1" ht="27">
      <c r="A10" s="379"/>
      <c r="B10" s="380" t="s">
        <v>2372</v>
      </c>
      <c r="C10" s="381"/>
      <c r="D10" s="132">
        <v>100</v>
      </c>
      <c r="E10" s="382"/>
      <c r="F10" s="383">
        <f>SUMIF(65:65,E10,66:66)-SUMIF(65:65,C10,66:66)+100</f>
        <v>100</v>
      </c>
      <c r="G10" s="381"/>
      <c r="H10" s="132">
        <f>SUMIF(65:65,G10,66:66)-SUMIF(65:65,C10,66:66)+100</f>
        <v>100</v>
      </c>
      <c r="I10" s="381"/>
      <c r="J10" s="132">
        <f>SUMIF(65:65,I10,66:66)-SUMIF(65:65,C10,66:66)+100</f>
        <v>100</v>
      </c>
      <c r="K10" s="568"/>
      <c r="L10" s="2929"/>
      <c r="M10" s="2930"/>
      <c r="N10" s="2930"/>
      <c r="O10" s="2930"/>
      <c r="P10" s="3359"/>
      <c r="Q10" s="1517" t="str">
        <f t="shared" si="6"/>
        <v>土地使用年限（年）</v>
      </c>
      <c r="R10" s="708" t="s">
        <v>17</v>
      </c>
      <c r="S10" s="709">
        <f t="shared" si="0"/>
        <v>100</v>
      </c>
      <c r="T10" s="708" t="s">
        <v>17</v>
      </c>
      <c r="U10" s="709">
        <f t="shared" si="1"/>
        <v>100</v>
      </c>
      <c r="V10" s="708" t="s">
        <v>17</v>
      </c>
      <c r="W10" s="709">
        <f t="shared" si="2"/>
        <v>100</v>
      </c>
      <c r="X10" s="710"/>
      <c r="Y10" s="3257"/>
      <c r="Z10" s="55" t="str">
        <f t="shared" si="7"/>
        <v>土地使用年限（年）</v>
      </c>
      <c r="AA10" s="711">
        <f t="shared" si="3"/>
        <v>1</v>
      </c>
      <c r="AB10" s="711">
        <f t="shared" si="4"/>
        <v>1</v>
      </c>
      <c r="AC10" s="711">
        <f t="shared" si="5"/>
        <v>1</v>
      </c>
    </row>
    <row r="11" spans="1:29" ht="15">
      <c r="A11" s="386"/>
      <c r="B11" s="380" t="s">
        <v>2373</v>
      </c>
      <c r="C11" s="387"/>
      <c r="D11" s="132">
        <v>100</v>
      </c>
      <c r="E11" s="388"/>
      <c r="F11" s="383" t="e">
        <f>LOOKUP(E11,68:68,69:69)-LOOKUP(C11,68:68,69:69)+100</f>
        <v>#N/A</v>
      </c>
      <c r="G11" s="387"/>
      <c r="H11" s="132" t="e">
        <f>LOOKUP(G11,68:68,69:69)-LOOKUP(C11,68:68,69:69)+100</f>
        <v>#N/A</v>
      </c>
      <c r="I11" s="387"/>
      <c r="J11" s="132" t="e">
        <f>LOOKUP(I11,68:68,69:69)-LOOKUP(C11,68:68,69:69)+100</f>
        <v>#N/A</v>
      </c>
      <c r="K11" s="568"/>
      <c r="L11" s="2931"/>
      <c r="M11" s="2926"/>
      <c r="N11" s="2926"/>
      <c r="O11" s="2926"/>
      <c r="P11" s="3359"/>
      <c r="Q11" s="1517" t="str">
        <f t="shared" si="6"/>
        <v>容积率</v>
      </c>
      <c r="R11" s="708" t="s">
        <v>17</v>
      </c>
      <c r="S11" s="709" t="e">
        <f t="shared" si="0"/>
        <v>#N/A</v>
      </c>
      <c r="T11" s="708" t="s">
        <v>17</v>
      </c>
      <c r="U11" s="709" t="e">
        <f t="shared" si="1"/>
        <v>#N/A</v>
      </c>
      <c r="V11" s="708" t="s">
        <v>17</v>
      </c>
      <c r="W11" s="709" t="e">
        <f t="shared" si="2"/>
        <v>#N/A</v>
      </c>
      <c r="X11" s="710"/>
      <c r="Y11" s="3257"/>
      <c r="Z11" s="55" t="str">
        <f t="shared" si="7"/>
        <v>容积率</v>
      </c>
      <c r="AA11" s="711" t="e">
        <f t="shared" si="3"/>
        <v>#N/A</v>
      </c>
      <c r="AB11" s="711" t="e">
        <f t="shared" si="4"/>
        <v>#N/A</v>
      </c>
      <c r="AC11" s="711" t="e">
        <f t="shared" si="5"/>
        <v>#N/A</v>
      </c>
    </row>
    <row r="12" spans="1:29" s="113" customFormat="1" ht="15">
      <c r="A12" s="389"/>
      <c r="B12" s="2066">
        <v>111</v>
      </c>
      <c r="C12" s="390"/>
      <c r="D12" s="391">
        <v>100</v>
      </c>
      <c r="E12" s="392"/>
      <c r="F12" s="383">
        <f>SUMIF(70:70,E12,71:71)-SUMIF(70:70,C12,71:71)+100</f>
        <v>100</v>
      </c>
      <c r="G12" s="392"/>
      <c r="H12" s="132">
        <f>SUMIF(70:70,G12,71:71)-SUMIF(70:70,C12,71:71)+100</f>
        <v>100</v>
      </c>
      <c r="I12" s="392"/>
      <c r="J12" s="132">
        <f>SUMIF(70:70,I12,71:71)-SUMIF(70:70,C12,71:71)+100</f>
        <v>100</v>
      </c>
      <c r="K12" s="569"/>
      <c r="L12" s="2927"/>
      <c r="M12" s="2928"/>
      <c r="N12" s="2928"/>
      <c r="O12" s="2928"/>
      <c r="P12" s="3359"/>
      <c r="Q12" s="1517">
        <f t="shared" si="6"/>
        <v>111</v>
      </c>
      <c r="R12" s="708" t="s">
        <v>17</v>
      </c>
      <c r="S12" s="709">
        <f t="shared" si="0"/>
        <v>100</v>
      </c>
      <c r="T12" s="708" t="s">
        <v>17</v>
      </c>
      <c r="U12" s="709">
        <f t="shared" si="1"/>
        <v>100</v>
      </c>
      <c r="V12" s="708" t="s">
        <v>17</v>
      </c>
      <c r="W12" s="709">
        <f t="shared" si="2"/>
        <v>100</v>
      </c>
      <c r="X12" s="710"/>
      <c r="Y12" s="3257"/>
      <c r="Z12" s="55">
        <f t="shared" si="7"/>
        <v>111</v>
      </c>
      <c r="AA12" s="711">
        <f>D12/F12</f>
        <v>1</v>
      </c>
      <c r="AB12" s="711">
        <f>D12/H12</f>
        <v>1</v>
      </c>
      <c r="AC12" s="711">
        <f>D12/J12</f>
        <v>1</v>
      </c>
    </row>
    <row r="13" spans="1:29" ht="15">
      <c r="A13" s="386"/>
      <c r="B13" s="2066">
        <v>111</v>
      </c>
      <c r="C13" s="392"/>
      <c r="D13" s="393">
        <v>100</v>
      </c>
      <c r="E13" s="392"/>
      <c r="F13" s="383">
        <f>SUMIF(72:72,E13,73:73)-SUMIF(72:72,C13,73:73)+100</f>
        <v>100</v>
      </c>
      <c r="G13" s="392"/>
      <c r="H13" s="393">
        <f>SUMIF(72:72,G13,73:73)-SUMIF(72:72,C13,73:73)+100</f>
        <v>100</v>
      </c>
      <c r="I13" s="392"/>
      <c r="J13" s="393">
        <f>SUMIF(72:72,I13,73:73)-SUMIF(72:72,C13,73:73)+100</f>
        <v>100</v>
      </c>
      <c r="K13" s="569"/>
      <c r="L13" s="2932"/>
      <c r="M13" s="2926"/>
      <c r="N13" s="2926"/>
      <c r="O13" s="2926"/>
      <c r="P13" s="3359"/>
      <c r="Q13" s="1517">
        <f t="shared" si="6"/>
        <v>111</v>
      </c>
      <c r="R13" s="708" t="s">
        <v>17</v>
      </c>
      <c r="S13" s="709">
        <f t="shared" si="0"/>
        <v>100</v>
      </c>
      <c r="T13" s="708" t="s">
        <v>17</v>
      </c>
      <c r="U13" s="709">
        <f t="shared" si="1"/>
        <v>100</v>
      </c>
      <c r="V13" s="708" t="s">
        <v>17</v>
      </c>
      <c r="W13" s="709">
        <f t="shared" si="2"/>
        <v>100</v>
      </c>
      <c r="X13" s="710"/>
      <c r="Y13" s="3257"/>
      <c r="Z13" s="55">
        <f t="shared" si="7"/>
        <v>111</v>
      </c>
      <c r="AA13" s="711">
        <f t="shared" si="3"/>
        <v>1</v>
      </c>
      <c r="AB13" s="711">
        <f t="shared" si="4"/>
        <v>1</v>
      </c>
      <c r="AC13" s="711">
        <f t="shared" si="5"/>
        <v>1</v>
      </c>
    </row>
    <row r="14" spans="1:29" ht="15.75" thickBot="1">
      <c r="A14" s="394"/>
      <c r="B14" s="2068">
        <v>111</v>
      </c>
      <c r="C14" s="395"/>
      <c r="D14" s="396">
        <v>100</v>
      </c>
      <c r="E14" s="392"/>
      <c r="F14" s="397">
        <f>SUMIF(74:74,E14,75:75)-SUMIF(74:74,C14,75:75)+100</f>
        <v>100</v>
      </c>
      <c r="G14" s="392"/>
      <c r="H14" s="396">
        <f>SUMIF(74:74,G14,75:75)-SUMIF(74:74,C14,75:75)+100</f>
        <v>100</v>
      </c>
      <c r="I14" s="392"/>
      <c r="J14" s="396">
        <f>SUMIF(74:74,I14,75:75)-SUMIF(74:74,C14,75:75)+100</f>
        <v>100</v>
      </c>
      <c r="K14" s="569"/>
      <c r="L14" s="2932"/>
      <c r="M14" s="2926"/>
      <c r="N14" s="2926"/>
      <c r="O14" s="2926"/>
      <c r="P14" s="3359"/>
      <c r="Q14" s="1517">
        <f t="shared" si="6"/>
        <v>111</v>
      </c>
      <c r="R14" s="708" t="s">
        <v>17</v>
      </c>
      <c r="S14" s="709">
        <f t="shared" si="0"/>
        <v>100</v>
      </c>
      <c r="T14" s="708" t="s">
        <v>17</v>
      </c>
      <c r="U14" s="709">
        <f t="shared" si="1"/>
        <v>100</v>
      </c>
      <c r="V14" s="708" t="s">
        <v>17</v>
      </c>
      <c r="W14" s="709">
        <f t="shared" si="2"/>
        <v>100</v>
      </c>
      <c r="X14" s="710"/>
      <c r="Y14" s="3257"/>
      <c r="Z14" s="55">
        <f t="shared" si="7"/>
        <v>111</v>
      </c>
      <c r="AA14" s="711">
        <f t="shared" si="3"/>
        <v>1</v>
      </c>
      <c r="AB14" s="711">
        <f t="shared" si="4"/>
        <v>1</v>
      </c>
      <c r="AC14" s="711">
        <f t="shared" si="5"/>
        <v>1</v>
      </c>
    </row>
    <row r="15" spans="1:29" ht="15">
      <c r="A15" s="398" t="s">
        <v>2374</v>
      </c>
      <c r="B15" s="65" t="s">
        <v>2468</v>
      </c>
      <c r="C15" s="2069">
        <f>估价对象房地状况!C4</f>
        <v>0</v>
      </c>
      <c r="D15" s="399">
        <v>100</v>
      </c>
      <c r="E15" s="400"/>
      <c r="F15" s="401">
        <f>SUMIF(76:76,E16,77:77)-SUMIF(76:76,C16,77:77)+100</f>
        <v>100</v>
      </c>
      <c r="G15" s="402"/>
      <c r="H15" s="399">
        <f>SUMIF(76:76,G16,77:77)-SUMIF(76:76,C16,77:77)+100</f>
        <v>100</v>
      </c>
      <c r="I15" s="400"/>
      <c r="J15" s="399">
        <f>SUMIF(76:76,I16,77:77)-SUMIF(76:76,C16,77:77)+100</f>
        <v>100</v>
      </c>
      <c r="K15" s="570"/>
      <c r="L15" s="2932"/>
      <c r="M15" s="2926"/>
      <c r="N15" s="2926"/>
      <c r="O15" s="2926"/>
      <c r="P15" s="3462" t="s">
        <v>2375</v>
      </c>
      <c r="Q15" s="1526" t="str">
        <f t="shared" si="6"/>
        <v>商业繁华度</v>
      </c>
      <c r="R15" s="712" t="s">
        <v>17</v>
      </c>
      <c r="S15" s="713">
        <f t="shared" si="0"/>
        <v>100</v>
      </c>
      <c r="T15" s="712" t="s">
        <v>17</v>
      </c>
      <c r="U15" s="713">
        <f t="shared" si="1"/>
        <v>100</v>
      </c>
      <c r="V15" s="712" t="s">
        <v>17</v>
      </c>
      <c r="W15" s="713">
        <f t="shared" si="2"/>
        <v>100</v>
      </c>
      <c r="X15" s="1529"/>
      <c r="Y15" s="3362" t="s">
        <v>2375</v>
      </c>
      <c r="Z15" s="1530" t="str">
        <f t="shared" si="7"/>
        <v>商业繁华度</v>
      </c>
      <c r="AA15" s="1527">
        <f t="shared" si="3"/>
        <v>1</v>
      </c>
      <c r="AB15" s="1527">
        <f t="shared" si="4"/>
        <v>1</v>
      </c>
      <c r="AC15" s="1527">
        <f t="shared" si="5"/>
        <v>1</v>
      </c>
    </row>
    <row r="16" spans="1:29" ht="15">
      <c r="A16" s="386"/>
      <c r="B16" s="404"/>
      <c r="C16" s="405"/>
      <c r="D16" s="406"/>
      <c r="E16" s="405"/>
      <c r="F16" s="407"/>
      <c r="G16" s="405"/>
      <c r="H16" s="408"/>
      <c r="I16" s="405"/>
      <c r="J16" s="406"/>
      <c r="K16" s="571"/>
      <c r="L16" s="2932"/>
      <c r="M16" s="2926"/>
      <c r="N16" s="2926"/>
      <c r="O16" s="2926"/>
      <c r="P16" s="3463"/>
      <c r="Q16" s="1526"/>
      <c r="R16" s="712"/>
      <c r="S16" s="713"/>
      <c r="T16" s="712"/>
      <c r="U16" s="713"/>
      <c r="V16" s="712"/>
      <c r="W16" s="713"/>
      <c r="X16" s="1529"/>
      <c r="Y16" s="3363"/>
      <c r="Z16" s="1530"/>
      <c r="AA16" s="1527">
        <v>1</v>
      </c>
      <c r="AB16" s="1527">
        <v>1</v>
      </c>
      <c r="AC16" s="1527">
        <v>1</v>
      </c>
    </row>
    <row r="17" spans="1:29" ht="15">
      <c r="A17" s="386"/>
      <c r="B17" s="409" t="s">
        <v>1944</v>
      </c>
      <c r="C17" s="2073">
        <f>估价对象房地状况!C6</f>
        <v>0</v>
      </c>
      <c r="D17" s="408">
        <v>100</v>
      </c>
      <c r="E17" s="410"/>
      <c r="F17" s="411">
        <f>SUMIF(78:78,E18,79:79)-SUMIF(78:78,C18,79:79)+100</f>
        <v>100</v>
      </c>
      <c r="G17" s="412"/>
      <c r="H17" s="413">
        <f>SUMIF(78:78,G18,79:79)-SUMIF(78:78,C18,79:79)+100</f>
        <v>100</v>
      </c>
      <c r="I17" s="410"/>
      <c r="J17" s="413">
        <f>SUMIF(78:78,I18,79:79)-SUMIF(78:78,C18,79:79)+100</f>
        <v>100</v>
      </c>
      <c r="K17" s="570"/>
      <c r="L17" s="2932"/>
      <c r="M17" s="2926"/>
      <c r="N17" s="2926"/>
      <c r="O17" s="2926"/>
      <c r="P17" s="3463"/>
      <c r="Q17" s="1526" t="str">
        <f>B17</f>
        <v>交通便捷度</v>
      </c>
      <c r="R17" s="712" t="s">
        <v>17</v>
      </c>
      <c r="S17" s="713">
        <f>F17</f>
        <v>100</v>
      </c>
      <c r="T17" s="712" t="s">
        <v>17</v>
      </c>
      <c r="U17" s="713">
        <f>H17</f>
        <v>100</v>
      </c>
      <c r="V17" s="712" t="s">
        <v>17</v>
      </c>
      <c r="W17" s="713">
        <f>J17</f>
        <v>100</v>
      </c>
      <c r="X17" s="1529"/>
      <c r="Y17" s="3363"/>
      <c r="Z17" s="1530" t="str">
        <f>Q17</f>
        <v>交通便捷度</v>
      </c>
      <c r="AA17" s="1527">
        <f t="shared" si="3"/>
        <v>1</v>
      </c>
      <c r="AB17" s="1527">
        <f t="shared" si="4"/>
        <v>1</v>
      </c>
      <c r="AC17" s="1527">
        <f t="shared" si="5"/>
        <v>1</v>
      </c>
    </row>
    <row r="18" spans="1:29" ht="15">
      <c r="A18" s="386"/>
      <c r="B18" s="414"/>
      <c r="C18" s="2074"/>
      <c r="D18" s="408"/>
      <c r="E18" s="2076"/>
      <c r="F18" s="411"/>
      <c r="G18" s="2075"/>
      <c r="H18" s="406"/>
      <c r="I18" s="2076"/>
      <c r="J18" s="406"/>
      <c r="K18" s="571"/>
      <c r="L18" s="2932"/>
      <c r="M18" s="2926"/>
      <c r="N18" s="2926"/>
      <c r="O18" s="2926"/>
      <c r="P18" s="3463"/>
      <c r="Q18" s="1526"/>
      <c r="R18" s="712"/>
      <c r="S18" s="713"/>
      <c r="T18" s="712"/>
      <c r="U18" s="713"/>
      <c r="V18" s="712"/>
      <c r="W18" s="713"/>
      <c r="X18" s="1529"/>
      <c r="Y18" s="3363"/>
      <c r="Z18" s="1530"/>
      <c r="AA18" s="1527">
        <v>1</v>
      </c>
      <c r="AB18" s="1527">
        <v>1</v>
      </c>
      <c r="AC18" s="1527">
        <v>1</v>
      </c>
    </row>
    <row r="19" spans="1:29" ht="15">
      <c r="A19" s="386"/>
      <c r="B19" s="409" t="s">
        <v>2469</v>
      </c>
      <c r="C19" s="2073">
        <f>估价对象房地状况!C7</f>
        <v>0</v>
      </c>
      <c r="D19" s="413">
        <v>100</v>
      </c>
      <c r="E19" s="415"/>
      <c r="F19" s="416">
        <f>SUMIF(80:80,E20,81:81)-SUMIF(80:80,C20,81:81)+100</f>
        <v>100</v>
      </c>
      <c r="G19" s="417"/>
      <c r="H19" s="408">
        <f>SUMIF(80:80,G20,81:81)-SUMIF(80:80,C20,81:81)+100</f>
        <v>100</v>
      </c>
      <c r="I19" s="415"/>
      <c r="J19" s="408">
        <f>SUMIF(80:80,I20,81:81)-SUMIF(80:80,C20,81:81)+100</f>
        <v>100</v>
      </c>
      <c r="K19" s="570"/>
      <c r="L19" s="2932"/>
      <c r="M19" s="2926"/>
      <c r="N19" s="2926"/>
      <c r="O19" s="2926"/>
      <c r="P19" s="3463"/>
      <c r="Q19" s="1526" t="str">
        <f>B19</f>
        <v>公共配套设施</v>
      </c>
      <c r="R19" s="712" t="s">
        <v>17</v>
      </c>
      <c r="S19" s="713">
        <f>F19</f>
        <v>100</v>
      </c>
      <c r="T19" s="712" t="s">
        <v>17</v>
      </c>
      <c r="U19" s="713">
        <f>H19</f>
        <v>100</v>
      </c>
      <c r="V19" s="712" t="s">
        <v>17</v>
      </c>
      <c r="W19" s="713">
        <f>J19</f>
        <v>100</v>
      </c>
      <c r="X19" s="1529"/>
      <c r="Y19" s="3363"/>
      <c r="Z19" s="1530" t="str">
        <f>Q19</f>
        <v>公共配套设施</v>
      </c>
      <c r="AA19" s="1527">
        <f t="shared" si="3"/>
        <v>1</v>
      </c>
      <c r="AB19" s="1527">
        <f t="shared" si="4"/>
        <v>1</v>
      </c>
      <c r="AC19" s="1527">
        <f t="shared" si="5"/>
        <v>1</v>
      </c>
    </row>
    <row r="20" spans="1:29" ht="15">
      <c r="A20" s="386"/>
      <c r="B20" s="414"/>
      <c r="C20" s="405"/>
      <c r="D20" s="406"/>
      <c r="E20" s="2071"/>
      <c r="F20" s="407"/>
      <c r="G20" s="2070"/>
      <c r="H20" s="406"/>
      <c r="I20" s="2071"/>
      <c r="J20" s="406"/>
      <c r="K20" s="571"/>
      <c r="L20" s="2932"/>
      <c r="M20" s="2926"/>
      <c r="N20" s="2926"/>
      <c r="O20" s="2926"/>
      <c r="P20" s="3463"/>
      <c r="Q20" s="1526"/>
      <c r="R20" s="712"/>
      <c r="S20" s="713"/>
      <c r="T20" s="712"/>
      <c r="U20" s="713"/>
      <c r="V20" s="712"/>
      <c r="W20" s="713"/>
      <c r="X20" s="1529"/>
      <c r="Y20" s="3363"/>
      <c r="Z20" s="1530"/>
      <c r="AA20" s="1527">
        <v>1</v>
      </c>
      <c r="AB20" s="1527">
        <v>1</v>
      </c>
      <c r="AC20" s="1527">
        <v>1</v>
      </c>
    </row>
    <row r="21" spans="1:29" ht="15">
      <c r="A21" s="386"/>
      <c r="B21" s="1284" t="s">
        <v>2470</v>
      </c>
      <c r="C21" s="2073">
        <f>估价对象房地状况!C8</f>
        <v>0</v>
      </c>
      <c r="D21" s="413">
        <v>100</v>
      </c>
      <c r="E21" s="415"/>
      <c r="F21" s="416">
        <f>SUMIF(82:82,E22,83:83)-SUMIF(82:82,C22,83:83)+100</f>
        <v>100</v>
      </c>
      <c r="G21" s="417"/>
      <c r="H21" s="408">
        <f>SUMIF(82:82,G22,83:83)-SUMIF(82:82,C22,83:83)+100</f>
        <v>100</v>
      </c>
      <c r="I21" s="415"/>
      <c r="J21" s="408">
        <f>SUMIF(82:82,I22,83:83)-SUMIF(82:82,C22,83:83)+100</f>
        <v>100</v>
      </c>
      <c r="K21" s="570"/>
      <c r="L21" s="2932"/>
      <c r="M21" s="2926"/>
      <c r="N21" s="2926"/>
      <c r="O21" s="2926"/>
      <c r="P21" s="3463"/>
      <c r="Q21" s="1526" t="str">
        <f>B21</f>
        <v>基础设施水平</v>
      </c>
      <c r="R21" s="712" t="s">
        <v>17</v>
      </c>
      <c r="S21" s="713">
        <f>F21</f>
        <v>100</v>
      </c>
      <c r="T21" s="712" t="s">
        <v>17</v>
      </c>
      <c r="U21" s="713">
        <f>H21</f>
        <v>100</v>
      </c>
      <c r="V21" s="712" t="s">
        <v>17</v>
      </c>
      <c r="W21" s="713">
        <f>J21</f>
        <v>100</v>
      </c>
      <c r="X21" s="1529"/>
      <c r="Y21" s="3363"/>
      <c r="Z21" s="1530" t="str">
        <f>Q21</f>
        <v>基础设施水平</v>
      </c>
      <c r="AA21" s="1527">
        <f t="shared" ref="AA21" si="8">D21/F21</f>
        <v>1</v>
      </c>
      <c r="AB21" s="1527">
        <f t="shared" ref="AB21" si="9">D21/H21</f>
        <v>1</v>
      </c>
      <c r="AC21" s="1527">
        <f t="shared" ref="AC21" si="10">D21/J21</f>
        <v>1</v>
      </c>
    </row>
    <row r="22" spans="1:29" ht="15">
      <c r="A22" s="386"/>
      <c r="B22" s="1284"/>
      <c r="C22" s="2074"/>
      <c r="D22" s="406"/>
      <c r="E22" s="405"/>
      <c r="F22" s="407"/>
      <c r="G22" s="405"/>
      <c r="H22" s="406"/>
      <c r="I22" s="405"/>
      <c r="J22" s="406"/>
      <c r="K22" s="1283"/>
      <c r="L22" s="2932"/>
      <c r="M22" s="2926"/>
      <c r="N22" s="2926"/>
      <c r="O22" s="2926"/>
      <c r="P22" s="3463"/>
      <c r="Q22" s="1526"/>
      <c r="R22" s="712"/>
      <c r="S22" s="713"/>
      <c r="T22" s="712"/>
      <c r="U22" s="713"/>
      <c r="V22" s="712"/>
      <c r="W22" s="713"/>
      <c r="X22" s="1529"/>
      <c r="Y22" s="3363"/>
      <c r="Z22" s="1530"/>
      <c r="AA22" s="1527">
        <v>1</v>
      </c>
      <c r="AB22" s="1527">
        <v>1</v>
      </c>
      <c r="AC22" s="1527">
        <v>1</v>
      </c>
    </row>
    <row r="23" spans="1:29" ht="15">
      <c r="A23" s="386"/>
      <c r="B23" s="409" t="s">
        <v>1946</v>
      </c>
      <c r="C23" s="2128">
        <f>估价对象房地状况!C9</f>
        <v>0</v>
      </c>
      <c r="D23" s="408">
        <v>100</v>
      </c>
      <c r="E23" s="410"/>
      <c r="F23" s="411">
        <f>SUMIF(84:84,E24,85:85)-SUMIF(84:84,C24,85:85)+100</f>
        <v>100</v>
      </c>
      <c r="G23" s="412"/>
      <c r="H23" s="408">
        <f>SUMIF(84:84,G24,85:85)-SUMIF(84:84,C24,85:85)+100</f>
        <v>100</v>
      </c>
      <c r="I23" s="410"/>
      <c r="J23" s="408">
        <f>SUMIF(84:84,I24,85:85)-SUMIF(84:84,C24,85:85)+100</f>
        <v>100</v>
      </c>
      <c r="K23" s="570"/>
      <c r="L23" s="2932"/>
      <c r="M23" s="2926"/>
      <c r="N23" s="2926"/>
      <c r="O23" s="2926"/>
      <c r="P23" s="3463"/>
      <c r="Q23" s="1526" t="str">
        <f>B23</f>
        <v>自然及人文环境</v>
      </c>
      <c r="R23" s="712" t="s">
        <v>17</v>
      </c>
      <c r="S23" s="713">
        <f>F23</f>
        <v>100</v>
      </c>
      <c r="T23" s="712" t="s">
        <v>17</v>
      </c>
      <c r="U23" s="713">
        <f>H23</f>
        <v>100</v>
      </c>
      <c r="V23" s="712" t="s">
        <v>17</v>
      </c>
      <c r="W23" s="713">
        <f>J23</f>
        <v>100</v>
      </c>
      <c r="X23" s="1529"/>
      <c r="Y23" s="3363"/>
      <c r="Z23" s="1530" t="str">
        <f>Q23</f>
        <v>自然及人文环境</v>
      </c>
      <c r="AA23" s="1527">
        <f t="shared" si="3"/>
        <v>1</v>
      </c>
      <c r="AB23" s="1527">
        <f t="shared" si="4"/>
        <v>1</v>
      </c>
      <c r="AC23" s="1527">
        <f t="shared" si="5"/>
        <v>1</v>
      </c>
    </row>
    <row r="24" spans="1:29" ht="15">
      <c r="A24" s="386"/>
      <c r="B24" s="414"/>
      <c r="C24" s="405"/>
      <c r="D24" s="406"/>
      <c r="E24" s="2071"/>
      <c r="F24" s="407"/>
      <c r="G24" s="2070"/>
      <c r="H24" s="406"/>
      <c r="I24" s="2071"/>
      <c r="J24" s="406"/>
      <c r="K24" s="571"/>
      <c r="L24" s="2932"/>
      <c r="M24" s="2926"/>
      <c r="N24" s="2926"/>
      <c r="O24" s="2926"/>
      <c r="P24" s="3463"/>
      <c r="Q24" s="1526"/>
      <c r="R24" s="712"/>
      <c r="S24" s="713"/>
      <c r="T24" s="712"/>
      <c r="U24" s="713"/>
      <c r="V24" s="712"/>
      <c r="W24" s="713"/>
      <c r="X24" s="1529"/>
      <c r="Y24" s="3363"/>
      <c r="Z24" s="1530"/>
      <c r="AA24" s="1527">
        <v>1</v>
      </c>
      <c r="AB24" s="1527">
        <v>1</v>
      </c>
      <c r="AC24" s="1527">
        <v>1</v>
      </c>
    </row>
    <row r="25" spans="1:29" ht="15">
      <c r="A25" s="386"/>
      <c r="B25" s="380" t="s">
        <v>2471</v>
      </c>
      <c r="C25" s="572"/>
      <c r="D25" s="393">
        <v>100</v>
      </c>
      <c r="E25" s="572"/>
      <c r="F25" s="419">
        <f>SUMIF(86:86,E25,87:87)-SUMIF(86:86,C25,87:87)+100</f>
        <v>100</v>
      </c>
      <c r="G25" s="572"/>
      <c r="H25" s="393">
        <f>SUMIF(86:86,G25,87:87)-SUMIF(86:86,C25,87:87)+100</f>
        <v>100</v>
      </c>
      <c r="I25" s="572"/>
      <c r="J25" s="393">
        <f>SUMIF(86:86,I25,87:87)-SUMIF(86:86,C25,87:87)+100</f>
        <v>100</v>
      </c>
      <c r="K25" s="568"/>
      <c r="L25" s="2932"/>
      <c r="M25" s="2926"/>
      <c r="N25" s="2926"/>
      <c r="O25" s="2926"/>
      <c r="P25" s="3463"/>
      <c r="Q25" s="1526" t="str">
        <f t="shared" ref="Q25:Q46" si="11">B25</f>
        <v>临街状况</v>
      </c>
      <c r="R25" s="712" t="s">
        <v>17</v>
      </c>
      <c r="S25" s="713">
        <f>F25</f>
        <v>100</v>
      </c>
      <c r="T25" s="712" t="s">
        <v>17</v>
      </c>
      <c r="U25" s="713">
        <f>H25</f>
        <v>100</v>
      </c>
      <c r="V25" s="712" t="s">
        <v>17</v>
      </c>
      <c r="W25" s="713">
        <f>J25</f>
        <v>100</v>
      </c>
      <c r="X25" s="1529"/>
      <c r="Y25" s="3363"/>
      <c r="Z25" s="1530" t="str">
        <f>Q25</f>
        <v>临街状况</v>
      </c>
      <c r="AA25" s="1527">
        <f t="shared" si="3"/>
        <v>1</v>
      </c>
      <c r="AB25" s="1527">
        <f t="shared" si="4"/>
        <v>1</v>
      </c>
      <c r="AC25" s="1527">
        <f t="shared" si="5"/>
        <v>1</v>
      </c>
    </row>
    <row r="26" spans="1:29" ht="15">
      <c r="A26" s="386"/>
      <c r="B26" s="1286" t="s">
        <v>2472</v>
      </c>
      <c r="C26" s="392"/>
      <c r="D26" s="393">
        <v>100</v>
      </c>
      <c r="E26" s="392"/>
      <c r="F26" s="419">
        <f>SUMIF(88:88,E26,89:89)-SUMIF(88:88,C26,89:89)+100</f>
        <v>100</v>
      </c>
      <c r="G26" s="392"/>
      <c r="H26" s="393">
        <f>SUMIF(88:88,G26,89:89)-SUMIF(88:88,C26,89:89)+100</f>
        <v>100</v>
      </c>
      <c r="I26" s="392"/>
      <c r="J26" s="393">
        <f>SUMIF(88:88,I26,89:89)-SUMIF(88:88,C26,89:89)+100</f>
        <v>100</v>
      </c>
      <c r="K26" s="569"/>
      <c r="L26" s="2932"/>
      <c r="M26" s="2926"/>
      <c r="N26" s="2926"/>
      <c r="O26" s="2926"/>
      <c r="P26" s="3463"/>
      <c r="Q26" s="1526" t="str">
        <f t="shared" si="11"/>
        <v>平面位置/可视性</v>
      </c>
      <c r="R26" s="712" t="s">
        <v>17</v>
      </c>
      <c r="S26" s="713">
        <f>F26</f>
        <v>100</v>
      </c>
      <c r="T26" s="712" t="s">
        <v>17</v>
      </c>
      <c r="U26" s="713">
        <f>H26</f>
        <v>100</v>
      </c>
      <c r="V26" s="712" t="s">
        <v>17</v>
      </c>
      <c r="W26" s="713">
        <f>J26</f>
        <v>100</v>
      </c>
      <c r="X26" s="1529"/>
      <c r="Y26" s="3363"/>
      <c r="Z26" s="1530" t="str">
        <f>Q26</f>
        <v>平面位置/可视性</v>
      </c>
      <c r="AA26" s="1527">
        <f t="shared" si="3"/>
        <v>1</v>
      </c>
      <c r="AB26" s="1527">
        <f t="shared" si="4"/>
        <v>1</v>
      </c>
      <c r="AC26" s="1527">
        <f t="shared" si="5"/>
        <v>1</v>
      </c>
    </row>
    <row r="27" spans="1:29" s="113" customFormat="1" ht="15">
      <c r="A27" s="389"/>
      <c r="B27" s="409" t="s">
        <v>2473</v>
      </c>
      <c r="C27" s="2129"/>
      <c r="D27" s="420">
        <v>100</v>
      </c>
      <c r="E27" s="2129"/>
      <c r="F27" s="422">
        <f>SUMIF(90:90,E27,91:91)-SUMIF(90:90,C27,91:91)+100</f>
        <v>100</v>
      </c>
      <c r="G27" s="2129"/>
      <c r="H27" s="420">
        <f>SUMIF(90:90,G27,91:91)-SUMIF(90:90,C27,91:91)+100</f>
        <v>100</v>
      </c>
      <c r="I27" s="2129"/>
      <c r="J27" s="420">
        <f>SUMIF(90:90,I27,91:91)-SUMIF(90:90,C27,91:91)+100</f>
        <v>100</v>
      </c>
      <c r="K27" s="568"/>
      <c r="L27" s="2927"/>
      <c r="M27" s="2928"/>
      <c r="N27" s="2928"/>
      <c r="O27" s="2928"/>
      <c r="P27" s="3463"/>
      <c r="Q27" s="1517" t="str">
        <f t="shared" si="11"/>
        <v>人流量</v>
      </c>
      <c r="R27" s="708" t="s">
        <v>17</v>
      </c>
      <c r="S27" s="709">
        <f>F27</f>
        <v>100</v>
      </c>
      <c r="T27" s="708" t="s">
        <v>17</v>
      </c>
      <c r="U27" s="709">
        <f>H27</f>
        <v>100</v>
      </c>
      <c r="V27" s="708" t="s">
        <v>17</v>
      </c>
      <c r="W27" s="709">
        <f>J27</f>
        <v>100</v>
      </c>
      <c r="X27" s="710"/>
      <c r="Y27" s="3363"/>
      <c r="Z27" s="55" t="str">
        <f>Q27</f>
        <v>人流量</v>
      </c>
      <c r="AA27" s="1527">
        <f>D27/F27</f>
        <v>1</v>
      </c>
      <c r="AB27" s="1527">
        <f>D27/H27</f>
        <v>1</v>
      </c>
      <c r="AC27" s="1527">
        <f>D27/J27</f>
        <v>1</v>
      </c>
    </row>
    <row r="28" spans="1:29" ht="15">
      <c r="A28" s="386"/>
      <c r="B28" s="380" t="s">
        <v>2474</v>
      </c>
      <c r="C28" s="572"/>
      <c r="D28" s="393">
        <v>100</v>
      </c>
      <c r="E28" s="572"/>
      <c r="F28" s="419">
        <f>SUMIF(92:92,E28,93:93)-SUMIF(92:92,C28,93:93)+100</f>
        <v>100</v>
      </c>
      <c r="G28" s="572"/>
      <c r="H28" s="393">
        <f>SUMIF(92:92,G28,93:93)-SUMIF(92:92,C28,93:93)+100</f>
        <v>100</v>
      </c>
      <c r="I28" s="572"/>
      <c r="J28" s="393">
        <f>SUMIF(92:92,I28,93:93)-SUMIF(92:92,C28,93:93)+100</f>
        <v>100</v>
      </c>
      <c r="K28" s="569"/>
      <c r="L28" s="2932"/>
      <c r="M28" s="2926"/>
      <c r="N28" s="2926"/>
      <c r="O28" s="2926"/>
      <c r="P28" s="3463"/>
      <c r="Q28" s="1526" t="str">
        <f t="shared" si="11"/>
        <v>楼层</v>
      </c>
      <c r="R28" s="712" t="s">
        <v>17</v>
      </c>
      <c r="S28" s="713">
        <f t="shared" ref="S28:S46" si="12">F28</f>
        <v>100</v>
      </c>
      <c r="T28" s="712" t="s">
        <v>17</v>
      </c>
      <c r="U28" s="713">
        <f t="shared" ref="U28:U46" si="13">H28</f>
        <v>100</v>
      </c>
      <c r="V28" s="712" t="s">
        <v>17</v>
      </c>
      <c r="W28" s="713">
        <f t="shared" ref="W28:W46" si="14">J28</f>
        <v>100</v>
      </c>
      <c r="X28" s="1529"/>
      <c r="Y28" s="3363"/>
      <c r="Z28" s="1530" t="str">
        <f t="shared" ref="Z28:Z46" si="15">Q28</f>
        <v>楼层</v>
      </c>
      <c r="AA28" s="1527">
        <f t="shared" si="3"/>
        <v>1</v>
      </c>
      <c r="AB28" s="1527">
        <f t="shared" si="4"/>
        <v>1</v>
      </c>
      <c r="AC28" s="1527">
        <f t="shared" si="5"/>
        <v>1</v>
      </c>
    </row>
    <row r="29" spans="1:29" ht="15">
      <c r="A29" s="386"/>
      <c r="B29" s="1286">
        <v>111</v>
      </c>
      <c r="C29" s="392"/>
      <c r="D29" s="393">
        <v>100</v>
      </c>
      <c r="E29" s="392"/>
      <c r="F29" s="419">
        <f>SUMIF(94:94,E29,95:95)-SUMIF(94:94,C29,95:95)+100</f>
        <v>100</v>
      </c>
      <c r="G29" s="392"/>
      <c r="H29" s="393">
        <f>SUMIF(94:94,G29,95:95)-SUMIF(94:94,C29,95:95)+100</f>
        <v>100</v>
      </c>
      <c r="I29" s="392"/>
      <c r="J29" s="393">
        <f>SUMIF(94:94,I29,95:95)-SUMIF(94:94,C29,95:95)+100</f>
        <v>100</v>
      </c>
      <c r="K29" s="569"/>
      <c r="L29" s="2932"/>
      <c r="M29" s="2926"/>
      <c r="N29" s="2926"/>
      <c r="O29" s="2926"/>
      <c r="P29" s="3463"/>
      <c r="Q29" s="1526">
        <f t="shared" si="11"/>
        <v>111</v>
      </c>
      <c r="R29" s="712" t="s">
        <v>17</v>
      </c>
      <c r="S29" s="713">
        <f t="shared" si="12"/>
        <v>100</v>
      </c>
      <c r="T29" s="712" t="s">
        <v>17</v>
      </c>
      <c r="U29" s="713">
        <f t="shared" si="13"/>
        <v>100</v>
      </c>
      <c r="V29" s="712" t="s">
        <v>17</v>
      </c>
      <c r="W29" s="713">
        <f t="shared" si="14"/>
        <v>100</v>
      </c>
      <c r="X29" s="1529"/>
      <c r="Y29" s="3363"/>
      <c r="Z29" s="1530">
        <f t="shared" si="15"/>
        <v>111</v>
      </c>
      <c r="AA29" s="1527">
        <f t="shared" si="3"/>
        <v>1</v>
      </c>
      <c r="AB29" s="1527">
        <f t="shared" si="4"/>
        <v>1</v>
      </c>
      <c r="AC29" s="1527">
        <f t="shared" si="5"/>
        <v>1</v>
      </c>
    </row>
    <row r="30" spans="1:29" ht="15">
      <c r="A30" s="386"/>
      <c r="B30" s="1286">
        <v>111</v>
      </c>
      <c r="C30" s="392"/>
      <c r="D30" s="393">
        <v>100</v>
      </c>
      <c r="E30" s="392"/>
      <c r="F30" s="419">
        <f>SUMIF(96:96,E30,97:97)-SUMIF(96:96,C30,97:97)+100</f>
        <v>100</v>
      </c>
      <c r="G30" s="392"/>
      <c r="H30" s="393">
        <f>SUMIF(96:96,G30,97:97)-SUMIF(96:96,C30,97:97)+100</f>
        <v>100</v>
      </c>
      <c r="I30" s="392"/>
      <c r="J30" s="393">
        <f>SUMIF(96:96,I30,97:97)-SUMIF(96:96,C30,97:97)+100</f>
        <v>100</v>
      </c>
      <c r="K30" s="569"/>
      <c r="L30" s="2932"/>
      <c r="M30" s="2926"/>
      <c r="N30" s="2926"/>
      <c r="O30" s="2926"/>
      <c r="P30" s="3463"/>
      <c r="Q30" s="1526">
        <f t="shared" si="11"/>
        <v>111</v>
      </c>
      <c r="R30" s="712" t="s">
        <v>17</v>
      </c>
      <c r="S30" s="713">
        <f t="shared" si="12"/>
        <v>100</v>
      </c>
      <c r="T30" s="712" t="s">
        <v>17</v>
      </c>
      <c r="U30" s="713">
        <f t="shared" si="13"/>
        <v>100</v>
      </c>
      <c r="V30" s="712" t="s">
        <v>17</v>
      </c>
      <c r="W30" s="713">
        <f t="shared" si="14"/>
        <v>100</v>
      </c>
      <c r="X30" s="1529"/>
      <c r="Y30" s="3363"/>
      <c r="Z30" s="1530">
        <f t="shared" si="15"/>
        <v>111</v>
      </c>
      <c r="AA30" s="1527">
        <f t="shared" si="3"/>
        <v>1</v>
      </c>
      <c r="AB30" s="1527">
        <f t="shared" si="4"/>
        <v>1</v>
      </c>
      <c r="AC30" s="1527">
        <f t="shared" si="5"/>
        <v>1</v>
      </c>
    </row>
    <row r="31" spans="1:29" ht="15.75" thickBot="1">
      <c r="A31" s="394"/>
      <c r="B31" s="1286">
        <v>111</v>
      </c>
      <c r="C31" s="395"/>
      <c r="D31" s="396">
        <v>100</v>
      </c>
      <c r="E31" s="392"/>
      <c r="F31" s="397">
        <f>SUMIF(98:98,E31,99:99)-SUMIF(98:98,C31,99:99)+100</f>
        <v>100</v>
      </c>
      <c r="G31" s="392"/>
      <c r="H31" s="396">
        <f>SUMIF(98:98,G31,99:99)-SUMIF(98:98,C31,99:99)+100</f>
        <v>100</v>
      </c>
      <c r="I31" s="392"/>
      <c r="J31" s="396">
        <f>SUMIF(98:98,I31,99:99)-SUMIF(98:98,C31,99:99)+100</f>
        <v>100</v>
      </c>
      <c r="K31" s="569"/>
      <c r="L31" s="2932"/>
      <c r="M31" s="2926"/>
      <c r="N31" s="2926"/>
      <c r="O31" s="2926"/>
      <c r="P31" s="3463"/>
      <c r="Q31" s="1526">
        <f t="shared" si="11"/>
        <v>111</v>
      </c>
      <c r="R31" s="712" t="s">
        <v>17</v>
      </c>
      <c r="S31" s="713">
        <f t="shared" si="12"/>
        <v>100</v>
      </c>
      <c r="T31" s="712" t="s">
        <v>17</v>
      </c>
      <c r="U31" s="713">
        <f t="shared" si="13"/>
        <v>100</v>
      </c>
      <c r="V31" s="712" t="s">
        <v>17</v>
      </c>
      <c r="W31" s="713">
        <f t="shared" si="14"/>
        <v>100</v>
      </c>
      <c r="X31" s="1529"/>
      <c r="Y31" s="3363"/>
      <c r="Z31" s="1530">
        <f t="shared" si="15"/>
        <v>111</v>
      </c>
      <c r="AA31" s="1527">
        <f t="shared" si="3"/>
        <v>1</v>
      </c>
      <c r="AB31" s="1527">
        <f t="shared" si="4"/>
        <v>1</v>
      </c>
      <c r="AC31" s="1527">
        <f t="shared" si="5"/>
        <v>1</v>
      </c>
    </row>
    <row r="32" spans="1:29" ht="15">
      <c r="A32" s="398" t="s">
        <v>2378</v>
      </c>
      <c r="B32" s="67" t="s">
        <v>2475</v>
      </c>
      <c r="C32" s="2083"/>
      <c r="D32" s="425">
        <v>100</v>
      </c>
      <c r="E32" s="2083"/>
      <c r="F32" s="419">
        <f>SUMIF(100:100,E32,101:101)-SUMIF(100:100,C32,101:101)+100</f>
        <v>100</v>
      </c>
      <c r="G32" s="2083"/>
      <c r="H32" s="393">
        <f>SUMIF(100:100,G32,101:101)-SUMIF(100:100,C32,101:101)+100</f>
        <v>100</v>
      </c>
      <c r="I32" s="2083"/>
      <c r="J32" s="425">
        <f>SUMIF(100:100,I32,101:101)-SUMIF(100:100,C32,101:101)+100</f>
        <v>100</v>
      </c>
      <c r="K32" s="568"/>
      <c r="L32" s="2932"/>
      <c r="M32" s="2926"/>
      <c r="N32" s="2926"/>
      <c r="O32" s="2926"/>
      <c r="P32" s="3458" t="s">
        <v>2380</v>
      </c>
      <c r="Q32" s="1526" t="str">
        <f t="shared" si="11"/>
        <v>商业类型</v>
      </c>
      <c r="R32" s="712" t="s">
        <v>17</v>
      </c>
      <c r="S32" s="713">
        <f t="shared" si="12"/>
        <v>100</v>
      </c>
      <c r="T32" s="712" t="s">
        <v>17</v>
      </c>
      <c r="U32" s="713">
        <f t="shared" si="13"/>
        <v>100</v>
      </c>
      <c r="V32" s="712" t="s">
        <v>17</v>
      </c>
      <c r="W32" s="713">
        <f t="shared" si="14"/>
        <v>100</v>
      </c>
      <c r="X32" s="1529"/>
      <c r="Y32" s="3365" t="s">
        <v>2380</v>
      </c>
      <c r="Z32" s="1530" t="str">
        <f t="shared" si="15"/>
        <v>商业类型</v>
      </c>
      <c r="AA32" s="1527">
        <f t="shared" si="3"/>
        <v>1</v>
      </c>
      <c r="AB32" s="1527">
        <f t="shared" si="4"/>
        <v>1</v>
      </c>
      <c r="AC32" s="1527">
        <f t="shared" si="5"/>
        <v>1</v>
      </c>
    </row>
    <row r="33" spans="1:29" s="429" customFormat="1" ht="15">
      <c r="A33" s="426"/>
      <c r="B33" s="380" t="s">
        <v>2381</v>
      </c>
      <c r="C33" s="427"/>
      <c r="D33" s="132">
        <v>100</v>
      </c>
      <c r="E33" s="388"/>
      <c r="F33" s="383" t="e">
        <f>LOOKUP(E33,103:103,104:104)-LOOKUP(C33,103:103,104:104)+100</f>
        <v>#N/A</v>
      </c>
      <c r="G33" s="387"/>
      <c r="H33" s="132" t="e">
        <f>LOOKUP(G33,103:103,104:104)-LOOKUP(C33,103:103,104:104)+100</f>
        <v>#N/A</v>
      </c>
      <c r="I33" s="387"/>
      <c r="J33" s="132" t="e">
        <f>LOOKUP(I33,103:103,104:104)-LOOKUP(C33,103:103,104:104)+100</f>
        <v>#N/A</v>
      </c>
      <c r="K33" s="569"/>
      <c r="L33" s="2931"/>
      <c r="M33" s="2933"/>
      <c r="N33" s="2933"/>
      <c r="O33" s="2933"/>
      <c r="P33" s="3459"/>
      <c r="Q33" s="714" t="str">
        <f t="shared" si="11"/>
        <v>项目建筑规模</v>
      </c>
      <c r="R33" s="715" t="s">
        <v>17</v>
      </c>
      <c r="S33" s="716" t="e">
        <f t="shared" si="12"/>
        <v>#N/A</v>
      </c>
      <c r="T33" s="715" t="s">
        <v>17</v>
      </c>
      <c r="U33" s="716" t="e">
        <f t="shared" si="13"/>
        <v>#N/A</v>
      </c>
      <c r="V33" s="715" t="s">
        <v>17</v>
      </c>
      <c r="W33" s="716" t="e">
        <f t="shared" si="14"/>
        <v>#N/A</v>
      </c>
      <c r="X33" s="717"/>
      <c r="Y33" s="3365"/>
      <c r="Z33" s="718" t="str">
        <f t="shared" si="15"/>
        <v>项目建筑规模</v>
      </c>
      <c r="AA33" s="1527" t="e">
        <f t="shared" si="3"/>
        <v>#N/A</v>
      </c>
      <c r="AB33" s="1527" t="e">
        <f t="shared" si="4"/>
        <v>#N/A</v>
      </c>
      <c r="AC33" s="1527" t="e">
        <f t="shared" si="5"/>
        <v>#N/A</v>
      </c>
    </row>
    <row r="34" spans="1:29" ht="15">
      <c r="A34" s="430"/>
      <c r="B34" s="380" t="s">
        <v>2382</v>
      </c>
      <c r="C34" s="2085"/>
      <c r="D34" s="393">
        <v>100</v>
      </c>
      <c r="E34" s="2085"/>
      <c r="F34" s="419">
        <f>SUMIF(105:105,E34,106:106)-SUMIF(105:105,C34,106:106)+100</f>
        <v>100</v>
      </c>
      <c r="G34" s="2085"/>
      <c r="H34" s="393">
        <f>SUMIF(105:105,G34,106:106)-SUMIF(105:105,C34,106:106)+100</f>
        <v>100</v>
      </c>
      <c r="I34" s="2085"/>
      <c r="J34" s="393">
        <f>SUMIF(105:105,I34,106:106)-SUMIF(105:105,C34,106:106)+100</f>
        <v>100</v>
      </c>
      <c r="K34" s="568"/>
      <c r="L34" s="2932"/>
      <c r="M34" s="2926"/>
      <c r="N34" s="2926"/>
      <c r="O34" s="2926"/>
      <c r="P34" s="3459"/>
      <c r="Q34" s="1526" t="str">
        <f t="shared" si="11"/>
        <v>建筑结构</v>
      </c>
      <c r="R34" s="712" t="s">
        <v>17</v>
      </c>
      <c r="S34" s="713">
        <f t="shared" si="12"/>
        <v>100</v>
      </c>
      <c r="T34" s="712" t="s">
        <v>17</v>
      </c>
      <c r="U34" s="713">
        <f t="shared" si="13"/>
        <v>100</v>
      </c>
      <c r="V34" s="712" t="s">
        <v>17</v>
      </c>
      <c r="W34" s="713">
        <f t="shared" si="14"/>
        <v>100</v>
      </c>
      <c r="X34" s="1529"/>
      <c r="Y34" s="3365"/>
      <c r="Z34" s="1530" t="str">
        <f t="shared" si="15"/>
        <v>建筑结构</v>
      </c>
      <c r="AA34" s="1527">
        <f t="shared" si="3"/>
        <v>1</v>
      </c>
      <c r="AB34" s="1527">
        <f t="shared" si="4"/>
        <v>1</v>
      </c>
      <c r="AC34" s="1527">
        <f t="shared" si="5"/>
        <v>1</v>
      </c>
    </row>
    <row r="35" spans="1:29" ht="15">
      <c r="A35" s="430"/>
      <c r="B35" s="380" t="s">
        <v>2476</v>
      </c>
      <c r="C35" s="2079"/>
      <c r="D35" s="393">
        <v>100</v>
      </c>
      <c r="E35" s="2079"/>
      <c r="F35" s="419">
        <f>SUMIF(107:107,E35,108:108)-SUMIF(107:107,C35,108:108)+100</f>
        <v>100</v>
      </c>
      <c r="G35" s="2079"/>
      <c r="H35" s="393">
        <f>SUMIF(107:107,G35,108:108)-SUMIF(107:107,C35,108:108)+100</f>
        <v>100</v>
      </c>
      <c r="I35" s="2079"/>
      <c r="J35" s="393">
        <f>SUMIF(107:107,I35,108:108)-SUMIF(107:107,C35,108:108)+100</f>
        <v>100</v>
      </c>
      <c r="K35" s="568"/>
      <c r="L35" s="2932"/>
      <c r="M35" s="2926"/>
      <c r="N35" s="2926"/>
      <c r="O35" s="2926"/>
      <c r="P35" s="3459"/>
      <c r="Q35" s="1526" t="str">
        <f t="shared" si="11"/>
        <v>公共部分装修</v>
      </c>
      <c r="R35" s="712" t="s">
        <v>17</v>
      </c>
      <c r="S35" s="713">
        <f t="shared" si="12"/>
        <v>100</v>
      </c>
      <c r="T35" s="712" t="s">
        <v>17</v>
      </c>
      <c r="U35" s="713">
        <f t="shared" si="13"/>
        <v>100</v>
      </c>
      <c r="V35" s="712" t="s">
        <v>17</v>
      </c>
      <c r="W35" s="713">
        <f t="shared" si="14"/>
        <v>100</v>
      </c>
      <c r="X35" s="1529"/>
      <c r="Y35" s="3365"/>
      <c r="Z35" s="1530" t="str">
        <f t="shared" si="15"/>
        <v>公共部分装修</v>
      </c>
      <c r="AA35" s="1527">
        <f t="shared" si="3"/>
        <v>1</v>
      </c>
      <c r="AB35" s="1527">
        <f t="shared" si="4"/>
        <v>1</v>
      </c>
      <c r="AC35" s="1527">
        <f t="shared" si="5"/>
        <v>1</v>
      </c>
    </row>
    <row r="36" spans="1:29" ht="15">
      <c r="A36" s="430"/>
      <c r="B36" s="380" t="s">
        <v>2477</v>
      </c>
      <c r="C36" s="432"/>
      <c r="D36" s="393">
        <v>100</v>
      </c>
      <c r="E36" s="432"/>
      <c r="F36" s="419" t="e">
        <f>LOOKUP(E36,110:110,111:111)-LOOKUP(C36,110:110,111:111)+100</f>
        <v>#N/A</v>
      </c>
      <c r="G36" s="432"/>
      <c r="H36" s="419" t="e">
        <f>LOOKUP(G36,110:110,111:111)-LOOKUP(C36,110:110,111:111)+100</f>
        <v>#N/A</v>
      </c>
      <c r="I36" s="432"/>
      <c r="J36" s="393" t="e">
        <f>LOOKUP(I36,110:110,111:111)-LOOKUP(C36,110:110,111:111)+100</f>
        <v>#N/A</v>
      </c>
      <c r="K36" s="568"/>
      <c r="L36" s="2932"/>
      <c r="M36" s="2926"/>
      <c r="N36" s="2926"/>
      <c r="O36" s="2926"/>
      <c r="P36" s="3459"/>
      <c r="Q36" s="1526" t="str">
        <f t="shared" si="11"/>
        <v>成新度</v>
      </c>
      <c r="R36" s="712" t="s">
        <v>17</v>
      </c>
      <c r="S36" s="713" t="e">
        <f t="shared" si="12"/>
        <v>#N/A</v>
      </c>
      <c r="T36" s="712" t="s">
        <v>17</v>
      </c>
      <c r="U36" s="713" t="e">
        <f t="shared" si="13"/>
        <v>#N/A</v>
      </c>
      <c r="V36" s="712" t="s">
        <v>17</v>
      </c>
      <c r="W36" s="713" t="e">
        <f t="shared" si="14"/>
        <v>#N/A</v>
      </c>
      <c r="X36" s="1529"/>
      <c r="Y36" s="3365"/>
      <c r="Z36" s="1530" t="str">
        <f t="shared" si="15"/>
        <v>成新度</v>
      </c>
      <c r="AA36" s="1527" t="e">
        <f t="shared" si="3"/>
        <v>#N/A</v>
      </c>
      <c r="AB36" s="1527" t="e">
        <f t="shared" si="4"/>
        <v>#N/A</v>
      </c>
      <c r="AC36" s="1527" t="e">
        <f t="shared" si="5"/>
        <v>#N/A</v>
      </c>
    </row>
    <row r="37" spans="1:29" s="113" customFormat="1" ht="15">
      <c r="A37" s="431"/>
      <c r="B37" s="380" t="s">
        <v>2478</v>
      </c>
      <c r="C37" s="2079"/>
      <c r="D37" s="132">
        <v>100</v>
      </c>
      <c r="E37" s="2079"/>
      <c r="F37" s="419">
        <f>SUMIF(112:112,E37,113:113)-SUMIF(112:112,C37,113:113)+100</f>
        <v>100</v>
      </c>
      <c r="G37" s="2079"/>
      <c r="H37" s="393">
        <f>SUMIF(112:112,G37,113:113)-SUMIF(112:112,C37,113:113)+100</f>
        <v>100</v>
      </c>
      <c r="I37" s="2079"/>
      <c r="J37" s="393">
        <f>SUMIF(112:112,I37,113:113)-SUMIF(112:112,C37,113:113)+100</f>
        <v>100</v>
      </c>
      <c r="K37" s="568"/>
      <c r="L37" s="2927"/>
      <c r="M37" s="2928"/>
      <c r="N37" s="2928"/>
      <c r="O37" s="2928"/>
      <c r="P37" s="3459"/>
      <c r="Q37" s="1517" t="str">
        <f t="shared" si="11"/>
        <v>市政基础设施</v>
      </c>
      <c r="R37" s="708" t="s">
        <v>17</v>
      </c>
      <c r="S37" s="709">
        <f t="shared" si="12"/>
        <v>100</v>
      </c>
      <c r="T37" s="708" t="s">
        <v>17</v>
      </c>
      <c r="U37" s="709">
        <f t="shared" si="13"/>
        <v>100</v>
      </c>
      <c r="V37" s="708" t="s">
        <v>17</v>
      </c>
      <c r="W37" s="709">
        <f t="shared" si="14"/>
        <v>100</v>
      </c>
      <c r="X37" s="710"/>
      <c r="Y37" s="3365"/>
      <c r="Z37" s="55" t="str">
        <f t="shared" si="15"/>
        <v>市政基础设施</v>
      </c>
      <c r="AA37" s="711">
        <f t="shared" si="3"/>
        <v>1</v>
      </c>
      <c r="AB37" s="711">
        <f t="shared" si="4"/>
        <v>1</v>
      </c>
      <c r="AC37" s="711">
        <f t="shared" si="5"/>
        <v>1</v>
      </c>
    </row>
    <row r="38" spans="1:29" ht="15">
      <c r="A38" s="430"/>
      <c r="B38" s="380" t="s">
        <v>2479</v>
      </c>
      <c r="C38" s="2079"/>
      <c r="D38" s="393">
        <v>100</v>
      </c>
      <c r="E38" s="2079"/>
      <c r="F38" s="419">
        <f>SUMIF(114:114,E38,115:115)-SUMIF(114:114,C38,115:115)+100</f>
        <v>100</v>
      </c>
      <c r="G38" s="2079"/>
      <c r="H38" s="393">
        <f>SUMIF(114:114,G38,115:115)-SUMIF(114:114,C38,115:115)+100</f>
        <v>100</v>
      </c>
      <c r="I38" s="2079"/>
      <c r="J38" s="393">
        <f>SUMIF(114:114,I38,115:115)-SUMIF(114:114,C38,115:115)+100</f>
        <v>100</v>
      </c>
      <c r="K38" s="568"/>
      <c r="L38" s="2932"/>
      <c r="M38" s="2926"/>
      <c r="N38" s="2926"/>
      <c r="O38" s="2926"/>
      <c r="P38" s="3459" t="s">
        <v>2380</v>
      </c>
      <c r="Q38" s="1526" t="str">
        <f t="shared" si="11"/>
        <v>业态</v>
      </c>
      <c r="R38" s="712" t="s">
        <v>17</v>
      </c>
      <c r="S38" s="713">
        <f t="shared" si="12"/>
        <v>100</v>
      </c>
      <c r="T38" s="712" t="s">
        <v>17</v>
      </c>
      <c r="U38" s="713">
        <f t="shared" si="13"/>
        <v>100</v>
      </c>
      <c r="V38" s="712" t="s">
        <v>17</v>
      </c>
      <c r="W38" s="713">
        <f t="shared" si="14"/>
        <v>100</v>
      </c>
      <c r="X38" s="1529"/>
      <c r="Y38" s="3365" t="s">
        <v>2380</v>
      </c>
      <c r="Z38" s="1530" t="str">
        <f t="shared" si="15"/>
        <v>业态</v>
      </c>
      <c r="AA38" s="1527">
        <f t="shared" si="3"/>
        <v>1</v>
      </c>
      <c r="AB38" s="1527">
        <f t="shared" si="4"/>
        <v>1</v>
      </c>
      <c r="AC38" s="1527">
        <f t="shared" si="5"/>
        <v>1</v>
      </c>
    </row>
    <row r="39" spans="1:29" ht="15">
      <c r="A39" s="430"/>
      <c r="B39" s="380" t="s">
        <v>2480</v>
      </c>
      <c r="C39" s="2079"/>
      <c r="D39" s="393">
        <v>100</v>
      </c>
      <c r="E39" s="2079"/>
      <c r="F39" s="419">
        <f>SUMIF(116:116,E39,117:117)-SUMIF(116:116,C39,117:117)+100</f>
        <v>100</v>
      </c>
      <c r="G39" s="2079"/>
      <c r="H39" s="393">
        <f>SUMIF(116:116,G39,117:117)-SUMIF(116:116,C39,117:117)+100</f>
        <v>100</v>
      </c>
      <c r="I39" s="2079"/>
      <c r="J39" s="393">
        <f>SUMIF(116:116,I39,117:117)-SUMIF(116:116,C39,117:117)+100</f>
        <v>100</v>
      </c>
      <c r="K39" s="568"/>
      <c r="L39" s="2932"/>
      <c r="M39" s="2926"/>
      <c r="N39" s="2926"/>
      <c r="O39" s="2926"/>
      <c r="P39" s="3459"/>
      <c r="Q39" s="1526" t="str">
        <f t="shared" si="11"/>
        <v>层高</v>
      </c>
      <c r="R39" s="712" t="s">
        <v>17</v>
      </c>
      <c r="S39" s="713">
        <f t="shared" si="12"/>
        <v>100</v>
      </c>
      <c r="T39" s="712" t="s">
        <v>17</v>
      </c>
      <c r="U39" s="713">
        <f t="shared" si="13"/>
        <v>100</v>
      </c>
      <c r="V39" s="712" t="s">
        <v>17</v>
      </c>
      <c r="W39" s="713">
        <f t="shared" si="14"/>
        <v>100</v>
      </c>
      <c r="X39" s="1529"/>
      <c r="Y39" s="3365"/>
      <c r="Z39" s="1530" t="str">
        <f t="shared" si="15"/>
        <v>层高</v>
      </c>
      <c r="AA39" s="1527">
        <f t="shared" si="3"/>
        <v>1</v>
      </c>
      <c r="AB39" s="1527">
        <f t="shared" si="4"/>
        <v>1</v>
      </c>
      <c r="AC39" s="1527">
        <f t="shared" si="5"/>
        <v>1</v>
      </c>
    </row>
    <row r="40" spans="1:29" ht="15">
      <c r="A40" s="430"/>
      <c r="B40" s="380" t="s">
        <v>2481</v>
      </c>
      <c r="C40" s="573"/>
      <c r="D40" s="393">
        <v>100</v>
      </c>
      <c r="E40" s="574"/>
      <c r="F40" s="419">
        <f>SUMIF(118:118,E40,119:119)-SUMIF(118:118,C40,119:119)+100</f>
        <v>100</v>
      </c>
      <c r="G40" s="574"/>
      <c r="H40" s="393">
        <f>SUMIF(118:118,G40,119:119)-SUMIF(118:118,C40,119:119)+100</f>
        <v>100</v>
      </c>
      <c r="I40" s="574"/>
      <c r="J40" s="393">
        <f>SUMIF(118:118,I40,119:119)-SUMIF(118:118,C40,119:119)+100</f>
        <v>100</v>
      </c>
      <c r="K40" s="569"/>
      <c r="L40" s="2932"/>
      <c r="M40" s="2926"/>
      <c r="N40" s="2926"/>
      <c r="O40" s="2926"/>
      <c r="P40" s="3459"/>
      <c r="Q40" s="1526" t="str">
        <f t="shared" si="11"/>
        <v>单套建筑面积</v>
      </c>
      <c r="R40" s="712" t="s">
        <v>17</v>
      </c>
      <c r="S40" s="713">
        <f t="shared" si="12"/>
        <v>100</v>
      </c>
      <c r="T40" s="712" t="s">
        <v>17</v>
      </c>
      <c r="U40" s="713">
        <f t="shared" si="13"/>
        <v>100</v>
      </c>
      <c r="V40" s="712" t="s">
        <v>17</v>
      </c>
      <c r="W40" s="713">
        <f t="shared" si="14"/>
        <v>100</v>
      </c>
      <c r="X40" s="1529"/>
      <c r="Y40" s="3365"/>
      <c r="Z40" s="1530" t="str">
        <f t="shared" si="15"/>
        <v>单套建筑面积</v>
      </c>
      <c r="AA40" s="1527">
        <f t="shared" si="3"/>
        <v>1</v>
      </c>
      <c r="AB40" s="1527">
        <f t="shared" si="4"/>
        <v>1</v>
      </c>
      <c r="AC40" s="1527">
        <f t="shared" si="5"/>
        <v>1</v>
      </c>
    </row>
    <row r="41" spans="1:29" s="429" customFormat="1" ht="15">
      <c r="A41" s="426"/>
      <c r="B41" s="1528" t="s">
        <v>2482</v>
      </c>
      <c r="C41" s="572"/>
      <c r="D41" s="393">
        <v>100</v>
      </c>
      <c r="E41" s="572"/>
      <c r="F41" s="419">
        <f>SUMIF(120:120,E41,121:121)-SUMIF(120:120,C41,121:121)+100</f>
        <v>100</v>
      </c>
      <c r="G41" s="572"/>
      <c r="H41" s="393">
        <f>SUMIF(120:120,G41,121:121)-SUMIF(120:120,C41,121:121)+100</f>
        <v>100</v>
      </c>
      <c r="I41" s="572"/>
      <c r="J41" s="393">
        <f>SUMIF(120:120,I41,121:121)-SUMIF(120:120,C41,121:121)+100</f>
        <v>100</v>
      </c>
      <c r="K41" s="568"/>
      <c r="L41" s="2931"/>
      <c r="M41" s="2933"/>
      <c r="N41" s="2933"/>
      <c r="O41" s="2933"/>
      <c r="P41" s="3459"/>
      <c r="Q41" s="714" t="str">
        <f t="shared" si="11"/>
        <v>进深比</v>
      </c>
      <c r="R41" s="715" t="s">
        <v>17</v>
      </c>
      <c r="S41" s="716">
        <f t="shared" si="12"/>
        <v>100</v>
      </c>
      <c r="T41" s="715" t="s">
        <v>17</v>
      </c>
      <c r="U41" s="716">
        <f t="shared" si="13"/>
        <v>100</v>
      </c>
      <c r="V41" s="715" t="s">
        <v>17</v>
      </c>
      <c r="W41" s="716">
        <f t="shared" si="14"/>
        <v>100</v>
      </c>
      <c r="X41" s="717"/>
      <c r="Y41" s="3365"/>
      <c r="Z41" s="718" t="str">
        <f t="shared" si="15"/>
        <v>进深比</v>
      </c>
      <c r="AA41" s="1527">
        <f t="shared" si="3"/>
        <v>1</v>
      </c>
      <c r="AB41" s="1527">
        <f t="shared" si="4"/>
        <v>1</v>
      </c>
      <c r="AC41" s="1527">
        <f t="shared" si="5"/>
        <v>1</v>
      </c>
    </row>
    <row r="42" spans="1:29" ht="15">
      <c r="A42" s="430"/>
      <c r="B42" s="380" t="s">
        <v>2483</v>
      </c>
      <c r="C42" s="2079"/>
      <c r="D42" s="393">
        <v>100</v>
      </c>
      <c r="E42" s="2079"/>
      <c r="F42" s="419">
        <f>SUMIF(122:122,E42,123:123)-SUMIF(122:122,C42,123:123)+100</f>
        <v>100</v>
      </c>
      <c r="G42" s="2079"/>
      <c r="H42" s="393">
        <f>SUMIF(122:122,G42,123:123)-SUMIF(122:122,C42,123:123)+100</f>
        <v>100</v>
      </c>
      <c r="I42" s="2079"/>
      <c r="J42" s="393">
        <f>SUMIF(122:122,I42,123:123)-SUMIF(122:122,C42,123:123)+100</f>
        <v>100</v>
      </c>
      <c r="K42" s="568"/>
      <c r="L42" s="2932"/>
      <c r="M42" s="2926"/>
      <c r="N42" s="2926"/>
      <c r="O42" s="2926"/>
      <c r="P42" s="3459"/>
      <c r="Q42" s="1526" t="str">
        <f t="shared" si="11"/>
        <v>内部装修</v>
      </c>
      <c r="R42" s="712" t="s">
        <v>17</v>
      </c>
      <c r="S42" s="713">
        <f t="shared" si="12"/>
        <v>100</v>
      </c>
      <c r="T42" s="712" t="s">
        <v>17</v>
      </c>
      <c r="U42" s="713">
        <f t="shared" si="13"/>
        <v>100</v>
      </c>
      <c r="V42" s="712" t="s">
        <v>17</v>
      </c>
      <c r="W42" s="713">
        <f t="shared" si="14"/>
        <v>100</v>
      </c>
      <c r="X42" s="1529"/>
      <c r="Y42" s="3365"/>
      <c r="Z42" s="1530" t="str">
        <f t="shared" si="15"/>
        <v>内部装修</v>
      </c>
      <c r="AA42" s="1527">
        <f t="shared" si="3"/>
        <v>1</v>
      </c>
      <c r="AB42" s="1527">
        <f t="shared" si="4"/>
        <v>1</v>
      </c>
      <c r="AC42" s="1527">
        <f t="shared" si="5"/>
        <v>1</v>
      </c>
    </row>
    <row r="43" spans="1:29" ht="15">
      <c r="A43" s="430"/>
      <c r="B43" s="380" t="s">
        <v>2391</v>
      </c>
      <c r="C43" s="2079"/>
      <c r="D43" s="393">
        <v>100</v>
      </c>
      <c r="E43" s="2079"/>
      <c r="F43" s="419">
        <f>SUMIF(124:124,E43,125:125)-SUMIF(124:124,C43,125:125)+100</f>
        <v>100</v>
      </c>
      <c r="G43" s="2079"/>
      <c r="H43" s="393">
        <f>SUMIF(124:124,G43,125:125)-SUMIF(124:124,C43,125:125)+100</f>
        <v>100</v>
      </c>
      <c r="I43" s="2079"/>
      <c r="J43" s="393">
        <f>SUMIF(124:124,I43,125:125)-SUMIF(124:124,C43,125:125)+100</f>
        <v>100</v>
      </c>
      <c r="K43" s="568"/>
      <c r="L43" s="2932"/>
      <c r="M43" s="2926"/>
      <c r="N43" s="2926"/>
      <c r="O43" s="2926"/>
      <c r="P43" s="3459"/>
      <c r="Q43" s="1526" t="str">
        <f t="shared" si="11"/>
        <v>内部装修维护情况</v>
      </c>
      <c r="R43" s="712" t="s">
        <v>17</v>
      </c>
      <c r="S43" s="713">
        <f t="shared" si="12"/>
        <v>100</v>
      </c>
      <c r="T43" s="712" t="s">
        <v>17</v>
      </c>
      <c r="U43" s="713">
        <f t="shared" si="13"/>
        <v>100</v>
      </c>
      <c r="V43" s="712" t="s">
        <v>17</v>
      </c>
      <c r="W43" s="713">
        <f t="shared" si="14"/>
        <v>100</v>
      </c>
      <c r="X43" s="1529"/>
      <c r="Y43" s="3365"/>
      <c r="Z43" s="1530" t="str">
        <f t="shared" si="15"/>
        <v>内部装修维护情况</v>
      </c>
      <c r="AA43" s="1527">
        <f t="shared" si="3"/>
        <v>1</v>
      </c>
      <c r="AB43" s="1527">
        <f t="shared" si="4"/>
        <v>1</v>
      </c>
      <c r="AC43" s="1527">
        <f t="shared" si="5"/>
        <v>1</v>
      </c>
    </row>
    <row r="44" spans="1:29" s="113" customFormat="1" ht="15">
      <c r="A44" s="431"/>
      <c r="B44" s="1286">
        <v>111</v>
      </c>
      <c r="C44" s="427"/>
      <c r="D44" s="132">
        <v>100</v>
      </c>
      <c r="E44" s="392"/>
      <c r="F44" s="383">
        <f>SUMIF(126:126,E44,127:127)-SUMIF(126:126,C44,127:127)+100</f>
        <v>100</v>
      </c>
      <c r="G44" s="392"/>
      <c r="H44" s="132">
        <f>SUMIF(126:126,G44,127:127)-SUMIF(126:126,C44,127:127)+100</f>
        <v>100</v>
      </c>
      <c r="I44" s="392"/>
      <c r="J44" s="132">
        <f>SUMIF(126:126,I44,127:127)-SUMIF(126:126,C44,127:127)+100</f>
        <v>100</v>
      </c>
      <c r="K44" s="569"/>
      <c r="L44" s="2927"/>
      <c r="M44" s="2928"/>
      <c r="N44" s="2928"/>
      <c r="O44" s="2928"/>
      <c r="P44" s="3459"/>
      <c r="Q44" s="1517">
        <f t="shared" si="11"/>
        <v>111</v>
      </c>
      <c r="R44" s="708" t="s">
        <v>17</v>
      </c>
      <c r="S44" s="709">
        <f t="shared" si="12"/>
        <v>100</v>
      </c>
      <c r="T44" s="708" t="s">
        <v>17</v>
      </c>
      <c r="U44" s="709">
        <f t="shared" si="13"/>
        <v>100</v>
      </c>
      <c r="V44" s="708" t="s">
        <v>17</v>
      </c>
      <c r="W44" s="709">
        <f t="shared" si="14"/>
        <v>100</v>
      </c>
      <c r="X44" s="710"/>
      <c r="Y44" s="3365"/>
      <c r="Z44" s="55">
        <f t="shared" si="15"/>
        <v>111</v>
      </c>
      <c r="AA44" s="711">
        <f t="shared" si="3"/>
        <v>1</v>
      </c>
      <c r="AB44" s="711">
        <f t="shared" si="4"/>
        <v>1</v>
      </c>
      <c r="AC44" s="711">
        <f t="shared" si="5"/>
        <v>1</v>
      </c>
    </row>
    <row r="45" spans="1:29" ht="15">
      <c r="A45" s="430"/>
      <c r="B45" s="1286">
        <v>111</v>
      </c>
      <c r="C45" s="392"/>
      <c r="D45" s="393">
        <v>100</v>
      </c>
      <c r="E45" s="392"/>
      <c r="F45" s="419">
        <f>SUMIF(128:128,E45,129:129)-SUMIF(128:128,C45,129:129)+100</f>
        <v>100</v>
      </c>
      <c r="G45" s="392"/>
      <c r="H45" s="393">
        <f>SUMIF(128:128,G45,129:129)-SUMIF(128:128,C45,129:129)+100</f>
        <v>100</v>
      </c>
      <c r="I45" s="392"/>
      <c r="J45" s="393">
        <f>SUMIF(128:128,I45,129:129)-SUMIF(128:128,C45,129:129)+100</f>
        <v>100</v>
      </c>
      <c r="K45" s="569"/>
      <c r="L45" s="2932"/>
      <c r="M45" s="2926"/>
      <c r="N45" s="2926"/>
      <c r="O45" s="2926"/>
      <c r="P45" s="3459"/>
      <c r="Q45" s="1526">
        <f t="shared" si="11"/>
        <v>111</v>
      </c>
      <c r="R45" s="712" t="s">
        <v>17</v>
      </c>
      <c r="S45" s="713">
        <f t="shared" si="12"/>
        <v>100</v>
      </c>
      <c r="T45" s="712" t="s">
        <v>17</v>
      </c>
      <c r="U45" s="713">
        <f t="shared" si="13"/>
        <v>100</v>
      </c>
      <c r="V45" s="712" t="s">
        <v>17</v>
      </c>
      <c r="W45" s="713">
        <f t="shared" si="14"/>
        <v>100</v>
      </c>
      <c r="X45" s="1529"/>
      <c r="Y45" s="3365"/>
      <c r="Z45" s="1530">
        <f t="shared" si="15"/>
        <v>111</v>
      </c>
      <c r="AA45" s="1527">
        <f t="shared" si="3"/>
        <v>1</v>
      </c>
      <c r="AB45" s="1527">
        <f t="shared" si="4"/>
        <v>1</v>
      </c>
      <c r="AC45" s="1527">
        <f t="shared" si="5"/>
        <v>1</v>
      </c>
    </row>
    <row r="46" spans="1:29" ht="15.75" thickBot="1">
      <c r="A46" s="436"/>
      <c r="B46" s="2068">
        <v>111</v>
      </c>
      <c r="C46" s="395"/>
      <c r="D46" s="396">
        <v>100</v>
      </c>
      <c r="E46" s="392"/>
      <c r="F46" s="397">
        <f>SUMIF(130:130,E46,131:131)-SUMIF(130:130,C46,131:131)+100</f>
        <v>100</v>
      </c>
      <c r="G46" s="392"/>
      <c r="H46" s="396">
        <f>SUMIF(130:130,G46,131:131)-SUMIF(130:130,C46,131:131)+100</f>
        <v>100</v>
      </c>
      <c r="I46" s="392"/>
      <c r="J46" s="396">
        <f>SUMIF(130:130,I46,131:131)-SUMIF(130:130,C46,131:131)+100</f>
        <v>100</v>
      </c>
      <c r="K46" s="569"/>
      <c r="L46" s="2932"/>
      <c r="M46" s="2926"/>
      <c r="N46" s="2926"/>
      <c r="O46" s="2926"/>
      <c r="P46" s="3460"/>
      <c r="Q46" s="1526">
        <f t="shared" si="11"/>
        <v>111</v>
      </c>
      <c r="R46" s="712" t="s">
        <v>17</v>
      </c>
      <c r="S46" s="713">
        <f t="shared" si="12"/>
        <v>100</v>
      </c>
      <c r="T46" s="712" t="s">
        <v>17</v>
      </c>
      <c r="U46" s="713">
        <f t="shared" si="13"/>
        <v>100</v>
      </c>
      <c r="V46" s="712" t="s">
        <v>17</v>
      </c>
      <c r="W46" s="713">
        <f t="shared" si="14"/>
        <v>100</v>
      </c>
      <c r="X46" s="1529"/>
      <c r="Y46" s="3461"/>
      <c r="Z46" s="1530">
        <f t="shared" si="15"/>
        <v>111</v>
      </c>
      <c r="AA46" s="1527">
        <f t="shared" si="3"/>
        <v>1</v>
      </c>
      <c r="AB46" s="1527">
        <f t="shared" si="4"/>
        <v>1</v>
      </c>
      <c r="AC46" s="1527">
        <f t="shared" si="5"/>
        <v>1</v>
      </c>
    </row>
    <row r="47" spans="1:29" ht="15">
      <c r="A47" s="437" t="s">
        <v>2392</v>
      </c>
      <c r="B47" s="438"/>
      <c r="C47" s="1305" t="s">
        <v>1</v>
      </c>
      <c r="D47" s="1306"/>
      <c r="E47" s="1307"/>
      <c r="F47" s="1308"/>
      <c r="G47" s="1309"/>
      <c r="H47" s="1310"/>
      <c r="I47" s="1307"/>
      <c r="J47" s="1310"/>
      <c r="K47" s="721"/>
      <c r="L47" s="2934"/>
      <c r="M47" s="2935"/>
      <c r="N47" s="2926"/>
      <c r="O47" s="2935"/>
      <c r="P47" s="3360" t="str">
        <f>A47</f>
        <v>成交单价（元/平方米）</v>
      </c>
      <c r="Q47" s="3360"/>
      <c r="R47" s="3366">
        <f>E47</f>
        <v>0</v>
      </c>
      <c r="S47" s="3366"/>
      <c r="T47" s="3366">
        <f>G47</f>
        <v>0</v>
      </c>
      <c r="U47" s="3366"/>
      <c r="V47" s="3366">
        <f>I47</f>
        <v>0</v>
      </c>
      <c r="W47" s="3366"/>
      <c r="X47" s="697"/>
      <c r="Y47" s="719"/>
      <c r="Z47" s="697"/>
      <c r="AA47" s="697"/>
      <c r="AB47" s="697"/>
      <c r="AC47" s="697"/>
    </row>
    <row r="48" spans="1:29" ht="15.75" thickBot="1">
      <c r="A48" s="444" t="s">
        <v>2484</v>
      </c>
      <c r="B48" s="445"/>
      <c r="C48" s="1311" t="e">
        <f>R49</f>
        <v>#DIV/0!</v>
      </c>
      <c r="D48" s="2522" t="s">
        <v>2864</v>
      </c>
      <c r="E48" s="1312" t="e">
        <f>R48</f>
        <v>#DIV/0!</v>
      </c>
      <c r="F48" s="2523"/>
      <c r="G48" s="1311" t="e">
        <f>T48</f>
        <v>#DIV/0!</v>
      </c>
      <c r="H48" s="2523"/>
      <c r="I48" s="1312" t="e">
        <f>V48</f>
        <v>#DIV/0!</v>
      </c>
      <c r="J48" s="2523"/>
      <c r="K48" s="2525">
        <f>F48+H48+J48</f>
        <v>0</v>
      </c>
      <c r="L48" s="2934"/>
      <c r="M48" s="2935"/>
      <c r="N48" s="2926"/>
      <c r="O48" s="2935"/>
      <c r="P48" s="3360" t="str">
        <f>A48</f>
        <v>比较价值（元/平方米）</v>
      </c>
      <c r="Q48" s="3360"/>
      <c r="R48" s="3457" t="e">
        <f>IF(F1="售价",ROUND(PRODUCT(R47,AA7:AA46),0),ROUND(PRODUCT(R47,AA7:AA46),1))</f>
        <v>#DIV/0!</v>
      </c>
      <c r="S48" s="3457"/>
      <c r="T48" s="3457" t="e">
        <f>IF(F1="售价",ROUND(PRODUCT(T47,AB7:AB46),0),ROUND(PRODUCT(T47,AB7:AB46),1))</f>
        <v>#DIV/0!</v>
      </c>
      <c r="U48" s="3457"/>
      <c r="V48" s="3457" t="e">
        <f>IF(F1="售价",ROUND(PRODUCT(V47,AC7:AC46),0),ROUND(PRODUCT(V47,AC7:AC46),1))</f>
        <v>#DIV/0!</v>
      </c>
      <c r="W48" s="3457"/>
      <c r="X48" s="697"/>
      <c r="Y48" s="697"/>
      <c r="Z48" s="697"/>
      <c r="AA48" s="697"/>
      <c r="AB48" s="697"/>
      <c r="AC48" s="697"/>
    </row>
    <row r="49" spans="1:29" ht="15.75" thickBot="1">
      <c r="A49" s="448" t="s">
        <v>2485</v>
      </c>
      <c r="B49" s="449"/>
      <c r="C49" s="1314" t="e">
        <f>R49</f>
        <v>#DIV/0!</v>
      </c>
      <c r="D49" s="1314"/>
      <c r="E49" s="1314"/>
      <c r="F49" s="1314"/>
      <c r="G49" s="1314"/>
      <c r="H49" s="1314"/>
      <c r="I49" s="1314"/>
      <c r="J49" s="1314"/>
      <c r="K49" s="722"/>
      <c r="L49" s="2934"/>
      <c r="M49" s="2935"/>
      <c r="N49" s="2926"/>
      <c r="O49" s="2935"/>
      <c r="P49" s="3354" t="str">
        <f>A49</f>
        <v>估价对象XX用房的比较价值（楼面单价，元/平方米）</v>
      </c>
      <c r="Q49" s="3355"/>
      <c r="R49" s="3456" t="e">
        <f>IF(F1="售价",ROUND(IF(D48="简单平均",AVERAGE(R48:V48),R48*F48+T48*H48+V48*J48),0),ROUND(IF(D48="简单平均",AVERAGE(R48:V48),R48*F48+T48*H48+V48*J48),1))</f>
        <v>#DIV/0!</v>
      </c>
      <c r="S49" s="3456"/>
      <c r="T49" s="3456"/>
      <c r="U49" s="3456"/>
      <c r="V49" s="3456"/>
      <c r="W49" s="3456"/>
      <c r="X49" s="697"/>
      <c r="Y49" s="697"/>
      <c r="Z49" s="697"/>
      <c r="AA49" s="697"/>
      <c r="AB49" s="697"/>
      <c r="AC49" s="697"/>
    </row>
    <row r="50" spans="1:29">
      <c r="A50" s="2935"/>
      <c r="B50" s="2935"/>
      <c r="C50" s="2935"/>
      <c r="D50" s="2935"/>
      <c r="E50" s="2935"/>
      <c r="F50" s="2935"/>
      <c r="G50" s="2939"/>
      <c r="H50" s="2935"/>
      <c r="I50" s="2935"/>
      <c r="J50" s="2935"/>
      <c r="K50" s="2940"/>
      <c r="L50" s="2936"/>
      <c r="M50" s="2935"/>
      <c r="N50" s="2935"/>
      <c r="O50" s="2935"/>
      <c r="P50" s="2946"/>
      <c r="Q50" s="2935"/>
      <c r="R50" s="2935"/>
      <c r="S50" s="2935"/>
      <c r="T50" s="2935"/>
      <c r="U50" s="2935"/>
      <c r="V50" s="2935"/>
      <c r="W50" s="2935"/>
      <c r="X50" s="2935"/>
      <c r="Y50" s="2935"/>
      <c r="Z50" s="2935"/>
      <c r="AA50" s="2935"/>
      <c r="AB50" s="2935"/>
      <c r="AC50" s="2935"/>
    </row>
    <row r="51" spans="1:29">
      <c r="A51" s="2935"/>
      <c r="B51" s="2935"/>
      <c r="C51" s="2935"/>
      <c r="D51" s="2935"/>
      <c r="E51" s="2935"/>
      <c r="F51" s="2935"/>
      <c r="G51" s="2935"/>
      <c r="H51" s="2935"/>
      <c r="I51" s="2935"/>
      <c r="J51" s="2935"/>
      <c r="K51" s="2940"/>
      <c r="L51" s="2936"/>
      <c r="M51" s="2935"/>
      <c r="N51" s="2935"/>
      <c r="O51" s="2935"/>
      <c r="P51" s="2946"/>
      <c r="Q51" s="2935"/>
      <c r="R51" s="2935"/>
      <c r="S51" s="2935"/>
      <c r="T51" s="2935"/>
      <c r="U51" s="2935"/>
      <c r="V51" s="2935"/>
      <c r="W51" s="2935"/>
      <c r="X51" s="2935"/>
      <c r="Y51" s="2935"/>
      <c r="Z51" s="2935"/>
      <c r="AA51" s="2935"/>
      <c r="AB51" s="2935"/>
      <c r="AC51" s="2935"/>
    </row>
    <row r="52" spans="1:29" ht="13.5" customHeight="1">
      <c r="A52" s="2935"/>
      <c r="B52" s="2935"/>
      <c r="C52" s="453" t="s">
        <v>2486</v>
      </c>
      <c r="D52" s="454"/>
      <c r="E52" s="455" t="e">
        <f>IF(E47&lt;E48,E48/E47-1,E47/E48-1)</f>
        <v>#DIV/0!</v>
      </c>
      <c r="F52" s="456" t="e">
        <f>IF(OR(E52&gt;=0.3,E52&lt;=-0.3),"超过30%","")</f>
        <v>#DIV/0!</v>
      </c>
      <c r="G52" s="455" t="e">
        <f>IF(G47&lt;G48,G48/G47-1,G47/G48-1)</f>
        <v>#DIV/0!</v>
      </c>
      <c r="H52" s="456" t="e">
        <f>IF(OR(G52&gt;=0.3,G52&lt;=-0.3),"超过30%","")</f>
        <v>#DIV/0!</v>
      </c>
      <c r="I52" s="455" t="e">
        <f>IF(I47&lt;I48,I48/I47-1,I47/I48-1)</f>
        <v>#DIV/0!</v>
      </c>
      <c r="J52" s="456" t="e">
        <f>IF(OR(I52&gt;=0.3,I52&lt;=-0.3),"超过30%","")</f>
        <v>#DIV/0!</v>
      </c>
      <c r="K52" s="2940"/>
      <c r="L52" s="2936"/>
      <c r="M52" s="2935"/>
      <c r="N52" s="2935"/>
      <c r="O52" s="2935"/>
      <c r="P52" s="2946"/>
      <c r="Q52" s="2935"/>
      <c r="R52" s="2935"/>
      <c r="S52" s="2935"/>
      <c r="T52" s="2935"/>
      <c r="U52" s="2935"/>
      <c r="V52" s="2935"/>
      <c r="W52" s="2935"/>
      <c r="X52" s="2935"/>
      <c r="Y52" s="2935"/>
      <c r="Z52" s="2935"/>
      <c r="AA52" s="2935"/>
      <c r="AB52" s="2935"/>
      <c r="AC52" s="2935"/>
    </row>
    <row r="53" spans="1:29" ht="13.5" customHeight="1">
      <c r="A53" s="2935"/>
      <c r="B53" s="2935"/>
      <c r="C53" s="453" t="s">
        <v>2487</v>
      </c>
      <c r="D53" s="457"/>
      <c r="E53" s="455" t="e">
        <f>IF(E48&lt;G48,G48/E48-1,E48/G48-1)</f>
        <v>#DIV/0!</v>
      </c>
      <c r="F53" s="456" t="e">
        <f>IF(OR(E53&gt;=0.2,E53&lt;=-0.2),"超过20%","")</f>
        <v>#DIV/0!</v>
      </c>
      <c r="G53" s="455" t="e">
        <f>IF(G48&lt;I48,I48/G48-1,G48/I48-1)</f>
        <v>#DIV/0!</v>
      </c>
      <c r="H53" s="456" t="e">
        <f>IF(OR(G53&gt;=0.2,G53&lt;=-0.2),"超过20%","")</f>
        <v>#DIV/0!</v>
      </c>
      <c r="I53" s="455" t="e">
        <f>IF(I48&lt;E48,E48/I48-1,I48/E48-1)</f>
        <v>#DIV/0!</v>
      </c>
      <c r="J53" s="456" t="e">
        <f>IF(OR(I53&gt;=0.2,I53&lt;=-0.2),"超过20%","")</f>
        <v>#DIV/0!</v>
      </c>
      <c r="K53" s="2940"/>
      <c r="L53" s="2936"/>
      <c r="M53" s="2935"/>
      <c r="N53" s="2935"/>
      <c r="O53" s="2935"/>
      <c r="P53" s="2946"/>
      <c r="Q53" s="2935"/>
      <c r="R53" s="2935"/>
      <c r="S53" s="2935"/>
      <c r="T53" s="2935"/>
      <c r="U53" s="2935"/>
      <c r="V53" s="2935"/>
      <c r="W53" s="2935"/>
      <c r="X53" s="2935"/>
      <c r="Y53" s="2935"/>
      <c r="Z53" s="2935"/>
      <c r="AA53" s="2935"/>
      <c r="AB53" s="2935"/>
      <c r="AC53" s="2935"/>
    </row>
    <row r="54" spans="1:29" s="458" customFormat="1" ht="13.5" customHeight="1">
      <c r="A54" s="2938"/>
      <c r="B54" s="2938"/>
      <c r="C54" s="453" t="s">
        <v>2488</v>
      </c>
      <c r="D54" s="457"/>
      <c r="E54" s="455" t="e">
        <f>IF(E47&lt;G47,G47/E47-1,E47/G47-1)</f>
        <v>#DIV/0!</v>
      </c>
      <c r="F54" s="456" t="e">
        <f>IF(OR(E54&gt;=0.3,E54&lt;=-0.3),"超过30%","")</f>
        <v>#DIV/0!</v>
      </c>
      <c r="G54" s="455" t="e">
        <f>IF(G47&lt;I47,I47/G47-1,G47/I47-1)</f>
        <v>#DIV/0!</v>
      </c>
      <c r="H54" s="456" t="e">
        <f>IF(OR(G54&gt;=0.3,G54&lt;=-0.3),"超过30%","")</f>
        <v>#DIV/0!</v>
      </c>
      <c r="I54" s="455" t="e">
        <f>IF(I47&lt;E47,E47/I47-1,I47/E47-1)</f>
        <v>#DIV/0!</v>
      </c>
      <c r="J54" s="456" t="e">
        <f>IF(OR(I54&gt;=0.3,I54&lt;=-0.3),"超过30%","")</f>
        <v>#DIV/0!</v>
      </c>
      <c r="K54" s="2943"/>
      <c r="L54" s="2937"/>
      <c r="M54" s="2938"/>
      <c r="N54" s="2938"/>
      <c r="O54" s="2938"/>
      <c r="P54" s="2947"/>
      <c r="Q54" s="2938"/>
      <c r="R54" s="2938"/>
      <c r="S54" s="2938"/>
      <c r="T54" s="2938"/>
      <c r="U54" s="2938"/>
      <c r="V54" s="2938"/>
      <c r="W54" s="2938"/>
      <c r="X54" s="2938"/>
      <c r="Y54" s="2938"/>
      <c r="Z54" s="2938"/>
      <c r="AA54" s="2938"/>
      <c r="AB54" s="2938"/>
      <c r="AC54" s="2938"/>
    </row>
    <row r="55" spans="1:29" s="458" customFormat="1">
      <c r="A55" s="2938"/>
      <c r="B55" s="2941"/>
      <c r="C55" s="2942"/>
      <c r="D55" s="2938"/>
      <c r="E55" s="2938"/>
      <c r="F55" s="2938"/>
      <c r="G55" s="2938"/>
      <c r="H55" s="2938"/>
      <c r="I55" s="2938"/>
      <c r="J55" s="2938"/>
      <c r="K55" s="2943"/>
      <c r="L55" s="2937"/>
      <c r="M55" s="2938"/>
      <c r="N55" s="2938"/>
      <c r="O55" s="2938"/>
      <c r="P55" s="2947"/>
      <c r="Q55" s="2938"/>
      <c r="R55" s="2938"/>
      <c r="S55" s="2938"/>
      <c r="T55" s="2938"/>
      <c r="U55" s="2938"/>
      <c r="V55" s="2938"/>
      <c r="W55" s="2938"/>
      <c r="X55" s="2938"/>
      <c r="Y55" s="2938"/>
      <c r="Z55" s="2938"/>
      <c r="AA55" s="2938"/>
      <c r="AB55" s="2938"/>
      <c r="AC55" s="2938"/>
    </row>
    <row r="56" spans="1:29">
      <c r="A56" s="2935"/>
      <c r="B56" s="2941"/>
      <c r="C56" s="2942"/>
      <c r="D56" s="2935"/>
      <c r="E56" s="2935"/>
      <c r="F56" s="2935"/>
      <c r="G56" s="2935"/>
      <c r="H56" s="2935"/>
      <c r="I56" s="2935"/>
      <c r="J56" s="2935"/>
      <c r="K56" s="2940"/>
      <c r="L56" s="2936"/>
      <c r="M56" s="2935"/>
      <c r="N56" s="2935"/>
      <c r="O56" s="2935"/>
      <c r="P56" s="2946"/>
      <c r="Q56" s="2935"/>
      <c r="R56" s="2935"/>
      <c r="S56" s="2935"/>
      <c r="T56" s="2935"/>
      <c r="U56" s="2935"/>
      <c r="V56" s="2935"/>
      <c r="W56" s="2935"/>
      <c r="X56" s="2935"/>
      <c r="Y56" s="2935"/>
      <c r="Z56" s="2935"/>
      <c r="AA56" s="2935"/>
      <c r="AB56" s="2935"/>
      <c r="AC56" s="2935"/>
    </row>
    <row r="57" spans="1:29" ht="21.75" thickBot="1">
      <c r="A57" s="701" t="s">
        <v>2489</v>
      </c>
      <c r="B57" s="697"/>
      <c r="C57" s="702"/>
      <c r="D57" s="702"/>
      <c r="E57" s="702"/>
      <c r="F57" s="703"/>
      <c r="G57" s="703"/>
      <c r="H57" s="702"/>
      <c r="I57" s="702"/>
      <c r="J57" s="702"/>
      <c r="K57" s="704"/>
      <c r="L57" s="1065"/>
      <c r="M57" s="1063"/>
      <c r="N57" s="1063"/>
      <c r="O57" s="1063"/>
      <c r="P57" s="2948"/>
      <c r="Q57" s="2949"/>
      <c r="R57" s="2935"/>
      <c r="S57" s="2935"/>
      <c r="T57" s="2935"/>
      <c r="U57" s="2935"/>
      <c r="V57" s="2935"/>
      <c r="W57" s="2935"/>
      <c r="X57" s="2935"/>
      <c r="Y57" s="2935"/>
      <c r="Z57" s="2935"/>
      <c r="AA57" s="2935"/>
      <c r="AB57" s="2935"/>
      <c r="AC57" s="2935"/>
    </row>
    <row r="58" spans="1:29" s="464" customFormat="1" ht="15">
      <c r="A58" s="461" t="s">
        <v>2363</v>
      </c>
      <c r="B58" s="462"/>
      <c r="C58" s="1334" t="str">
        <f>YEAR(C7)&amp;"-"&amp;MONTH(C7)</f>
        <v>2021-3</v>
      </c>
      <c r="D58" s="1335">
        <f>EDATE(C58,-1)</f>
        <v>44228</v>
      </c>
      <c r="E58" s="1335">
        <f t="shared" ref="E58:N58" si="16">EDATE(D58,-1)</f>
        <v>44197</v>
      </c>
      <c r="F58" s="1335">
        <f t="shared" si="16"/>
        <v>44166</v>
      </c>
      <c r="G58" s="1335">
        <f t="shared" si="16"/>
        <v>44136</v>
      </c>
      <c r="H58" s="1335">
        <f t="shared" si="16"/>
        <v>44105</v>
      </c>
      <c r="I58" s="1335">
        <f t="shared" si="16"/>
        <v>44075</v>
      </c>
      <c r="J58" s="1335">
        <f t="shared" si="16"/>
        <v>44044</v>
      </c>
      <c r="K58" s="1335">
        <f t="shared" si="16"/>
        <v>44013</v>
      </c>
      <c r="L58" s="1335">
        <f t="shared" si="16"/>
        <v>43983</v>
      </c>
      <c r="M58" s="1335">
        <f t="shared" si="16"/>
        <v>43952</v>
      </c>
      <c r="N58" s="1335">
        <f t="shared" si="16"/>
        <v>43922</v>
      </c>
      <c r="O58" s="1335">
        <f>EDATE(N58,-1)</f>
        <v>43891</v>
      </c>
      <c r="P58" s="2950"/>
      <c r="Q58" s="2951"/>
      <c r="R58" s="2951"/>
      <c r="S58" s="2951"/>
      <c r="T58" s="2951"/>
      <c r="U58" s="2951"/>
      <c r="V58" s="2951"/>
      <c r="W58" s="2951"/>
      <c r="X58" s="2951"/>
      <c r="Y58" s="2951"/>
      <c r="Z58" s="2951"/>
      <c r="AA58" s="2951"/>
      <c r="AB58" s="2951"/>
      <c r="AC58" s="2951"/>
    </row>
    <row r="59" spans="1:29" s="113" customFormat="1" ht="15">
      <c r="A59" s="465"/>
      <c r="B59" s="466"/>
      <c r="C59" s="1333">
        <v>100</v>
      </c>
      <c r="D59" s="468"/>
      <c r="E59" s="468"/>
      <c r="F59" s="468"/>
      <c r="G59" s="468"/>
      <c r="H59" s="468"/>
      <c r="I59" s="468"/>
      <c r="J59" s="468"/>
      <c r="K59" s="468"/>
      <c r="L59" s="468"/>
      <c r="M59" s="469"/>
      <c r="N59" s="468"/>
      <c r="O59" s="469"/>
      <c r="P59" s="2952"/>
      <c r="Q59" s="2870"/>
      <c r="R59" s="2870"/>
      <c r="S59" s="2870"/>
      <c r="T59" s="2870"/>
      <c r="U59" s="2870"/>
      <c r="V59" s="2870"/>
      <c r="W59" s="2870"/>
      <c r="X59" s="2870"/>
      <c r="Y59" s="2870"/>
      <c r="Z59" s="2870"/>
      <c r="AA59" s="2870"/>
      <c r="AB59" s="2870"/>
      <c r="AC59" s="2870"/>
    </row>
    <row r="60" spans="1:29" s="113" customFormat="1" ht="15.75" thickBot="1">
      <c r="A60" s="471" t="s">
        <v>2400</v>
      </c>
      <c r="B60" s="472"/>
      <c r="C60" s="473"/>
      <c r="D60" s="474"/>
      <c r="E60" s="474"/>
      <c r="F60" s="474"/>
      <c r="G60" s="474"/>
      <c r="H60" s="474"/>
      <c r="I60" s="474"/>
      <c r="J60" s="474"/>
      <c r="K60" s="474"/>
      <c r="L60" s="474"/>
      <c r="M60" s="475"/>
      <c r="N60" s="474"/>
      <c r="O60" s="475"/>
      <c r="P60" s="2952"/>
      <c r="Q60" s="2949"/>
      <c r="R60" s="2870"/>
      <c r="S60" s="2870"/>
      <c r="T60" s="2870"/>
      <c r="U60" s="2870"/>
      <c r="V60" s="2870"/>
      <c r="W60" s="2870"/>
      <c r="X60" s="2870"/>
      <c r="Y60" s="2870"/>
      <c r="Z60" s="2870"/>
      <c r="AA60" s="2870"/>
      <c r="AB60" s="2870"/>
      <c r="AC60" s="2870"/>
    </row>
    <row r="61" spans="1:29" s="113" customFormat="1" ht="15">
      <c r="A61" s="477" t="s">
        <v>2365</v>
      </c>
      <c r="B61" s="466"/>
      <c r="C61" s="478" t="s">
        <v>2467</v>
      </c>
      <c r="D61" s="479"/>
      <c r="E61" s="479"/>
      <c r="F61" s="479"/>
      <c r="G61" s="479"/>
      <c r="H61" s="479"/>
      <c r="I61" s="479"/>
      <c r="J61" s="479"/>
      <c r="K61" s="479"/>
      <c r="L61" s="480"/>
      <c r="M61" s="481"/>
      <c r="N61" s="2962"/>
      <c r="O61" s="2962"/>
      <c r="P61" s="2953"/>
      <c r="Q61" s="2949"/>
      <c r="R61" s="2870"/>
      <c r="S61" s="2870"/>
      <c r="T61" s="2870"/>
      <c r="U61" s="2870"/>
      <c r="V61" s="2870"/>
      <c r="W61" s="2870"/>
      <c r="X61" s="2870"/>
      <c r="Y61" s="2870"/>
      <c r="Z61" s="2870"/>
      <c r="AA61" s="2870"/>
      <c r="AB61" s="2870"/>
      <c r="AC61" s="2870"/>
    </row>
    <row r="62" spans="1:29" s="113" customFormat="1" ht="15.75" thickBot="1">
      <c r="A62" s="477"/>
      <c r="B62" s="466"/>
      <c r="C62" s="467">
        <v>100</v>
      </c>
      <c r="D62" s="468"/>
      <c r="E62" s="468"/>
      <c r="F62" s="468"/>
      <c r="G62" s="468"/>
      <c r="H62" s="468"/>
      <c r="I62" s="468"/>
      <c r="J62" s="468"/>
      <c r="K62" s="468"/>
      <c r="L62" s="468"/>
      <c r="M62" s="470"/>
      <c r="N62" s="2962"/>
      <c r="O62" s="2962"/>
      <c r="P62" s="2952"/>
      <c r="Q62" s="2949"/>
      <c r="R62" s="2870"/>
      <c r="S62" s="2870"/>
      <c r="T62" s="2870"/>
      <c r="U62" s="2870"/>
      <c r="V62" s="2870"/>
      <c r="W62" s="2870"/>
      <c r="X62" s="2870"/>
      <c r="Y62" s="2870"/>
      <c r="Z62" s="2870"/>
      <c r="AA62" s="2870"/>
      <c r="AB62" s="2870"/>
      <c r="AC62" s="2870"/>
    </row>
    <row r="63" spans="1:29">
      <c r="A63" s="483" t="s">
        <v>2403</v>
      </c>
      <c r="B63" s="484" t="s">
        <v>2369</v>
      </c>
      <c r="C63" s="485">
        <f>C9</f>
        <v>0</v>
      </c>
      <c r="D63" s="486"/>
      <c r="E63" s="486"/>
      <c r="F63" s="486"/>
      <c r="G63" s="486"/>
      <c r="H63" s="486"/>
      <c r="I63" s="486"/>
      <c r="J63" s="486"/>
      <c r="K63" s="487"/>
      <c r="L63" s="488"/>
      <c r="M63" s="489"/>
      <c r="N63" s="2963"/>
      <c r="O63" s="2963"/>
      <c r="P63" s="2954"/>
      <c r="Q63" s="2949"/>
      <c r="R63" s="2935"/>
      <c r="S63" s="2935"/>
      <c r="T63" s="2935"/>
      <c r="U63" s="2935"/>
      <c r="V63" s="2935"/>
      <c r="W63" s="2935"/>
      <c r="X63" s="2935"/>
      <c r="Y63" s="2935"/>
      <c r="Z63" s="2935"/>
      <c r="AA63" s="2935"/>
      <c r="AB63" s="2935"/>
      <c r="AC63" s="2935"/>
    </row>
    <row r="64" spans="1:29" ht="15.75" thickBot="1">
      <c r="A64" s="490"/>
      <c r="B64" s="491"/>
      <c r="C64" s="492">
        <v>100</v>
      </c>
      <c r="D64" s="492"/>
      <c r="E64" s="492"/>
      <c r="F64" s="492"/>
      <c r="G64" s="492"/>
      <c r="H64" s="492"/>
      <c r="I64" s="492"/>
      <c r="J64" s="492"/>
      <c r="K64" s="492"/>
      <c r="L64" s="492"/>
      <c r="M64" s="493"/>
      <c r="N64" s="2964"/>
      <c r="O64" s="2964"/>
      <c r="P64" s="2954"/>
      <c r="Q64" s="2949"/>
      <c r="R64" s="2935"/>
      <c r="S64" s="2935"/>
      <c r="T64" s="2935"/>
      <c r="U64" s="2935"/>
      <c r="V64" s="2935"/>
      <c r="W64" s="2935"/>
      <c r="X64" s="2935"/>
      <c r="Y64" s="2935"/>
      <c r="Z64" s="2935"/>
      <c r="AA64" s="2935"/>
      <c r="AB64" s="2935"/>
      <c r="AC64" s="2935"/>
    </row>
    <row r="65" spans="1:29" ht="27.75" thickTop="1">
      <c r="A65" s="490"/>
      <c r="B65" s="494" t="s">
        <v>2372</v>
      </c>
      <c r="C65" s="495" t="s">
        <v>2404</v>
      </c>
      <c r="D65" s="495" t="s">
        <v>2405</v>
      </c>
      <c r="E65" s="495" t="s">
        <v>2406</v>
      </c>
      <c r="F65" s="495" t="s">
        <v>2407</v>
      </c>
      <c r="G65" s="495" t="s">
        <v>2408</v>
      </c>
      <c r="H65" s="495" t="s">
        <v>2409</v>
      </c>
      <c r="I65" s="495" t="s">
        <v>2410</v>
      </c>
      <c r="J65" s="495"/>
      <c r="K65" s="496"/>
      <c r="L65" s="497"/>
      <c r="M65" s="498"/>
      <c r="N65" s="2963"/>
      <c r="O65" s="2963"/>
      <c r="P65" s="2954"/>
      <c r="Q65" s="2949"/>
      <c r="R65" s="2935"/>
      <c r="S65" s="2935"/>
      <c r="T65" s="2935"/>
      <c r="U65" s="2935"/>
      <c r="V65" s="2935"/>
      <c r="W65" s="2935"/>
      <c r="X65" s="2935"/>
      <c r="Y65" s="2935"/>
      <c r="Z65" s="2935"/>
      <c r="AA65" s="2935"/>
      <c r="AB65" s="2935"/>
      <c r="AC65" s="2935"/>
    </row>
    <row r="66" spans="1:29" ht="15.75" thickBot="1">
      <c r="A66" s="490"/>
      <c r="B66" s="499"/>
      <c r="C66" s="500" t="s">
        <v>24</v>
      </c>
      <c r="D66" s="500" t="s">
        <v>25</v>
      </c>
      <c r="E66" s="500" t="s">
        <v>26</v>
      </c>
      <c r="F66" s="500">
        <v>100</v>
      </c>
      <c r="G66" s="500">
        <f>F66-$K10</f>
        <v>100</v>
      </c>
      <c r="H66" s="500">
        <f>G66-$K10</f>
        <v>100</v>
      </c>
      <c r="I66" s="500">
        <f>H66-$K10</f>
        <v>100</v>
      </c>
      <c r="J66" s="500"/>
      <c r="K66" s="500"/>
      <c r="L66" s="500"/>
      <c r="M66" s="501"/>
      <c r="N66" s="2964"/>
      <c r="O66" s="2964"/>
      <c r="P66" s="2954"/>
      <c r="Q66" s="2949"/>
      <c r="R66" s="2935"/>
      <c r="S66" s="2935"/>
      <c r="T66" s="2935"/>
      <c r="U66" s="2935"/>
      <c r="V66" s="2935"/>
      <c r="W66" s="2935"/>
      <c r="X66" s="2935"/>
      <c r="Y66" s="2935"/>
      <c r="Z66" s="2935"/>
      <c r="AA66" s="2935"/>
      <c r="AB66" s="2935"/>
      <c r="AC66" s="2935"/>
    </row>
    <row r="67" spans="1:29" ht="15.75" thickTop="1">
      <c r="A67" s="490"/>
      <c r="B67" s="502" t="s">
        <v>2373</v>
      </c>
      <c r="C67" s="503" t="str">
        <f>C68&amp;"（含）"&amp;"-"&amp;D68</f>
        <v>（含）-</v>
      </c>
      <c r="D67" s="503" t="str">
        <f t="shared" ref="D67:L67" si="17">D68&amp;"（含）"&amp;"-"&amp;E68</f>
        <v>（含）-</v>
      </c>
      <c r="E67" s="503" t="str">
        <f t="shared" si="17"/>
        <v>（含）-</v>
      </c>
      <c r="F67" s="503" t="str">
        <f t="shared" si="17"/>
        <v>（含）-</v>
      </c>
      <c r="G67" s="503" t="str">
        <f t="shared" si="17"/>
        <v>（含）-</v>
      </c>
      <c r="H67" s="503" t="str">
        <f t="shared" si="17"/>
        <v>（含）-</v>
      </c>
      <c r="I67" s="503" t="str">
        <f t="shared" si="17"/>
        <v>（含）-</v>
      </c>
      <c r="J67" s="503" t="str">
        <f t="shared" si="17"/>
        <v>（含）-</v>
      </c>
      <c r="K67" s="503" t="str">
        <f t="shared" si="17"/>
        <v>（含）-</v>
      </c>
      <c r="L67" s="503" t="str">
        <f t="shared" si="17"/>
        <v>（含）-</v>
      </c>
      <c r="M67" s="406" t="str">
        <f>M68&amp;"（含）"&amp;"-"&amp;P68</f>
        <v>（含）-</v>
      </c>
      <c r="N67" s="2964"/>
      <c r="O67" s="2964"/>
      <c r="P67" s="2954"/>
      <c r="Q67" s="2949"/>
      <c r="R67" s="2935"/>
      <c r="S67" s="2935"/>
      <c r="T67" s="2935"/>
      <c r="U67" s="2935"/>
      <c r="V67" s="2935"/>
      <c r="W67" s="2935"/>
      <c r="X67" s="2935"/>
      <c r="Y67" s="2935"/>
      <c r="Z67" s="2935"/>
      <c r="AA67" s="2935"/>
      <c r="AB67" s="2935"/>
      <c r="AC67" s="2935"/>
    </row>
    <row r="68" spans="1:29" ht="15">
      <c r="A68" s="490"/>
      <c r="B68" s="504"/>
      <c r="C68" s="505"/>
      <c r="D68" s="505"/>
      <c r="E68" s="505"/>
      <c r="F68" s="505"/>
      <c r="G68" s="505"/>
      <c r="H68" s="505"/>
      <c r="I68" s="505"/>
      <c r="J68" s="505"/>
      <c r="K68" s="506"/>
      <c r="L68" s="507"/>
      <c r="M68" s="508"/>
      <c r="N68" s="2963"/>
      <c r="O68" s="2963"/>
      <c r="P68" s="2954"/>
      <c r="Q68" s="2949"/>
      <c r="R68" s="2935"/>
      <c r="S68" s="2935"/>
      <c r="T68" s="2935"/>
      <c r="U68" s="2935"/>
      <c r="V68" s="2935"/>
      <c r="W68" s="2935"/>
      <c r="X68" s="2935"/>
      <c r="Y68" s="2935"/>
      <c r="Z68" s="2935"/>
      <c r="AA68" s="2935"/>
      <c r="AB68" s="2935"/>
      <c r="AC68" s="2935"/>
    </row>
    <row r="69" spans="1:29" ht="15.75" thickBot="1">
      <c r="A69" s="490"/>
      <c r="B69" s="491"/>
      <c r="C69" s="500">
        <v>100</v>
      </c>
      <c r="D69" s="500">
        <f t="shared" ref="D69:M69" si="18">C69-$K11</f>
        <v>100</v>
      </c>
      <c r="E69" s="500">
        <f t="shared" si="18"/>
        <v>100</v>
      </c>
      <c r="F69" s="500">
        <f t="shared" si="18"/>
        <v>100</v>
      </c>
      <c r="G69" s="500">
        <f t="shared" si="18"/>
        <v>100</v>
      </c>
      <c r="H69" s="500">
        <f t="shared" si="18"/>
        <v>100</v>
      </c>
      <c r="I69" s="500">
        <f t="shared" si="18"/>
        <v>100</v>
      </c>
      <c r="J69" s="500">
        <f t="shared" si="18"/>
        <v>100</v>
      </c>
      <c r="K69" s="500">
        <f t="shared" si="18"/>
        <v>100</v>
      </c>
      <c r="L69" s="500">
        <f t="shared" si="18"/>
        <v>100</v>
      </c>
      <c r="M69" s="501">
        <f t="shared" si="18"/>
        <v>100</v>
      </c>
      <c r="N69" s="2964"/>
      <c r="O69" s="2964"/>
      <c r="P69" s="2954"/>
      <c r="Q69" s="2949"/>
      <c r="R69" s="2935"/>
      <c r="S69" s="2935"/>
      <c r="T69" s="2935"/>
      <c r="U69" s="2935"/>
      <c r="V69" s="2935"/>
      <c r="W69" s="2935"/>
      <c r="X69" s="2935"/>
      <c r="Y69" s="2935"/>
      <c r="Z69" s="2935"/>
      <c r="AA69" s="2935"/>
      <c r="AB69" s="2935"/>
      <c r="AC69" s="2935"/>
    </row>
    <row r="70" spans="1:29" s="429" customFormat="1" ht="15.75" thickTop="1">
      <c r="A70" s="509"/>
      <c r="B70" s="494">
        <f>B12</f>
        <v>111</v>
      </c>
      <c r="C70" s="510"/>
      <c r="D70" s="510"/>
      <c r="E70" s="510"/>
      <c r="F70" s="510"/>
      <c r="G70" s="510"/>
      <c r="H70" s="511"/>
      <c r="I70" s="511"/>
      <c r="J70" s="511"/>
      <c r="K70" s="511"/>
      <c r="L70" s="512"/>
      <c r="M70" s="513"/>
      <c r="N70" s="2965"/>
      <c r="O70" s="2965"/>
      <c r="P70" s="2955"/>
      <c r="Q70" s="2956"/>
      <c r="R70" s="2957"/>
      <c r="S70" s="2957"/>
      <c r="T70" s="2957"/>
      <c r="U70" s="2957"/>
      <c r="V70" s="2957"/>
      <c r="W70" s="2957"/>
      <c r="X70" s="2957"/>
      <c r="Y70" s="2957"/>
      <c r="Z70" s="2957"/>
      <c r="AA70" s="2957"/>
      <c r="AB70" s="2957"/>
      <c r="AC70" s="2957"/>
    </row>
    <row r="71" spans="1:29" s="429" customFormat="1" ht="15.75" thickBot="1">
      <c r="A71" s="509"/>
      <c r="B71" s="499"/>
      <c r="C71" s="516"/>
      <c r="D71" s="492"/>
      <c r="E71" s="492"/>
      <c r="F71" s="492"/>
      <c r="G71" s="492"/>
      <c r="H71" s="492"/>
      <c r="I71" s="492"/>
      <c r="J71" s="492"/>
      <c r="K71" s="492"/>
      <c r="L71" s="492"/>
      <c r="M71" s="493"/>
      <c r="N71" s="2964"/>
      <c r="O71" s="2964"/>
      <c r="P71" s="2955"/>
      <c r="Q71" s="2956"/>
      <c r="R71" s="2957"/>
      <c r="S71" s="2957"/>
      <c r="T71" s="2957"/>
      <c r="U71" s="2957"/>
      <c r="V71" s="2957"/>
      <c r="W71" s="2957"/>
      <c r="X71" s="2957"/>
      <c r="Y71" s="2957"/>
      <c r="Z71" s="2957"/>
      <c r="AA71" s="2957"/>
      <c r="AB71" s="2957"/>
      <c r="AC71" s="2957"/>
    </row>
    <row r="72" spans="1:29" s="429" customFormat="1" ht="15.75" thickTop="1">
      <c r="A72" s="509"/>
      <c r="B72" s="494">
        <f>B13</f>
        <v>111</v>
      </c>
      <c r="C72" s="510"/>
      <c r="D72" s="510"/>
      <c r="E72" s="510"/>
      <c r="F72" s="510"/>
      <c r="G72" s="510"/>
      <c r="H72" s="511"/>
      <c r="I72" s="511"/>
      <c r="J72" s="511"/>
      <c r="K72" s="511"/>
      <c r="L72" s="512"/>
      <c r="M72" s="513"/>
      <c r="N72" s="2965"/>
      <c r="O72" s="2965"/>
      <c r="P72" s="2958"/>
      <c r="Q72" s="2959"/>
      <c r="R72" s="2957"/>
      <c r="S72" s="2957"/>
      <c r="T72" s="2957"/>
      <c r="U72" s="2957"/>
      <c r="V72" s="2957"/>
      <c r="W72" s="2957"/>
      <c r="X72" s="2957"/>
      <c r="Y72" s="2957"/>
      <c r="Z72" s="2957"/>
      <c r="AA72" s="2957"/>
      <c r="AB72" s="2957"/>
      <c r="AC72" s="2957"/>
    </row>
    <row r="73" spans="1:29" s="429" customFormat="1" ht="15.75" thickBot="1">
      <c r="A73" s="509"/>
      <c r="B73" s="499"/>
      <c r="C73" s="516"/>
      <c r="D73" s="492"/>
      <c r="E73" s="492"/>
      <c r="F73" s="492"/>
      <c r="G73" s="516"/>
      <c r="H73" s="518"/>
      <c r="I73" s="518"/>
      <c r="J73" s="518"/>
      <c r="K73" s="518"/>
      <c r="L73" s="518"/>
      <c r="M73" s="519"/>
      <c r="N73" s="2965"/>
      <c r="O73" s="2965"/>
      <c r="P73" s="2955"/>
      <c r="Q73" s="2956"/>
      <c r="R73" s="2957"/>
      <c r="S73" s="2957"/>
      <c r="T73" s="2957"/>
      <c r="U73" s="2957"/>
      <c r="V73" s="2957"/>
      <c r="W73" s="2957"/>
      <c r="X73" s="2957"/>
      <c r="Y73" s="2957"/>
      <c r="Z73" s="2957"/>
      <c r="AA73" s="2957"/>
      <c r="AB73" s="2957"/>
      <c r="AC73" s="2957"/>
    </row>
    <row r="74" spans="1:29" s="429" customFormat="1" ht="15.75" thickTop="1">
      <c r="A74" s="509"/>
      <c r="B74" s="502">
        <f>B14</f>
        <v>111</v>
      </c>
      <c r="C74" s="510"/>
      <c r="D74" s="510"/>
      <c r="E74" s="510"/>
      <c r="F74" s="510"/>
      <c r="G74" s="479"/>
      <c r="H74" s="520"/>
      <c r="I74" s="520"/>
      <c r="J74" s="520"/>
      <c r="K74" s="520"/>
      <c r="L74" s="521"/>
      <c r="M74" s="522"/>
      <c r="N74" s="2965"/>
      <c r="O74" s="2965"/>
      <c r="P74" s="2960"/>
      <c r="Q74" s="2956"/>
      <c r="R74" s="2957"/>
      <c r="S74" s="2957"/>
      <c r="T74" s="2957"/>
      <c r="U74" s="2957"/>
      <c r="V74" s="2957"/>
      <c r="W74" s="2957"/>
      <c r="X74" s="2957"/>
      <c r="Y74" s="2957"/>
      <c r="Z74" s="2957"/>
      <c r="AA74" s="2957"/>
      <c r="AB74" s="2957"/>
      <c r="AC74" s="2957"/>
    </row>
    <row r="75" spans="1:29" s="429" customFormat="1" ht="15.75" thickBot="1">
      <c r="A75" s="524"/>
      <c r="B75" s="525"/>
      <c r="C75" s="526"/>
      <c r="D75" s="526"/>
      <c r="E75" s="526"/>
      <c r="F75" s="526"/>
      <c r="G75" s="526"/>
      <c r="H75" s="527"/>
      <c r="I75" s="527"/>
      <c r="J75" s="527"/>
      <c r="K75" s="527"/>
      <c r="L75" s="527"/>
      <c r="M75" s="528"/>
      <c r="N75" s="2965"/>
      <c r="O75" s="2965"/>
      <c r="P75" s="2955"/>
      <c r="Q75" s="2956"/>
      <c r="R75" s="2957"/>
      <c r="S75" s="2957"/>
      <c r="T75" s="2957"/>
      <c r="U75" s="2957"/>
      <c r="V75" s="2957"/>
      <c r="W75" s="2957"/>
      <c r="X75" s="2957"/>
      <c r="Y75" s="2957"/>
      <c r="Z75" s="2957"/>
      <c r="AA75" s="2957"/>
      <c r="AB75" s="2957"/>
      <c r="AC75" s="2957"/>
    </row>
    <row r="76" spans="1:29">
      <c r="A76" s="483" t="s">
        <v>2374</v>
      </c>
      <c r="B76" s="484" t="s">
        <v>2411</v>
      </c>
      <c r="C76" s="529" t="s">
        <v>2412</v>
      </c>
      <c r="D76" s="529" t="s">
        <v>2413</v>
      </c>
      <c r="E76" s="529" t="s">
        <v>2414</v>
      </c>
      <c r="F76" s="529" t="s">
        <v>2415</v>
      </c>
      <c r="G76" s="529" t="s">
        <v>2416</v>
      </c>
      <c r="H76" s="485"/>
      <c r="I76" s="485"/>
      <c r="J76" s="485"/>
      <c r="K76" s="530"/>
      <c r="L76" s="531"/>
      <c r="M76" s="532"/>
      <c r="N76" s="2963"/>
      <c r="O76" s="2963"/>
      <c r="P76" s="2961"/>
      <c r="Q76" s="2949"/>
      <c r="R76" s="2935"/>
      <c r="S76" s="2935"/>
      <c r="T76" s="2935"/>
      <c r="U76" s="2935"/>
      <c r="V76" s="2935"/>
      <c r="W76" s="2935"/>
      <c r="X76" s="2935"/>
      <c r="Y76" s="2935"/>
      <c r="Z76" s="2935"/>
      <c r="AA76" s="2935"/>
      <c r="AB76" s="2935"/>
      <c r="AC76" s="2935"/>
    </row>
    <row r="77" spans="1:29" ht="15.75" thickBot="1">
      <c r="A77" s="490"/>
      <c r="B77" s="499"/>
      <c r="C77" s="500">
        <v>100</v>
      </c>
      <c r="D77" s="500">
        <f>C77-$K15</f>
        <v>100</v>
      </c>
      <c r="E77" s="500">
        <f>D77-$K15</f>
        <v>100</v>
      </c>
      <c r="F77" s="500">
        <f>E77-$K15</f>
        <v>100</v>
      </c>
      <c r="G77" s="500">
        <f>F77-$K15</f>
        <v>100</v>
      </c>
      <c r="H77" s="500"/>
      <c r="I77" s="500"/>
      <c r="J77" s="500"/>
      <c r="K77" s="500"/>
      <c r="L77" s="500"/>
      <c r="M77" s="501"/>
      <c r="N77" s="2964"/>
      <c r="O77" s="2964"/>
      <c r="P77" s="2954"/>
      <c r="Q77" s="2949"/>
      <c r="R77" s="2935"/>
      <c r="S77" s="2935"/>
      <c r="T77" s="2935"/>
      <c r="U77" s="2935"/>
      <c r="V77" s="2935"/>
      <c r="W77" s="2935"/>
      <c r="X77" s="2935"/>
      <c r="Y77" s="2935"/>
      <c r="Z77" s="2935"/>
      <c r="AA77" s="2935"/>
      <c r="AB77" s="2935"/>
      <c r="AC77" s="2935"/>
    </row>
    <row r="78" spans="1:29" ht="15.75" thickTop="1">
      <c r="A78" s="490"/>
      <c r="B78" s="494" t="s">
        <v>2417</v>
      </c>
      <c r="C78" s="534" t="s">
        <v>2412</v>
      </c>
      <c r="D78" s="534" t="s">
        <v>2413</v>
      </c>
      <c r="E78" s="534" t="s">
        <v>2414</v>
      </c>
      <c r="F78" s="534" t="s">
        <v>2415</v>
      </c>
      <c r="G78" s="534" t="s">
        <v>2416</v>
      </c>
      <c r="H78" s="495"/>
      <c r="I78" s="495"/>
      <c r="J78" s="495"/>
      <c r="K78" s="496"/>
      <c r="L78" s="497"/>
      <c r="M78" s="498"/>
      <c r="N78" s="2963"/>
      <c r="O78" s="2963"/>
      <c r="P78" s="2954"/>
      <c r="Q78" s="2949"/>
      <c r="R78" s="2935"/>
      <c r="S78" s="2935"/>
      <c r="T78" s="2935"/>
      <c r="U78" s="2935"/>
      <c r="V78" s="2935"/>
      <c r="W78" s="2935"/>
      <c r="X78" s="2935"/>
      <c r="Y78" s="2935"/>
      <c r="Z78" s="2935"/>
      <c r="AA78" s="2935"/>
      <c r="AB78" s="2935"/>
      <c r="AC78" s="2935"/>
    </row>
    <row r="79" spans="1:29" ht="15.75" thickBot="1">
      <c r="A79" s="490"/>
      <c r="B79" s="499"/>
      <c r="C79" s="500">
        <v>100</v>
      </c>
      <c r="D79" s="500">
        <f>C79-$K17</f>
        <v>100</v>
      </c>
      <c r="E79" s="500">
        <f>D79-$K17</f>
        <v>100</v>
      </c>
      <c r="F79" s="500">
        <f>E79-$K17</f>
        <v>100</v>
      </c>
      <c r="G79" s="500">
        <f>F79-$K17</f>
        <v>100</v>
      </c>
      <c r="H79" s="500"/>
      <c r="I79" s="500"/>
      <c r="J79" s="500"/>
      <c r="K79" s="500"/>
      <c r="L79" s="500"/>
      <c r="M79" s="501"/>
      <c r="N79" s="2964"/>
      <c r="O79" s="2964"/>
      <c r="P79" s="2954"/>
      <c r="Q79" s="2949"/>
      <c r="R79" s="2935"/>
      <c r="S79" s="2935"/>
      <c r="T79" s="2935"/>
      <c r="U79" s="2935"/>
      <c r="V79" s="2935"/>
      <c r="W79" s="2935"/>
      <c r="X79" s="2935"/>
      <c r="Y79" s="2935"/>
      <c r="Z79" s="2935"/>
      <c r="AA79" s="2935"/>
      <c r="AB79" s="2935"/>
      <c r="AC79" s="2935"/>
    </row>
    <row r="80" spans="1:29" ht="15.75" thickTop="1">
      <c r="A80" s="490"/>
      <c r="B80" s="494" t="s">
        <v>2418</v>
      </c>
      <c r="C80" s="534" t="s">
        <v>2412</v>
      </c>
      <c r="D80" s="534" t="s">
        <v>2413</v>
      </c>
      <c r="E80" s="534" t="s">
        <v>2414</v>
      </c>
      <c r="F80" s="534" t="s">
        <v>2415</v>
      </c>
      <c r="G80" s="534" t="s">
        <v>2416</v>
      </c>
      <c r="H80" s="495"/>
      <c r="I80" s="495"/>
      <c r="J80" s="495"/>
      <c r="K80" s="496"/>
      <c r="L80" s="497"/>
      <c r="M80" s="498"/>
      <c r="N80" s="2963"/>
      <c r="O80" s="2963"/>
      <c r="P80" s="2954"/>
      <c r="Q80" s="2949"/>
      <c r="R80" s="2935"/>
      <c r="S80" s="2935"/>
      <c r="T80" s="2935"/>
      <c r="U80" s="2935"/>
      <c r="V80" s="2935"/>
      <c r="W80" s="2935"/>
      <c r="X80" s="2935"/>
      <c r="Y80" s="2935"/>
      <c r="Z80" s="2935"/>
      <c r="AA80" s="2935"/>
      <c r="AB80" s="2935"/>
      <c r="AC80" s="2935"/>
    </row>
    <row r="81" spans="1:29" ht="15.75" thickBot="1">
      <c r="A81" s="490"/>
      <c r="B81" s="499"/>
      <c r="C81" s="500">
        <v>100</v>
      </c>
      <c r="D81" s="500">
        <f>C81-$K19</f>
        <v>100</v>
      </c>
      <c r="E81" s="500">
        <f>D81-$K19</f>
        <v>100</v>
      </c>
      <c r="F81" s="500">
        <f>E81-$K19</f>
        <v>100</v>
      </c>
      <c r="G81" s="500">
        <f>F81-$K19</f>
        <v>100</v>
      </c>
      <c r="H81" s="500"/>
      <c r="I81" s="500"/>
      <c r="J81" s="500"/>
      <c r="K81" s="500"/>
      <c r="L81" s="500"/>
      <c r="M81" s="501"/>
      <c r="N81" s="2964"/>
      <c r="O81" s="2964"/>
      <c r="P81" s="2954"/>
      <c r="Q81" s="2949"/>
      <c r="R81" s="2935"/>
      <c r="S81" s="2935"/>
      <c r="T81" s="2935"/>
      <c r="U81" s="2935"/>
      <c r="V81" s="2935"/>
      <c r="W81" s="2935"/>
      <c r="X81" s="2935"/>
      <c r="Y81" s="2935"/>
      <c r="Z81" s="2935"/>
      <c r="AA81" s="2935"/>
      <c r="AB81" s="2935"/>
      <c r="AC81" s="2935"/>
    </row>
    <row r="82" spans="1:29" ht="15.75" thickTop="1">
      <c r="A82" s="490"/>
      <c r="B82" s="502" t="s">
        <v>2470</v>
      </c>
      <c r="C82" s="615" t="s">
        <v>2490</v>
      </c>
      <c r="D82" s="615" t="s">
        <v>2491</v>
      </c>
      <c r="E82" s="615" t="s">
        <v>2492</v>
      </c>
      <c r="F82" s="615" t="s">
        <v>2493</v>
      </c>
      <c r="G82" s="615" t="s">
        <v>2494</v>
      </c>
      <c r="H82" s="495"/>
      <c r="I82" s="495"/>
      <c r="J82" s="495"/>
      <c r="K82" s="495"/>
      <c r="L82" s="495"/>
      <c r="M82" s="1282"/>
      <c r="N82" s="2964"/>
      <c r="O82" s="2964"/>
      <c r="P82" s="2954"/>
      <c r="Q82" s="2949"/>
      <c r="R82" s="2935"/>
      <c r="S82" s="2935"/>
      <c r="T82" s="2935"/>
      <c r="U82" s="2935"/>
      <c r="V82" s="2935"/>
      <c r="W82" s="2935"/>
      <c r="X82" s="2935"/>
      <c r="Y82" s="2935"/>
      <c r="Z82" s="2935"/>
      <c r="AA82" s="2935"/>
      <c r="AB82" s="2935"/>
      <c r="AC82" s="2935"/>
    </row>
    <row r="83" spans="1:29" ht="15.75" thickBot="1">
      <c r="A83" s="490"/>
      <c r="B83" s="502"/>
      <c r="C83" s="500">
        <v>100</v>
      </c>
      <c r="D83" s="500">
        <f>C83-$K21</f>
        <v>100</v>
      </c>
      <c r="E83" s="500">
        <f t="shared" ref="E83:G83" si="19">D83-$K21</f>
        <v>100</v>
      </c>
      <c r="F83" s="500">
        <f t="shared" si="19"/>
        <v>100</v>
      </c>
      <c r="G83" s="500">
        <f t="shared" si="19"/>
        <v>100</v>
      </c>
      <c r="H83" s="615"/>
      <c r="I83" s="615"/>
      <c r="J83" s="615"/>
      <c r="K83" s="615"/>
      <c r="L83" s="615"/>
      <c r="M83" s="408"/>
      <c r="N83" s="2964"/>
      <c r="O83" s="2964"/>
      <c r="P83" s="2954"/>
      <c r="Q83" s="2949"/>
      <c r="R83" s="2935"/>
      <c r="S83" s="2935"/>
      <c r="T83" s="2935"/>
      <c r="U83" s="2935"/>
      <c r="V83" s="2935"/>
      <c r="W83" s="2935"/>
      <c r="X83" s="2935"/>
      <c r="Y83" s="2935"/>
      <c r="Z83" s="2935"/>
      <c r="AA83" s="2935"/>
      <c r="AB83" s="2935"/>
      <c r="AC83" s="2935"/>
    </row>
    <row r="84" spans="1:29" ht="15.75" thickTop="1">
      <c r="A84" s="490"/>
      <c r="B84" s="494" t="s">
        <v>2424</v>
      </c>
      <c r="C84" s="534" t="s">
        <v>2412</v>
      </c>
      <c r="D84" s="534" t="s">
        <v>2413</v>
      </c>
      <c r="E84" s="534" t="s">
        <v>2414</v>
      </c>
      <c r="F84" s="534" t="s">
        <v>2415</v>
      </c>
      <c r="G84" s="534" t="s">
        <v>2416</v>
      </c>
      <c r="H84" s="495"/>
      <c r="I84" s="495"/>
      <c r="J84" s="495"/>
      <c r="K84" s="496"/>
      <c r="L84" s="497"/>
      <c r="M84" s="498"/>
      <c r="N84" s="2963"/>
      <c r="O84" s="2963"/>
      <c r="P84" s="2954"/>
      <c r="Q84" s="2949"/>
      <c r="R84" s="2935"/>
      <c r="S84" s="2935"/>
      <c r="T84" s="2935"/>
      <c r="U84" s="2935"/>
      <c r="V84" s="2935"/>
      <c r="W84" s="2935"/>
      <c r="X84" s="2935"/>
      <c r="Y84" s="2935"/>
      <c r="Z84" s="2935"/>
      <c r="AA84" s="2935"/>
      <c r="AB84" s="2935"/>
      <c r="AC84" s="2935"/>
    </row>
    <row r="85" spans="1:29" ht="15.75" thickBot="1">
      <c r="A85" s="490"/>
      <c r="B85" s="499"/>
      <c r="C85" s="500">
        <v>100</v>
      </c>
      <c r="D85" s="500">
        <f>C85-$K23</f>
        <v>100</v>
      </c>
      <c r="E85" s="500">
        <f>D85-$K23</f>
        <v>100</v>
      </c>
      <c r="F85" s="500">
        <f>E85-$K23</f>
        <v>100</v>
      </c>
      <c r="G85" s="500">
        <f>F85-$K23</f>
        <v>100</v>
      </c>
      <c r="H85" s="500"/>
      <c r="I85" s="500"/>
      <c r="J85" s="500"/>
      <c r="K85" s="500"/>
      <c r="L85" s="500"/>
      <c r="M85" s="501"/>
      <c r="N85" s="2964"/>
      <c r="O85" s="2964"/>
      <c r="P85" s="2954"/>
      <c r="Q85" s="2949"/>
      <c r="R85" s="2935"/>
      <c r="S85" s="2935"/>
      <c r="T85" s="2935"/>
      <c r="U85" s="2935"/>
      <c r="V85" s="2935"/>
      <c r="W85" s="2935"/>
      <c r="X85" s="2935"/>
      <c r="Y85" s="2935"/>
      <c r="Z85" s="2935"/>
      <c r="AA85" s="2935"/>
      <c r="AB85" s="2935"/>
      <c r="AC85" s="2935"/>
    </row>
    <row r="86" spans="1:29" s="113" customFormat="1" ht="15.75" thickTop="1">
      <c r="A86" s="535"/>
      <c r="B86" s="494" t="s">
        <v>2495</v>
      </c>
      <c r="C86" s="510"/>
      <c r="D86" s="510"/>
      <c r="E86" s="510"/>
      <c r="F86" s="510"/>
      <c r="G86" s="510"/>
      <c r="H86" s="510"/>
      <c r="I86" s="510"/>
      <c r="J86" s="510"/>
      <c r="K86" s="510"/>
      <c r="L86" s="536"/>
      <c r="M86" s="537"/>
      <c r="N86" s="2962"/>
      <c r="O86" s="2962"/>
      <c r="P86" s="2954"/>
      <c r="Q86" s="2949"/>
      <c r="R86" s="2870"/>
      <c r="S86" s="2870"/>
      <c r="T86" s="2870"/>
      <c r="U86" s="2870"/>
      <c r="V86" s="2870"/>
      <c r="W86" s="2870"/>
      <c r="X86" s="2870"/>
      <c r="Y86" s="2870"/>
      <c r="Z86" s="2870"/>
      <c r="AA86" s="2870"/>
      <c r="AB86" s="2870"/>
      <c r="AC86" s="2870"/>
    </row>
    <row r="87" spans="1:29" s="113" customFormat="1" ht="15.75" thickBot="1">
      <c r="A87" s="535"/>
      <c r="B87" s="499"/>
      <c r="C87" s="538">
        <v>100</v>
      </c>
      <c r="D87" s="500">
        <f t="shared" ref="D87:M87" si="20">C87-$K25</f>
        <v>100</v>
      </c>
      <c r="E87" s="500">
        <f t="shared" si="20"/>
        <v>100</v>
      </c>
      <c r="F87" s="500">
        <f t="shared" si="20"/>
        <v>100</v>
      </c>
      <c r="G87" s="500">
        <f t="shared" si="20"/>
        <v>100</v>
      </c>
      <c r="H87" s="500">
        <f t="shared" si="20"/>
        <v>100</v>
      </c>
      <c r="I87" s="500">
        <f t="shared" si="20"/>
        <v>100</v>
      </c>
      <c r="J87" s="500">
        <f t="shared" si="20"/>
        <v>100</v>
      </c>
      <c r="K87" s="500">
        <f t="shared" si="20"/>
        <v>100</v>
      </c>
      <c r="L87" s="500">
        <f t="shared" si="20"/>
        <v>100</v>
      </c>
      <c r="M87" s="500">
        <f t="shared" si="20"/>
        <v>100</v>
      </c>
      <c r="N87" s="2964"/>
      <c r="O87" s="2964"/>
      <c r="P87" s="2954"/>
      <c r="Q87" s="2949"/>
      <c r="R87" s="2870"/>
      <c r="S87" s="2870"/>
      <c r="T87" s="2870"/>
      <c r="U87" s="2870"/>
      <c r="V87" s="2870"/>
      <c r="W87" s="2870"/>
      <c r="X87" s="2870"/>
      <c r="Y87" s="2870"/>
      <c r="Z87" s="2870"/>
      <c r="AA87" s="2870"/>
      <c r="AB87" s="2870"/>
      <c r="AC87" s="2870"/>
    </row>
    <row r="88" spans="1:29" s="113" customFormat="1" ht="15.75" thickTop="1">
      <c r="A88" s="535"/>
      <c r="B88" s="494" t="str">
        <f>B26</f>
        <v>平面位置/可视性</v>
      </c>
      <c r="C88" s="510"/>
      <c r="D88" s="510"/>
      <c r="E88" s="510"/>
      <c r="F88" s="2100"/>
      <c r="G88" s="510"/>
      <c r="H88" s="510"/>
      <c r="I88" s="510"/>
      <c r="J88" s="510"/>
      <c r="K88" s="510"/>
      <c r="L88" s="510"/>
      <c r="M88" s="537"/>
      <c r="N88" s="2962"/>
      <c r="O88" s="2962"/>
      <c r="P88" s="2954"/>
      <c r="Q88" s="2949"/>
      <c r="R88" s="2870"/>
      <c r="S88" s="2870"/>
      <c r="T88" s="2870"/>
      <c r="U88" s="2870"/>
      <c r="V88" s="2870"/>
      <c r="W88" s="2870"/>
      <c r="X88" s="2870"/>
      <c r="Y88" s="2870"/>
      <c r="Z88" s="2870"/>
      <c r="AA88" s="2870"/>
      <c r="AB88" s="2870"/>
      <c r="AC88" s="2870"/>
    </row>
    <row r="89" spans="1:29" s="113" customFormat="1" ht="15.75" thickBot="1">
      <c r="A89" s="535"/>
      <c r="B89" s="499"/>
      <c r="C89" s="516"/>
      <c r="D89" s="492"/>
      <c r="E89" s="492"/>
      <c r="F89" s="492"/>
      <c r="G89" s="492"/>
      <c r="H89" s="492"/>
      <c r="I89" s="492"/>
      <c r="J89" s="492"/>
      <c r="K89" s="492"/>
      <c r="L89" s="492"/>
      <c r="M89" s="492"/>
      <c r="N89" s="2964"/>
      <c r="O89" s="2964"/>
      <c r="P89" s="2954"/>
      <c r="Q89" s="2949"/>
      <c r="R89" s="2870"/>
      <c r="S89" s="2870"/>
      <c r="T89" s="2870"/>
      <c r="U89" s="2870"/>
      <c r="V89" s="2870"/>
      <c r="W89" s="2870"/>
      <c r="X89" s="2870"/>
      <c r="Y89" s="2870"/>
      <c r="Z89" s="2870"/>
      <c r="AA89" s="2870"/>
      <c r="AB89" s="2870"/>
      <c r="AC89" s="2870"/>
    </row>
    <row r="90" spans="1:29" s="429" customFormat="1" ht="15.75" thickTop="1">
      <c r="A90" s="509"/>
      <c r="B90" s="494" t="str">
        <f>B27</f>
        <v>人流量</v>
      </c>
      <c r="C90" s="510"/>
      <c r="D90" s="510"/>
      <c r="E90" s="510"/>
      <c r="F90" s="510"/>
      <c r="G90" s="510"/>
      <c r="H90" s="511"/>
      <c r="I90" s="511"/>
      <c r="J90" s="511"/>
      <c r="K90" s="511"/>
      <c r="L90" s="512"/>
      <c r="M90" s="513"/>
      <c r="N90" s="2965"/>
      <c r="O90" s="2965"/>
      <c r="P90" s="2955"/>
      <c r="Q90" s="2956"/>
      <c r="R90" s="2957"/>
      <c r="S90" s="2957"/>
      <c r="T90" s="2957"/>
      <c r="U90" s="2957"/>
      <c r="V90" s="2957"/>
      <c r="W90" s="2957"/>
      <c r="X90" s="2957"/>
      <c r="Y90" s="2957"/>
      <c r="Z90" s="2957"/>
      <c r="AA90" s="2957"/>
      <c r="AB90" s="2957"/>
      <c r="AC90" s="2957"/>
    </row>
    <row r="91" spans="1:29" s="429" customFormat="1" ht="15.75" thickBot="1">
      <c r="A91" s="509"/>
      <c r="B91" s="499"/>
      <c r="C91" s="538">
        <v>100</v>
      </c>
      <c r="D91" s="500">
        <f>C91-$K27</f>
        <v>100</v>
      </c>
      <c r="E91" s="500">
        <f t="shared" ref="E91:M91" si="21">D91-$K27</f>
        <v>100</v>
      </c>
      <c r="F91" s="500">
        <f t="shared" si="21"/>
        <v>100</v>
      </c>
      <c r="G91" s="500">
        <f t="shared" si="21"/>
        <v>100</v>
      </c>
      <c r="H91" s="500">
        <f t="shared" si="21"/>
        <v>100</v>
      </c>
      <c r="I91" s="500">
        <f t="shared" si="21"/>
        <v>100</v>
      </c>
      <c r="J91" s="500">
        <f t="shared" si="21"/>
        <v>100</v>
      </c>
      <c r="K91" s="500">
        <f t="shared" si="21"/>
        <v>100</v>
      </c>
      <c r="L91" s="500">
        <f t="shared" si="21"/>
        <v>100</v>
      </c>
      <c r="M91" s="500">
        <f t="shared" si="21"/>
        <v>100</v>
      </c>
      <c r="N91" s="2965"/>
      <c r="O91" s="2965"/>
      <c r="P91" s="2955"/>
      <c r="Q91" s="2956"/>
      <c r="R91" s="2957"/>
      <c r="S91" s="2957"/>
      <c r="T91" s="2957"/>
      <c r="U91" s="2957"/>
      <c r="V91" s="2957"/>
      <c r="W91" s="2957"/>
      <c r="X91" s="2957"/>
      <c r="Y91" s="2957"/>
      <c r="Z91" s="2957"/>
      <c r="AA91" s="2957"/>
      <c r="AB91" s="2957"/>
      <c r="AC91" s="2957"/>
    </row>
    <row r="92" spans="1:29" ht="15.75" thickTop="1">
      <c r="A92" s="490"/>
      <c r="B92" s="494" t="str">
        <f>B28</f>
        <v>楼层</v>
      </c>
      <c r="C92" s="510"/>
      <c r="D92" s="510"/>
      <c r="E92" s="510"/>
      <c r="F92" s="510"/>
      <c r="G92" s="510"/>
      <c r="H92" s="510"/>
      <c r="I92" s="510"/>
      <c r="J92" s="510"/>
      <c r="K92" s="510"/>
      <c r="L92" s="536"/>
      <c r="M92" s="537"/>
      <c r="N92" s="2963"/>
      <c r="O92" s="2963"/>
      <c r="P92" s="2954"/>
      <c r="Q92" s="2949"/>
      <c r="R92" s="2935"/>
      <c r="S92" s="2935"/>
      <c r="T92" s="2935"/>
      <c r="U92" s="2935"/>
      <c r="V92" s="2935"/>
      <c r="W92" s="2935"/>
      <c r="X92" s="2935"/>
      <c r="Y92" s="2935"/>
      <c r="Z92" s="2935"/>
      <c r="AA92" s="2935"/>
      <c r="AB92" s="2935"/>
      <c r="AC92" s="2935"/>
    </row>
    <row r="93" spans="1:29" ht="15.75" thickBot="1">
      <c r="A93" s="490"/>
      <c r="B93" s="499"/>
      <c r="C93" s="492"/>
      <c r="D93" s="492"/>
      <c r="E93" s="492"/>
      <c r="F93" s="492"/>
      <c r="G93" s="492"/>
      <c r="H93" s="492"/>
      <c r="I93" s="492"/>
      <c r="J93" s="492"/>
      <c r="K93" s="492"/>
      <c r="L93" s="492"/>
      <c r="M93" s="493"/>
      <c r="N93" s="2964"/>
      <c r="O93" s="2964"/>
      <c r="P93" s="2954"/>
      <c r="Q93" s="2949"/>
      <c r="R93" s="2935"/>
      <c r="S93" s="2935"/>
      <c r="T93" s="2935"/>
      <c r="U93" s="2935"/>
      <c r="V93" s="2935"/>
      <c r="W93" s="2935"/>
      <c r="X93" s="2935"/>
      <c r="Y93" s="2935"/>
      <c r="Z93" s="2935"/>
      <c r="AA93" s="2935"/>
      <c r="AB93" s="2935"/>
      <c r="AC93" s="2935"/>
    </row>
    <row r="94" spans="1:29" ht="15.75" thickTop="1">
      <c r="A94" s="490"/>
      <c r="B94" s="494">
        <f>B29</f>
        <v>111</v>
      </c>
      <c r="C94" s="510"/>
      <c r="D94" s="510"/>
      <c r="E94" s="510"/>
      <c r="F94" s="510"/>
      <c r="G94" s="539"/>
      <c r="H94" s="539"/>
      <c r="I94" s="539"/>
      <c r="J94" s="539"/>
      <c r="K94" s="540"/>
      <c r="L94" s="541"/>
      <c r="M94" s="542"/>
      <c r="N94" s="2963"/>
      <c r="O94" s="2963"/>
      <c r="P94" s="2954"/>
      <c r="Q94" s="2949"/>
      <c r="R94" s="2935"/>
      <c r="S94" s="2935"/>
      <c r="T94" s="2935"/>
      <c r="U94" s="2935"/>
      <c r="V94" s="2935"/>
      <c r="W94" s="2935"/>
      <c r="X94" s="2935"/>
      <c r="Y94" s="2935"/>
      <c r="Z94" s="2935"/>
      <c r="AA94" s="2935"/>
      <c r="AB94" s="2935"/>
      <c r="AC94" s="2935"/>
    </row>
    <row r="95" spans="1:29" ht="15.75" thickBot="1">
      <c r="A95" s="490"/>
      <c r="B95" s="499"/>
      <c r="C95" s="516"/>
      <c r="D95" s="492"/>
      <c r="E95" s="492"/>
      <c r="F95" s="492"/>
      <c r="G95" s="492"/>
      <c r="H95" s="492"/>
      <c r="I95" s="492"/>
      <c r="J95" s="492"/>
      <c r="K95" s="492"/>
      <c r="L95" s="492"/>
      <c r="M95" s="493"/>
      <c r="N95" s="2964"/>
      <c r="O95" s="2964"/>
      <c r="P95" s="2954"/>
      <c r="Q95" s="2949"/>
      <c r="R95" s="2935"/>
      <c r="S95" s="2935"/>
      <c r="T95" s="2935"/>
      <c r="U95" s="2935"/>
      <c r="V95" s="2935"/>
      <c r="W95" s="2935"/>
      <c r="X95" s="2935"/>
      <c r="Y95" s="2935"/>
      <c r="Z95" s="2935"/>
      <c r="AA95" s="2935"/>
      <c r="AB95" s="2935"/>
      <c r="AC95" s="2935"/>
    </row>
    <row r="96" spans="1:29" ht="15.75" thickTop="1">
      <c r="A96" s="490"/>
      <c r="B96" s="494">
        <f>B30</f>
        <v>111</v>
      </c>
      <c r="C96" s="510"/>
      <c r="D96" s="510"/>
      <c r="E96" s="510"/>
      <c r="F96" s="510"/>
      <c r="G96" s="539"/>
      <c r="H96" s="539"/>
      <c r="I96" s="539"/>
      <c r="J96" s="539"/>
      <c r="K96" s="540"/>
      <c r="L96" s="541"/>
      <c r="M96" s="542"/>
      <c r="N96" s="2963"/>
      <c r="O96" s="2963"/>
      <c r="P96" s="2954"/>
      <c r="Q96" s="2949"/>
      <c r="R96" s="2935"/>
      <c r="S96" s="2935"/>
      <c r="T96" s="2935"/>
      <c r="U96" s="2935"/>
      <c r="V96" s="2935"/>
      <c r="W96" s="2935"/>
      <c r="X96" s="2935"/>
      <c r="Y96" s="2935"/>
      <c r="Z96" s="2935"/>
      <c r="AA96" s="2935"/>
      <c r="AB96" s="2935"/>
      <c r="AC96" s="2935"/>
    </row>
    <row r="97" spans="1:29" ht="15.75" thickBot="1">
      <c r="A97" s="490"/>
      <c r="B97" s="499"/>
      <c r="C97" s="516"/>
      <c r="D97" s="492"/>
      <c r="E97" s="492"/>
      <c r="F97" s="492"/>
      <c r="G97" s="492"/>
      <c r="H97" s="492"/>
      <c r="I97" s="492"/>
      <c r="J97" s="492"/>
      <c r="K97" s="492"/>
      <c r="L97" s="492"/>
      <c r="M97" s="493"/>
      <c r="N97" s="2964"/>
      <c r="O97" s="2964"/>
      <c r="P97" s="2954"/>
      <c r="Q97" s="2949"/>
      <c r="R97" s="2935"/>
      <c r="S97" s="2935"/>
      <c r="T97" s="2935"/>
      <c r="U97" s="2935"/>
      <c r="V97" s="2935"/>
      <c r="W97" s="2935"/>
      <c r="X97" s="2935"/>
      <c r="Y97" s="2935"/>
      <c r="Z97" s="2935"/>
      <c r="AA97" s="2935"/>
      <c r="AB97" s="2935"/>
      <c r="AC97" s="2935"/>
    </row>
    <row r="98" spans="1:29" ht="15.75" thickTop="1">
      <c r="A98" s="490"/>
      <c r="B98" s="502">
        <f>B31</f>
        <v>111</v>
      </c>
      <c r="C98" s="510"/>
      <c r="D98" s="510"/>
      <c r="E98" s="510"/>
      <c r="F98" s="510"/>
      <c r="G98" s="543"/>
      <c r="H98" s="543"/>
      <c r="I98" s="543"/>
      <c r="J98" s="543"/>
      <c r="K98" s="544"/>
      <c r="L98" s="545"/>
      <c r="M98" s="546"/>
      <c r="N98" s="2963"/>
      <c r="O98" s="2963"/>
      <c r="P98" s="2954"/>
      <c r="Q98" s="2949"/>
      <c r="R98" s="2935"/>
      <c r="S98" s="2935"/>
      <c r="T98" s="2935"/>
      <c r="U98" s="2935"/>
      <c r="V98" s="2935"/>
      <c r="W98" s="2935"/>
      <c r="X98" s="2935"/>
      <c r="Y98" s="2935"/>
      <c r="Z98" s="2935"/>
      <c r="AA98" s="2935"/>
      <c r="AB98" s="2935"/>
      <c r="AC98" s="2935"/>
    </row>
    <row r="99" spans="1:29" ht="15.75" thickBot="1">
      <c r="A99" s="2101"/>
      <c r="B99" s="525"/>
      <c r="C99" s="526"/>
      <c r="D99" s="526"/>
      <c r="E99" s="526"/>
      <c r="F99" s="526"/>
      <c r="G99" s="547"/>
      <c r="H99" s="547"/>
      <c r="I99" s="547"/>
      <c r="J99" s="547"/>
      <c r="K99" s="547"/>
      <c r="L99" s="547"/>
      <c r="M99" s="548"/>
      <c r="N99" s="2964"/>
      <c r="O99" s="2964"/>
      <c r="P99" s="2954"/>
      <c r="Q99" s="2949"/>
      <c r="R99" s="2935"/>
      <c r="S99" s="2935"/>
      <c r="T99" s="2935"/>
      <c r="U99" s="2935"/>
      <c r="V99" s="2935"/>
      <c r="W99" s="2935"/>
      <c r="X99" s="2935"/>
      <c r="Y99" s="2935"/>
      <c r="Z99" s="2935"/>
      <c r="AA99" s="2935"/>
      <c r="AB99" s="2935"/>
      <c r="AC99" s="2935"/>
    </row>
    <row r="100" spans="1:29">
      <c r="A100" s="483" t="s">
        <v>2378</v>
      </c>
      <c r="B100" s="484" t="s">
        <v>2496</v>
      </c>
      <c r="C100" s="486"/>
      <c r="D100" s="486"/>
      <c r="E100" s="486"/>
      <c r="F100" s="486"/>
      <c r="G100" s="486"/>
      <c r="H100" s="486"/>
      <c r="I100" s="486"/>
      <c r="J100" s="486"/>
      <c r="K100" s="487"/>
      <c r="L100" s="488"/>
      <c r="M100" s="489"/>
      <c r="N100" s="2963"/>
      <c r="O100" s="2963"/>
      <c r="P100" s="2954"/>
      <c r="Q100" s="2949"/>
      <c r="R100" s="2935"/>
      <c r="S100" s="2935"/>
      <c r="T100" s="2935"/>
      <c r="U100" s="2935"/>
      <c r="V100" s="2935"/>
      <c r="W100" s="2935"/>
      <c r="X100" s="2935"/>
      <c r="Y100" s="2935"/>
      <c r="Z100" s="2935"/>
      <c r="AA100" s="2935"/>
      <c r="AB100" s="2935"/>
      <c r="AC100" s="2935"/>
    </row>
    <row r="101" spans="1:29" ht="15.75" thickBot="1">
      <c r="A101" s="490"/>
      <c r="B101" s="499"/>
      <c r="C101" s="500">
        <v>100</v>
      </c>
      <c r="D101" s="500">
        <f t="shared" ref="D101:M101" si="22">C101-$K32</f>
        <v>100</v>
      </c>
      <c r="E101" s="500">
        <f t="shared" si="22"/>
        <v>100</v>
      </c>
      <c r="F101" s="500">
        <f t="shared" si="22"/>
        <v>100</v>
      </c>
      <c r="G101" s="500">
        <f t="shared" si="22"/>
        <v>100</v>
      </c>
      <c r="H101" s="500">
        <f t="shared" si="22"/>
        <v>100</v>
      </c>
      <c r="I101" s="500">
        <f t="shared" si="22"/>
        <v>100</v>
      </c>
      <c r="J101" s="500">
        <f t="shared" si="22"/>
        <v>100</v>
      </c>
      <c r="K101" s="500">
        <f t="shared" si="22"/>
        <v>100</v>
      </c>
      <c r="L101" s="500">
        <f t="shared" si="22"/>
        <v>100</v>
      </c>
      <c r="M101" s="501">
        <f t="shared" si="22"/>
        <v>100</v>
      </c>
      <c r="N101" s="2964"/>
      <c r="O101" s="2964"/>
      <c r="P101" s="2954"/>
      <c r="Q101" s="2949"/>
      <c r="R101" s="2935"/>
      <c r="S101" s="2935"/>
      <c r="T101" s="2935"/>
      <c r="U101" s="2935"/>
      <c r="V101" s="2935"/>
      <c r="W101" s="2935"/>
      <c r="X101" s="2935"/>
      <c r="Y101" s="2935"/>
      <c r="Z101" s="2935"/>
      <c r="AA101" s="2935"/>
      <c r="AB101" s="2935"/>
      <c r="AC101" s="2935"/>
    </row>
    <row r="102" spans="1:29" ht="15.75" thickTop="1">
      <c r="A102" s="490"/>
      <c r="B102" s="494" t="s">
        <v>2428</v>
      </c>
      <c r="C102" s="534" t="str">
        <f>C103&amp;"(含)"&amp;"-"&amp;D103</f>
        <v>(含)-</v>
      </c>
      <c r="D102" s="534" t="str">
        <f t="shared" ref="D102:L102" si="23">D103&amp;"(含)"&amp;"-"&amp;E103</f>
        <v>(含)-</v>
      </c>
      <c r="E102" s="534" t="str">
        <f t="shared" si="23"/>
        <v>(含)-</v>
      </c>
      <c r="F102" s="534" t="str">
        <f t="shared" si="23"/>
        <v>(含)-</v>
      </c>
      <c r="G102" s="534" t="str">
        <f t="shared" si="23"/>
        <v>(含)-</v>
      </c>
      <c r="H102" s="534" t="str">
        <f t="shared" si="23"/>
        <v>(含)-</v>
      </c>
      <c r="I102" s="534" t="str">
        <f t="shared" si="23"/>
        <v>(含)-</v>
      </c>
      <c r="J102" s="534" t="str">
        <f t="shared" si="23"/>
        <v>(含)-</v>
      </c>
      <c r="K102" s="534" t="str">
        <f t="shared" si="23"/>
        <v>(含)-</v>
      </c>
      <c r="L102" s="534" t="str">
        <f t="shared" si="23"/>
        <v>(含)-</v>
      </c>
      <c r="M102" s="577" t="str">
        <f>M103&amp;"(含)"&amp;"-"&amp;P103</f>
        <v>(含)-</v>
      </c>
      <c r="N102" s="2962"/>
      <c r="O102" s="2962"/>
      <c r="P102" s="2954"/>
      <c r="Q102" s="2949"/>
      <c r="R102" s="2935"/>
      <c r="S102" s="2935"/>
      <c r="T102" s="2935"/>
      <c r="U102" s="2935"/>
      <c r="V102" s="2935"/>
      <c r="W102" s="2935"/>
      <c r="X102" s="2935"/>
      <c r="Y102" s="2935"/>
      <c r="Z102" s="2935"/>
      <c r="AA102" s="2935"/>
      <c r="AB102" s="2935"/>
      <c r="AC102" s="2935"/>
    </row>
    <row r="103" spans="1:29" s="429" customFormat="1">
      <c r="A103" s="549"/>
      <c r="B103" s="550"/>
      <c r="C103" s="551"/>
      <c r="D103" s="551"/>
      <c r="E103" s="551"/>
      <c r="F103" s="551"/>
      <c r="G103" s="551"/>
      <c r="H103" s="551"/>
      <c r="I103" s="551"/>
      <c r="J103" s="552"/>
      <c r="K103" s="552"/>
      <c r="L103" s="553"/>
      <c r="M103" s="554"/>
      <c r="N103" s="2965"/>
      <c r="O103" s="2965"/>
      <c r="P103" s="2955"/>
      <c r="Q103" s="2956"/>
      <c r="R103" s="2957"/>
      <c r="S103" s="2957"/>
      <c r="T103" s="2957"/>
      <c r="U103" s="2957"/>
      <c r="V103" s="2957"/>
      <c r="W103" s="2957"/>
      <c r="X103" s="2957"/>
      <c r="Y103" s="2957"/>
      <c r="Z103" s="2957"/>
      <c r="AA103" s="2957"/>
      <c r="AB103" s="2957"/>
      <c r="AC103" s="2957"/>
    </row>
    <row r="104" spans="1:29" s="429" customFormat="1" ht="15.75" thickBot="1">
      <c r="A104" s="509"/>
      <c r="B104" s="499"/>
      <c r="C104" s="516"/>
      <c r="D104" s="492"/>
      <c r="E104" s="492"/>
      <c r="F104" s="492"/>
      <c r="G104" s="492"/>
      <c r="H104" s="492"/>
      <c r="I104" s="492"/>
      <c r="J104" s="492"/>
      <c r="K104" s="492"/>
      <c r="L104" s="492"/>
      <c r="M104" s="493"/>
      <c r="N104" s="2964"/>
      <c r="O104" s="2964"/>
      <c r="P104" s="2955"/>
      <c r="Q104" s="2956"/>
      <c r="R104" s="2957"/>
      <c r="S104" s="2957"/>
      <c r="T104" s="2957"/>
      <c r="U104" s="2957"/>
      <c r="V104" s="2957"/>
      <c r="W104" s="2957"/>
      <c r="X104" s="2957"/>
      <c r="Y104" s="2957"/>
      <c r="Z104" s="2957"/>
      <c r="AA104" s="2957"/>
      <c r="AB104" s="2957"/>
      <c r="AC104" s="2957"/>
    </row>
    <row r="105" spans="1:29" ht="15" thickTop="1">
      <c r="A105" s="555"/>
      <c r="B105" s="494" t="s">
        <v>2429</v>
      </c>
      <c r="C105" s="510"/>
      <c r="D105" s="510"/>
      <c r="E105" s="539"/>
      <c r="F105" s="539"/>
      <c r="G105" s="539"/>
      <c r="H105" s="539"/>
      <c r="I105" s="539"/>
      <c r="J105" s="539"/>
      <c r="K105" s="540"/>
      <c r="L105" s="541"/>
      <c r="M105" s="542"/>
      <c r="N105" s="2963"/>
      <c r="O105" s="2963"/>
      <c r="P105" s="2954"/>
      <c r="Q105" s="2949"/>
      <c r="R105" s="2935"/>
      <c r="S105" s="2935"/>
      <c r="T105" s="2935"/>
      <c r="U105" s="2935"/>
      <c r="V105" s="2935"/>
      <c r="W105" s="2935"/>
      <c r="X105" s="2935"/>
      <c r="Y105" s="2935"/>
      <c r="Z105" s="2935"/>
      <c r="AA105" s="2935"/>
      <c r="AB105" s="2935"/>
      <c r="AC105" s="2935"/>
    </row>
    <row r="106" spans="1:29" ht="15.75" thickBot="1">
      <c r="A106" s="490"/>
      <c r="B106" s="499"/>
      <c r="C106" s="500">
        <v>100</v>
      </c>
      <c r="D106" s="500">
        <f t="shared" ref="D106:M106" si="24">C106-$K34</f>
        <v>100</v>
      </c>
      <c r="E106" s="500">
        <f t="shared" si="24"/>
        <v>100</v>
      </c>
      <c r="F106" s="500">
        <f t="shared" si="24"/>
        <v>100</v>
      </c>
      <c r="G106" s="500">
        <f t="shared" si="24"/>
        <v>100</v>
      </c>
      <c r="H106" s="500">
        <f t="shared" si="24"/>
        <v>100</v>
      </c>
      <c r="I106" s="500">
        <f t="shared" si="24"/>
        <v>100</v>
      </c>
      <c r="J106" s="500">
        <f t="shared" si="24"/>
        <v>100</v>
      </c>
      <c r="K106" s="500">
        <f t="shared" si="24"/>
        <v>100</v>
      </c>
      <c r="L106" s="500">
        <f t="shared" si="24"/>
        <v>100</v>
      </c>
      <c r="M106" s="501">
        <f t="shared" si="24"/>
        <v>100</v>
      </c>
      <c r="N106" s="2964"/>
      <c r="O106" s="2964"/>
      <c r="P106" s="2954"/>
      <c r="Q106" s="2949"/>
      <c r="R106" s="2935"/>
      <c r="S106" s="2935"/>
      <c r="T106" s="2935"/>
      <c r="U106" s="2935"/>
      <c r="V106" s="2935"/>
      <c r="W106" s="2935"/>
      <c r="X106" s="2935"/>
      <c r="Y106" s="2935"/>
      <c r="Z106" s="2935"/>
      <c r="AA106" s="2935"/>
      <c r="AB106" s="2935"/>
      <c r="AC106" s="2935"/>
    </row>
    <row r="107" spans="1:29" ht="15" thickTop="1">
      <c r="A107" s="555"/>
      <c r="B107" s="494" t="s">
        <v>2431</v>
      </c>
      <c r="C107" s="510"/>
      <c r="D107" s="510"/>
      <c r="E107" s="510"/>
      <c r="F107" s="539"/>
      <c r="G107" s="539"/>
      <c r="H107" s="539"/>
      <c r="I107" s="539"/>
      <c r="J107" s="539"/>
      <c r="K107" s="540"/>
      <c r="L107" s="541"/>
      <c r="M107" s="542"/>
      <c r="N107" s="2963"/>
      <c r="O107" s="2963"/>
      <c r="P107" s="2954"/>
      <c r="Q107" s="2949"/>
      <c r="R107" s="2935"/>
      <c r="S107" s="2935"/>
      <c r="T107" s="2935"/>
      <c r="U107" s="2935"/>
      <c r="V107" s="2935"/>
      <c r="W107" s="2935"/>
      <c r="X107" s="2935"/>
      <c r="Y107" s="2935"/>
      <c r="Z107" s="2935"/>
      <c r="AA107" s="2935"/>
      <c r="AB107" s="2935"/>
      <c r="AC107" s="2935"/>
    </row>
    <row r="108" spans="1:29" ht="15.75" thickBot="1">
      <c r="A108" s="490"/>
      <c r="B108" s="499"/>
      <c r="C108" s="500">
        <v>100</v>
      </c>
      <c r="D108" s="500">
        <f t="shared" ref="D108:M108" si="25">C108-$K35</f>
        <v>100</v>
      </c>
      <c r="E108" s="500">
        <f t="shared" si="25"/>
        <v>100</v>
      </c>
      <c r="F108" s="500">
        <f t="shared" si="25"/>
        <v>100</v>
      </c>
      <c r="G108" s="500">
        <f t="shared" si="25"/>
        <v>100</v>
      </c>
      <c r="H108" s="500">
        <f t="shared" si="25"/>
        <v>100</v>
      </c>
      <c r="I108" s="500">
        <f t="shared" si="25"/>
        <v>100</v>
      </c>
      <c r="J108" s="500">
        <f t="shared" si="25"/>
        <v>100</v>
      </c>
      <c r="K108" s="500">
        <f t="shared" si="25"/>
        <v>100</v>
      </c>
      <c r="L108" s="500">
        <f t="shared" si="25"/>
        <v>100</v>
      </c>
      <c r="M108" s="501">
        <f t="shared" si="25"/>
        <v>100</v>
      </c>
      <c r="N108" s="2964"/>
      <c r="O108" s="2964"/>
      <c r="P108" s="2954"/>
      <c r="Q108" s="2949"/>
      <c r="R108" s="2935"/>
      <c r="S108" s="2935"/>
      <c r="T108" s="2935"/>
      <c r="U108" s="2935"/>
      <c r="V108" s="2935"/>
      <c r="W108" s="2935"/>
      <c r="X108" s="2935"/>
      <c r="Y108" s="2935"/>
      <c r="Z108" s="2935"/>
      <c r="AA108" s="2935"/>
      <c r="AB108" s="2935"/>
      <c r="AC108" s="2935"/>
    </row>
    <row r="109" spans="1:29" ht="15" thickTop="1">
      <c r="A109" s="555"/>
      <c r="B109" s="494" t="s">
        <v>1874</v>
      </c>
      <c r="C109" s="534" t="str">
        <f>C110&amp;"(含)"&amp;"-"&amp;D110</f>
        <v>0.5(含)-0.6</v>
      </c>
      <c r="D109" s="534" t="str">
        <f>D110&amp;"(含)"&amp;"-"&amp;E110</f>
        <v>0.6(含)-0.7</v>
      </c>
      <c r="E109" s="534" t="str">
        <f>E110&amp;"(含)"&amp;"-"&amp;F110</f>
        <v>0.7(含)-0.8</v>
      </c>
      <c r="F109" s="534" t="str">
        <f>F110&amp;"(含)"&amp;"-"&amp;G110</f>
        <v>0.8(含)-0.9</v>
      </c>
      <c r="G109" s="534" t="str">
        <f>G110&amp;"(含)"&amp;"-"&amp;ROUND(H110,0)&amp;"(含)"</f>
        <v>0.9(含)-1(含)</v>
      </c>
      <c r="H109" s="534"/>
      <c r="I109" s="539"/>
      <c r="J109" s="539"/>
      <c r="K109" s="540"/>
      <c r="L109" s="541"/>
      <c r="M109" s="542"/>
      <c r="N109" s="2963"/>
      <c r="O109" s="2963"/>
      <c r="P109" s="2954"/>
      <c r="Q109" s="2949"/>
      <c r="R109" s="2935"/>
      <c r="S109" s="2935"/>
      <c r="T109" s="2935"/>
      <c r="U109" s="2935"/>
      <c r="V109" s="2935"/>
      <c r="W109" s="2935"/>
      <c r="X109" s="2935"/>
      <c r="Y109" s="2935"/>
      <c r="Z109" s="2935"/>
      <c r="AA109" s="2935"/>
      <c r="AB109" s="2935"/>
      <c r="AC109" s="2935"/>
    </row>
    <row r="110" spans="1:29">
      <c r="A110" s="555"/>
      <c r="B110" s="502"/>
      <c r="C110" s="559">
        <v>0.5</v>
      </c>
      <c r="D110" s="559">
        <v>0.6</v>
      </c>
      <c r="E110" s="559">
        <v>0.7</v>
      </c>
      <c r="F110" s="559">
        <v>0.8</v>
      </c>
      <c r="G110" s="559">
        <v>0.9</v>
      </c>
      <c r="H110" s="559">
        <v>1.0001</v>
      </c>
      <c r="I110" s="578"/>
      <c r="J110" s="578"/>
      <c r="K110" s="579"/>
      <c r="L110" s="580"/>
      <c r="M110" s="581"/>
      <c r="N110" s="2963"/>
      <c r="O110" s="2963"/>
      <c r="P110" s="2954"/>
      <c r="Q110" s="2949"/>
      <c r="R110" s="2935"/>
      <c r="S110" s="2935"/>
      <c r="T110" s="2935"/>
      <c r="U110" s="2935"/>
      <c r="V110" s="2935"/>
      <c r="W110" s="2935"/>
      <c r="X110" s="2935"/>
      <c r="Y110" s="2935"/>
      <c r="Z110" s="2935"/>
      <c r="AA110" s="2935"/>
      <c r="AB110" s="2935"/>
      <c r="AC110" s="2935"/>
    </row>
    <row r="111" spans="1:29" ht="15.75" thickBot="1">
      <c r="A111" s="490"/>
      <c r="B111" s="499"/>
      <c r="C111" s="538">
        <v>100</v>
      </c>
      <c r="D111" s="500">
        <f>C111+$K36</f>
        <v>100</v>
      </c>
      <c r="E111" s="500">
        <f t="shared" ref="E111:M111" si="26">D111+$K36</f>
        <v>100</v>
      </c>
      <c r="F111" s="500">
        <f t="shared" si="26"/>
        <v>100</v>
      </c>
      <c r="G111" s="500">
        <f t="shared" si="26"/>
        <v>100</v>
      </c>
      <c r="H111" s="500">
        <f t="shared" si="26"/>
        <v>100</v>
      </c>
      <c r="I111" s="500">
        <f t="shared" si="26"/>
        <v>100</v>
      </c>
      <c r="J111" s="500">
        <f t="shared" si="26"/>
        <v>100</v>
      </c>
      <c r="K111" s="500">
        <f t="shared" si="26"/>
        <v>100</v>
      </c>
      <c r="L111" s="500">
        <f t="shared" si="26"/>
        <v>100</v>
      </c>
      <c r="M111" s="500">
        <f t="shared" si="26"/>
        <v>100</v>
      </c>
      <c r="N111" s="2964"/>
      <c r="O111" s="2964"/>
      <c r="P111" s="2954"/>
      <c r="Q111" s="2949"/>
      <c r="R111" s="2935"/>
      <c r="S111" s="2935"/>
      <c r="T111" s="2935"/>
      <c r="U111" s="2935"/>
      <c r="V111" s="2935"/>
      <c r="W111" s="2935"/>
      <c r="X111" s="2935"/>
      <c r="Y111" s="2935"/>
      <c r="Z111" s="2935"/>
      <c r="AA111" s="2935"/>
      <c r="AB111" s="2935"/>
      <c r="AC111" s="2935"/>
    </row>
    <row r="112" spans="1:29" s="429" customFormat="1" ht="15" thickTop="1">
      <c r="A112" s="549"/>
      <c r="B112" s="494" t="s">
        <v>2433</v>
      </c>
      <c r="C112" s="510"/>
      <c r="D112" s="510"/>
      <c r="E112" s="510"/>
      <c r="F112" s="510"/>
      <c r="G112" s="510"/>
      <c r="H112" s="539"/>
      <c r="I112" s="539"/>
      <c r="J112" s="539"/>
      <c r="K112" s="540"/>
      <c r="L112" s="541"/>
      <c r="M112" s="542"/>
      <c r="N112" s="2965"/>
      <c r="O112" s="2965"/>
      <c r="P112" s="2955"/>
      <c r="Q112" s="2956"/>
      <c r="R112" s="2957"/>
      <c r="S112" s="2957"/>
      <c r="T112" s="2957"/>
      <c r="U112" s="2957"/>
      <c r="V112" s="2957"/>
      <c r="W112" s="2957"/>
      <c r="X112" s="2957"/>
      <c r="Y112" s="2957"/>
      <c r="Z112" s="2957"/>
      <c r="AA112" s="2957"/>
      <c r="AB112" s="2957"/>
      <c r="AC112" s="2957"/>
    </row>
    <row r="113" spans="1:29" s="429" customFormat="1" ht="15.75" thickBot="1">
      <c r="A113" s="509"/>
      <c r="B113" s="499"/>
      <c r="C113" s="500">
        <v>100</v>
      </c>
      <c r="D113" s="500">
        <f>C113-$K37</f>
        <v>100</v>
      </c>
      <c r="E113" s="500">
        <f t="shared" ref="E113:M113" si="27">D113-$K37</f>
        <v>100</v>
      </c>
      <c r="F113" s="500">
        <f t="shared" si="27"/>
        <v>100</v>
      </c>
      <c r="G113" s="500">
        <f t="shared" si="27"/>
        <v>100</v>
      </c>
      <c r="H113" s="500">
        <f t="shared" si="27"/>
        <v>100</v>
      </c>
      <c r="I113" s="500">
        <f t="shared" si="27"/>
        <v>100</v>
      </c>
      <c r="J113" s="500">
        <f t="shared" si="27"/>
        <v>100</v>
      </c>
      <c r="K113" s="500">
        <f t="shared" si="27"/>
        <v>100</v>
      </c>
      <c r="L113" s="500">
        <f t="shared" si="27"/>
        <v>100</v>
      </c>
      <c r="M113" s="500">
        <f t="shared" si="27"/>
        <v>100</v>
      </c>
      <c r="N113" s="2965"/>
      <c r="O113" s="2965"/>
      <c r="P113" s="2955"/>
      <c r="Q113" s="2956"/>
      <c r="R113" s="2957"/>
      <c r="S113" s="2957"/>
      <c r="T113" s="2957"/>
      <c r="U113" s="2957"/>
      <c r="V113" s="2957"/>
      <c r="W113" s="2957"/>
      <c r="X113" s="2957"/>
      <c r="Y113" s="2957"/>
      <c r="Z113" s="2957"/>
      <c r="AA113" s="2957"/>
      <c r="AB113" s="2957"/>
      <c r="AC113" s="2957"/>
    </row>
    <row r="114" spans="1:29" ht="15" thickTop="1">
      <c r="A114" s="555"/>
      <c r="B114" s="494" t="s">
        <v>2497</v>
      </c>
      <c r="C114" s="510"/>
      <c r="D114" s="510"/>
      <c r="E114" s="539"/>
      <c r="F114" s="539"/>
      <c r="G114" s="539"/>
      <c r="H114" s="539"/>
      <c r="I114" s="539"/>
      <c r="J114" s="539"/>
      <c r="K114" s="540"/>
      <c r="L114" s="541"/>
      <c r="M114" s="542"/>
      <c r="N114" s="2963"/>
      <c r="O114" s="2963"/>
      <c r="P114" s="2954"/>
      <c r="Q114" s="2949"/>
      <c r="R114" s="2935"/>
      <c r="S114" s="2935"/>
      <c r="T114" s="2935"/>
      <c r="U114" s="2935"/>
      <c r="V114" s="2935"/>
      <c r="W114" s="2935"/>
      <c r="X114" s="2935"/>
      <c r="Y114" s="2935"/>
      <c r="Z114" s="2935"/>
      <c r="AA114" s="2935"/>
      <c r="AB114" s="2935"/>
      <c r="AC114" s="2935"/>
    </row>
    <row r="115" spans="1:29" ht="15.75" thickBot="1">
      <c r="A115" s="490"/>
      <c r="B115" s="499"/>
      <c r="C115" s="500">
        <v>100</v>
      </c>
      <c r="D115" s="500">
        <f t="shared" ref="D115:M115" si="28">C115-$K38</f>
        <v>100</v>
      </c>
      <c r="E115" s="500">
        <f t="shared" si="28"/>
        <v>100</v>
      </c>
      <c r="F115" s="500">
        <f t="shared" si="28"/>
        <v>100</v>
      </c>
      <c r="G115" s="500">
        <f t="shared" si="28"/>
        <v>100</v>
      </c>
      <c r="H115" s="500">
        <f t="shared" si="28"/>
        <v>100</v>
      </c>
      <c r="I115" s="500">
        <f t="shared" si="28"/>
        <v>100</v>
      </c>
      <c r="J115" s="500">
        <f t="shared" si="28"/>
        <v>100</v>
      </c>
      <c r="K115" s="500">
        <f t="shared" si="28"/>
        <v>100</v>
      </c>
      <c r="L115" s="500">
        <f t="shared" si="28"/>
        <v>100</v>
      </c>
      <c r="M115" s="501">
        <f t="shared" si="28"/>
        <v>100</v>
      </c>
      <c r="N115" s="2964"/>
      <c r="O115" s="2964"/>
      <c r="P115" s="2954"/>
      <c r="Q115" s="2949"/>
      <c r="R115" s="2935"/>
      <c r="S115" s="2935"/>
      <c r="T115" s="2935"/>
      <c r="U115" s="2935"/>
      <c r="V115" s="2935"/>
      <c r="W115" s="2935"/>
      <c r="X115" s="2935"/>
      <c r="Y115" s="2935"/>
      <c r="Z115" s="2935"/>
      <c r="AA115" s="2935"/>
      <c r="AB115" s="2935"/>
      <c r="AC115" s="2935"/>
    </row>
    <row r="116" spans="1:29" ht="15" thickTop="1">
      <c r="A116" s="555"/>
      <c r="B116" s="494" t="s">
        <v>2498</v>
      </c>
      <c r="C116" s="510"/>
      <c r="D116" s="510"/>
      <c r="E116" s="510"/>
      <c r="F116" s="510"/>
      <c r="G116" s="510"/>
      <c r="H116" s="539"/>
      <c r="I116" s="539"/>
      <c r="J116" s="539"/>
      <c r="K116" s="540"/>
      <c r="L116" s="541"/>
      <c r="M116" s="542"/>
      <c r="N116" s="2963"/>
      <c r="O116" s="2963"/>
      <c r="P116" s="2954"/>
      <c r="Q116" s="2949"/>
      <c r="R116" s="2935"/>
      <c r="S116" s="2935"/>
      <c r="T116" s="2935"/>
      <c r="U116" s="2935"/>
      <c r="V116" s="2935"/>
      <c r="W116" s="2935"/>
      <c r="X116" s="2935"/>
      <c r="Y116" s="2935"/>
      <c r="Z116" s="2935"/>
      <c r="AA116" s="2935"/>
      <c r="AB116" s="2935"/>
      <c r="AC116" s="2935"/>
    </row>
    <row r="117" spans="1:29" ht="15.75" thickBot="1">
      <c r="A117" s="490"/>
      <c r="B117" s="499"/>
      <c r="C117" s="500">
        <v>100</v>
      </c>
      <c r="D117" s="500">
        <f>C117-$K39</f>
        <v>100</v>
      </c>
      <c r="E117" s="500">
        <f>D117-$K39</f>
        <v>100</v>
      </c>
      <c r="F117" s="500">
        <f>E117-$K39</f>
        <v>100</v>
      </c>
      <c r="G117" s="500">
        <f>F117-$K39</f>
        <v>100</v>
      </c>
      <c r="H117" s="500"/>
      <c r="I117" s="500"/>
      <c r="J117" s="500"/>
      <c r="K117" s="500"/>
      <c r="L117" s="500"/>
      <c r="M117" s="501"/>
      <c r="N117" s="2964"/>
      <c r="O117" s="2964"/>
      <c r="P117" s="2954"/>
      <c r="Q117" s="2949"/>
      <c r="R117" s="2935"/>
      <c r="S117" s="2935"/>
      <c r="T117" s="2935"/>
      <c r="U117" s="2935"/>
      <c r="V117" s="2935"/>
      <c r="W117" s="2935"/>
      <c r="X117" s="2935"/>
      <c r="Y117" s="2935"/>
      <c r="Z117" s="2935"/>
      <c r="AA117" s="2935"/>
      <c r="AB117" s="2935"/>
      <c r="AC117" s="2935"/>
    </row>
    <row r="118" spans="1:29" ht="15" thickTop="1">
      <c r="A118" s="555"/>
      <c r="B118" s="494" t="s">
        <v>2499</v>
      </c>
      <c r="C118" s="582"/>
      <c r="D118" s="582"/>
      <c r="E118" s="582"/>
      <c r="F118" s="582"/>
      <c r="G118" s="582"/>
      <c r="H118" s="511"/>
      <c r="I118" s="511"/>
      <c r="J118" s="511"/>
      <c r="K118" s="511"/>
      <c r="L118" s="512"/>
      <c r="M118" s="513"/>
      <c r="N118" s="2963"/>
      <c r="O118" s="2963"/>
      <c r="P118" s="2954"/>
      <c r="Q118" s="2949"/>
      <c r="R118" s="2935"/>
      <c r="S118" s="2935"/>
      <c r="T118" s="2935"/>
      <c r="U118" s="2935"/>
      <c r="V118" s="2935"/>
      <c r="W118" s="2935"/>
      <c r="X118" s="2935"/>
      <c r="Y118" s="2935"/>
      <c r="Z118" s="2935"/>
      <c r="AA118" s="2935"/>
      <c r="AB118" s="2935"/>
      <c r="AC118" s="2935"/>
    </row>
    <row r="119" spans="1:29" ht="15.75" thickBot="1">
      <c r="A119" s="490"/>
      <c r="B119" s="499"/>
      <c r="C119" s="516"/>
      <c r="D119" s="492"/>
      <c r="E119" s="492"/>
      <c r="F119" s="492"/>
      <c r="G119" s="492"/>
      <c r="H119" s="492"/>
      <c r="I119" s="492"/>
      <c r="J119" s="492"/>
      <c r="K119" s="492"/>
      <c r="L119" s="492"/>
      <c r="M119" s="493"/>
      <c r="N119" s="2964"/>
      <c r="O119" s="2964"/>
      <c r="P119" s="2954"/>
      <c r="Q119" s="2949"/>
      <c r="R119" s="2935"/>
      <c r="S119" s="2935"/>
      <c r="T119" s="2935"/>
      <c r="U119" s="2935"/>
      <c r="V119" s="2935"/>
      <c r="W119" s="2935"/>
      <c r="X119" s="2935"/>
      <c r="Y119" s="2935"/>
      <c r="Z119" s="2935"/>
      <c r="AA119" s="2935"/>
      <c r="AB119" s="2935"/>
      <c r="AC119" s="2935"/>
    </row>
    <row r="120" spans="1:29" s="429" customFormat="1" ht="15" thickTop="1">
      <c r="A120" s="549"/>
      <c r="B120" s="494" t="s">
        <v>2500</v>
      </c>
      <c r="C120" s="539"/>
      <c r="D120" s="539"/>
      <c r="E120" s="539"/>
      <c r="F120" s="539"/>
      <c r="G120" s="511"/>
      <c r="H120" s="511"/>
      <c r="I120" s="511"/>
      <c r="J120" s="511"/>
      <c r="K120" s="511"/>
      <c r="L120" s="512"/>
      <c r="M120" s="513"/>
      <c r="N120" s="2965"/>
      <c r="O120" s="2965"/>
      <c r="P120" s="2955"/>
      <c r="Q120" s="2956"/>
      <c r="R120" s="2957"/>
      <c r="S120" s="2957"/>
      <c r="T120" s="2957"/>
      <c r="U120" s="2957"/>
      <c r="V120" s="2957"/>
      <c r="W120" s="2957"/>
      <c r="X120" s="2957"/>
      <c r="Y120" s="2957"/>
      <c r="Z120" s="2957"/>
      <c r="AA120" s="2957"/>
      <c r="AB120" s="2957"/>
      <c r="AC120" s="2957"/>
    </row>
    <row r="121" spans="1:29" s="429" customFormat="1" ht="15.75" thickBot="1">
      <c r="A121" s="509"/>
      <c r="B121" s="491"/>
      <c r="C121" s="538">
        <v>100</v>
      </c>
      <c r="D121" s="500">
        <f>C121-$K41</f>
        <v>100</v>
      </c>
      <c r="E121" s="500">
        <f t="shared" ref="E121:M121" si="29">D121-$K41</f>
        <v>100</v>
      </c>
      <c r="F121" s="500">
        <f t="shared" si="29"/>
        <v>100</v>
      </c>
      <c r="G121" s="500">
        <f t="shared" si="29"/>
        <v>100</v>
      </c>
      <c r="H121" s="500">
        <f t="shared" si="29"/>
        <v>100</v>
      </c>
      <c r="I121" s="500">
        <f t="shared" si="29"/>
        <v>100</v>
      </c>
      <c r="J121" s="500">
        <f t="shared" si="29"/>
        <v>100</v>
      </c>
      <c r="K121" s="500">
        <f t="shared" si="29"/>
        <v>100</v>
      </c>
      <c r="L121" s="500">
        <f t="shared" si="29"/>
        <v>100</v>
      </c>
      <c r="M121" s="501">
        <f t="shared" si="29"/>
        <v>100</v>
      </c>
      <c r="N121" s="2965"/>
      <c r="O121" s="2965"/>
      <c r="P121" s="2955"/>
      <c r="Q121" s="2956"/>
      <c r="R121" s="2957"/>
      <c r="S121" s="2957"/>
      <c r="T121" s="2957"/>
      <c r="U121" s="2957"/>
      <c r="V121" s="2957"/>
      <c r="W121" s="2957"/>
      <c r="X121" s="2957"/>
      <c r="Y121" s="2957"/>
      <c r="Z121" s="2957"/>
      <c r="AA121" s="2957"/>
      <c r="AB121" s="2957"/>
      <c r="AC121" s="2957"/>
    </row>
    <row r="122" spans="1:29" ht="15" thickTop="1">
      <c r="A122" s="555"/>
      <c r="B122" s="494" t="s">
        <v>2435</v>
      </c>
      <c r="C122" s="510"/>
      <c r="D122" s="510"/>
      <c r="E122" s="510"/>
      <c r="F122" s="539"/>
      <c r="G122" s="539"/>
      <c r="H122" s="539"/>
      <c r="I122" s="539"/>
      <c r="J122" s="539"/>
      <c r="K122" s="540"/>
      <c r="L122" s="541"/>
      <c r="M122" s="542"/>
      <c r="N122" s="2963"/>
      <c r="O122" s="2963"/>
      <c r="P122" s="2954"/>
      <c r="Q122" s="2949"/>
      <c r="R122" s="2935"/>
      <c r="S122" s="2935"/>
      <c r="T122" s="2935"/>
      <c r="U122" s="2935"/>
      <c r="V122" s="2935"/>
      <c r="W122" s="2935"/>
      <c r="X122" s="2935"/>
      <c r="Y122" s="2935"/>
      <c r="Z122" s="2935"/>
      <c r="AA122" s="2935"/>
      <c r="AB122" s="2935"/>
      <c r="AC122" s="2935"/>
    </row>
    <row r="123" spans="1:29" ht="15.75" thickBot="1">
      <c r="A123" s="490"/>
      <c r="B123" s="499"/>
      <c r="C123" s="500">
        <v>100</v>
      </c>
      <c r="D123" s="500">
        <f t="shared" ref="D123:M123" si="30">C123-$K42</f>
        <v>100</v>
      </c>
      <c r="E123" s="500">
        <f t="shared" si="30"/>
        <v>100</v>
      </c>
      <c r="F123" s="500">
        <f t="shared" si="30"/>
        <v>100</v>
      </c>
      <c r="G123" s="500">
        <f t="shared" si="30"/>
        <v>100</v>
      </c>
      <c r="H123" s="500">
        <f t="shared" si="30"/>
        <v>100</v>
      </c>
      <c r="I123" s="500">
        <f t="shared" si="30"/>
        <v>100</v>
      </c>
      <c r="J123" s="500">
        <f t="shared" si="30"/>
        <v>100</v>
      </c>
      <c r="K123" s="500">
        <f t="shared" si="30"/>
        <v>100</v>
      </c>
      <c r="L123" s="500">
        <f t="shared" si="30"/>
        <v>100</v>
      </c>
      <c r="M123" s="501">
        <f t="shared" si="30"/>
        <v>100</v>
      </c>
      <c r="N123" s="2964"/>
      <c r="O123" s="2964"/>
      <c r="P123" s="2954"/>
      <c r="Q123" s="2949"/>
      <c r="R123" s="2935"/>
      <c r="S123" s="2935"/>
      <c r="T123" s="2935"/>
      <c r="U123" s="2935"/>
      <c r="V123" s="2935"/>
      <c r="W123" s="2935"/>
      <c r="X123" s="2935"/>
      <c r="Y123" s="2935"/>
      <c r="Z123" s="2935"/>
      <c r="AA123" s="2935"/>
      <c r="AB123" s="2935"/>
      <c r="AC123" s="2935"/>
    </row>
    <row r="124" spans="1:29" ht="15" thickTop="1">
      <c r="A124" s="555"/>
      <c r="B124" s="494" t="s">
        <v>2436</v>
      </c>
      <c r="C124" s="534" t="s">
        <v>2412</v>
      </c>
      <c r="D124" s="534" t="s">
        <v>2413</v>
      </c>
      <c r="E124" s="534" t="s">
        <v>2414</v>
      </c>
      <c r="F124" s="534" t="s">
        <v>2415</v>
      </c>
      <c r="G124" s="534" t="s">
        <v>2416</v>
      </c>
      <c r="H124" s="495"/>
      <c r="I124" s="495"/>
      <c r="J124" s="495"/>
      <c r="K124" s="496"/>
      <c r="L124" s="497"/>
      <c r="M124" s="498"/>
      <c r="N124" s="2963"/>
      <c r="O124" s="2963"/>
      <c r="P124" s="2955"/>
      <c r="Q124" s="2949"/>
      <c r="R124" s="2935"/>
      <c r="S124" s="2935"/>
      <c r="T124" s="2935"/>
      <c r="U124" s="2935"/>
      <c r="V124" s="2935"/>
      <c r="W124" s="2935"/>
      <c r="X124" s="2935"/>
      <c r="Y124" s="2935"/>
      <c r="Z124" s="2935"/>
      <c r="AA124" s="2935"/>
      <c r="AB124" s="2935"/>
      <c r="AC124" s="2935"/>
    </row>
    <row r="125" spans="1:29" ht="15.75" thickBot="1">
      <c r="A125" s="490"/>
      <c r="B125" s="499"/>
      <c r="C125" s="500">
        <v>100</v>
      </c>
      <c r="D125" s="500">
        <f>C125-$K43</f>
        <v>100</v>
      </c>
      <c r="E125" s="500">
        <f>D125-$K43</f>
        <v>100</v>
      </c>
      <c r="F125" s="500">
        <f>E125-$K43</f>
        <v>100</v>
      </c>
      <c r="G125" s="500">
        <f>F125-$K43</f>
        <v>100</v>
      </c>
      <c r="H125" s="500"/>
      <c r="I125" s="500"/>
      <c r="J125" s="500"/>
      <c r="K125" s="500"/>
      <c r="L125" s="500"/>
      <c r="M125" s="501"/>
      <c r="N125" s="2964"/>
      <c r="O125" s="2964"/>
      <c r="P125" s="2954"/>
      <c r="Q125" s="2949"/>
      <c r="R125" s="2935"/>
      <c r="S125" s="2935"/>
      <c r="T125" s="2935"/>
      <c r="U125" s="2935"/>
      <c r="V125" s="2935"/>
      <c r="W125" s="2935"/>
      <c r="X125" s="2935"/>
      <c r="Y125" s="2935"/>
      <c r="Z125" s="2935"/>
      <c r="AA125" s="2935"/>
      <c r="AB125" s="2935"/>
      <c r="AC125" s="2935"/>
    </row>
    <row r="126" spans="1:29" s="429" customFormat="1" ht="15" thickTop="1">
      <c r="A126" s="549"/>
      <c r="B126" s="494">
        <f>B44</f>
        <v>111</v>
      </c>
      <c r="C126" s="510"/>
      <c r="D126" s="510"/>
      <c r="E126" s="510"/>
      <c r="F126" s="510"/>
      <c r="G126" s="510"/>
      <c r="H126" s="511"/>
      <c r="I126" s="511"/>
      <c r="J126" s="511"/>
      <c r="K126" s="511"/>
      <c r="L126" s="512"/>
      <c r="M126" s="513"/>
      <c r="N126" s="2965"/>
      <c r="O126" s="2965"/>
      <c r="P126" s="2955"/>
      <c r="Q126" s="2956"/>
      <c r="R126" s="2957"/>
      <c r="S126" s="2957"/>
      <c r="T126" s="2957"/>
      <c r="U126" s="2957"/>
      <c r="V126" s="2957"/>
      <c r="W126" s="2957"/>
      <c r="X126" s="2957"/>
      <c r="Y126" s="2957"/>
      <c r="Z126" s="2957"/>
      <c r="AA126" s="2957"/>
      <c r="AB126" s="2957"/>
      <c r="AC126" s="2957"/>
    </row>
    <row r="127" spans="1:29" s="429" customFormat="1" ht="15.75" thickBot="1">
      <c r="A127" s="509"/>
      <c r="B127" s="499"/>
      <c r="C127" s="516"/>
      <c r="D127" s="492"/>
      <c r="E127" s="492"/>
      <c r="F127" s="492"/>
      <c r="G127" s="516"/>
      <c r="H127" s="518"/>
      <c r="I127" s="518"/>
      <c r="J127" s="518"/>
      <c r="K127" s="518"/>
      <c r="L127" s="518"/>
      <c r="M127" s="519"/>
      <c r="N127" s="2965"/>
      <c r="O127" s="2965"/>
      <c r="P127" s="2955"/>
      <c r="Q127" s="2956"/>
      <c r="R127" s="2957"/>
      <c r="S127" s="2957"/>
      <c r="T127" s="2957"/>
      <c r="U127" s="2957"/>
      <c r="V127" s="2957"/>
      <c r="W127" s="2957"/>
      <c r="X127" s="2957"/>
      <c r="Y127" s="2957"/>
      <c r="Z127" s="2957"/>
      <c r="AA127" s="2957"/>
      <c r="AB127" s="2957"/>
      <c r="AC127" s="2957"/>
    </row>
    <row r="128" spans="1:29" ht="15" thickTop="1">
      <c r="A128" s="555"/>
      <c r="B128" s="494">
        <f>B45</f>
        <v>111</v>
      </c>
      <c r="C128" s="510"/>
      <c r="D128" s="510"/>
      <c r="E128" s="510"/>
      <c r="F128" s="510"/>
      <c r="G128" s="539"/>
      <c r="H128" s="539"/>
      <c r="I128" s="539"/>
      <c r="J128" s="539"/>
      <c r="K128" s="540"/>
      <c r="L128" s="541"/>
      <c r="M128" s="542"/>
      <c r="N128" s="2963"/>
      <c r="O128" s="2963"/>
      <c r="P128" s="2954"/>
      <c r="Q128" s="2949"/>
      <c r="R128" s="2935"/>
      <c r="S128" s="2935"/>
      <c r="T128" s="2935"/>
      <c r="U128" s="2935"/>
      <c r="V128" s="2935"/>
      <c r="W128" s="2935"/>
      <c r="X128" s="2935"/>
      <c r="Y128" s="2935"/>
      <c r="Z128" s="2935"/>
      <c r="AA128" s="2935"/>
      <c r="AB128" s="2935"/>
      <c r="AC128" s="2935"/>
    </row>
    <row r="129" spans="1:29" ht="15.75" thickBot="1">
      <c r="A129" s="490"/>
      <c r="B129" s="499"/>
      <c r="C129" s="516"/>
      <c r="D129" s="492"/>
      <c r="E129" s="492"/>
      <c r="F129" s="492"/>
      <c r="G129" s="492"/>
      <c r="H129" s="492"/>
      <c r="I129" s="492"/>
      <c r="J129" s="492"/>
      <c r="K129" s="492"/>
      <c r="L129" s="492"/>
      <c r="M129" s="493"/>
      <c r="N129" s="2964"/>
      <c r="O129" s="2964"/>
      <c r="P129" s="2954"/>
      <c r="Q129" s="2949"/>
      <c r="R129" s="2935"/>
      <c r="S129" s="2935"/>
      <c r="T129" s="2935"/>
      <c r="U129" s="2935"/>
      <c r="V129" s="2935"/>
      <c r="W129" s="2935"/>
      <c r="X129" s="2935"/>
      <c r="Y129" s="2935"/>
      <c r="Z129" s="2935"/>
      <c r="AA129" s="2935"/>
      <c r="AB129" s="2935"/>
      <c r="AC129" s="2935"/>
    </row>
    <row r="130" spans="1:29" ht="15" thickTop="1">
      <c r="A130" s="555"/>
      <c r="B130" s="502">
        <f>B46</f>
        <v>111</v>
      </c>
      <c r="C130" s="510"/>
      <c r="D130" s="510"/>
      <c r="E130" s="510"/>
      <c r="F130" s="510"/>
      <c r="G130" s="543"/>
      <c r="H130" s="543"/>
      <c r="I130" s="543"/>
      <c r="J130" s="543"/>
      <c r="K130" s="479"/>
      <c r="L130" s="480"/>
      <c r="M130" s="546"/>
      <c r="N130" s="2963"/>
      <c r="O130" s="2963"/>
      <c r="P130" s="2954"/>
      <c r="Q130" s="2949"/>
      <c r="R130" s="2935"/>
      <c r="S130" s="2935"/>
      <c r="T130" s="2935"/>
      <c r="U130" s="2935"/>
      <c r="V130" s="2935"/>
      <c r="W130" s="2935"/>
      <c r="X130" s="2935"/>
      <c r="Y130" s="2935"/>
      <c r="Z130" s="2935"/>
      <c r="AA130" s="2935"/>
      <c r="AB130" s="2935"/>
      <c r="AC130" s="2935"/>
    </row>
    <row r="131" spans="1:29" ht="15.75" thickBot="1">
      <c r="A131" s="2101"/>
      <c r="B131" s="525"/>
      <c r="C131" s="526"/>
      <c r="D131" s="526"/>
      <c r="E131" s="526"/>
      <c r="F131" s="526"/>
      <c r="G131" s="547"/>
      <c r="H131" s="547"/>
      <c r="I131" s="547"/>
      <c r="J131" s="547"/>
      <c r="K131" s="547"/>
      <c r="L131" s="547"/>
      <c r="M131" s="548"/>
      <c r="N131" s="2964"/>
      <c r="O131" s="2964"/>
      <c r="P131" s="2954"/>
      <c r="Q131" s="2949"/>
      <c r="R131" s="2935"/>
      <c r="S131" s="2935"/>
      <c r="T131" s="2935"/>
      <c r="U131" s="2935"/>
      <c r="V131" s="2935"/>
      <c r="W131" s="2935"/>
      <c r="X131" s="2935"/>
      <c r="Y131" s="2935"/>
      <c r="Z131" s="2935"/>
      <c r="AA131" s="2935"/>
      <c r="AB131" s="2935"/>
      <c r="AC131" s="2935"/>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1"/>
    <mergeCell ref="Y15:Y31"/>
    <mergeCell ref="P32:P46"/>
    <mergeCell ref="Y32:Y46"/>
    <mergeCell ref="P47:Q47"/>
    <mergeCell ref="R47:S47"/>
    <mergeCell ref="T47:U47"/>
    <mergeCell ref="V47:W47"/>
    <mergeCell ref="P48:Q48"/>
    <mergeCell ref="R48:S48"/>
    <mergeCell ref="T48:U48"/>
    <mergeCell ref="V48:W48"/>
    <mergeCell ref="P49:Q49"/>
    <mergeCell ref="R49:W49"/>
  </mergeCells>
  <phoneticPr fontId="31" type="noConversion"/>
  <conditionalFormatting sqref="F52 H52">
    <cfRule type="containsText" dxfId="114" priority="21" stopIfTrue="1" operator="containsText" text="超过">
      <formula>NOT(ISERROR(SEARCH("超过",F52)))</formula>
    </cfRule>
  </conditionalFormatting>
  <conditionalFormatting sqref="H54">
    <cfRule type="containsText" dxfId="113" priority="19" stopIfTrue="1" operator="containsText" text="超过">
      <formula>NOT(ISERROR(SEARCH("超过",H54)))</formula>
    </cfRule>
  </conditionalFormatting>
  <conditionalFormatting sqref="F54">
    <cfRule type="containsText" dxfId="112" priority="18" stopIfTrue="1" operator="containsText" text="超过">
      <formula>NOT(ISERROR(SEARCH("超过",F54)))</formula>
    </cfRule>
  </conditionalFormatting>
  <conditionalFormatting sqref="F53 H53">
    <cfRule type="containsText" dxfId="111" priority="17" stopIfTrue="1" operator="containsText" text="超过">
      <formula>NOT(ISERROR(SEARCH("超过",F53)))</formula>
    </cfRule>
  </conditionalFormatting>
  <conditionalFormatting sqref="E52">
    <cfRule type="expression" dxfId="110" priority="16" stopIfTrue="1">
      <formula>$F$52="超过30%"</formula>
    </cfRule>
  </conditionalFormatting>
  <conditionalFormatting sqref="E53">
    <cfRule type="expression" dxfId="109" priority="15" stopIfTrue="1">
      <formula>$F$53="超过20%"</formula>
    </cfRule>
  </conditionalFormatting>
  <conditionalFormatting sqref="E54">
    <cfRule type="expression" dxfId="108" priority="14" stopIfTrue="1">
      <formula>$F$54="超过30%"</formula>
    </cfRule>
  </conditionalFormatting>
  <conditionalFormatting sqref="G54">
    <cfRule type="expression" dxfId="107" priority="13" stopIfTrue="1">
      <formula>$H$54="超过30%"</formula>
    </cfRule>
  </conditionalFormatting>
  <conditionalFormatting sqref="G52">
    <cfRule type="expression" dxfId="106" priority="12" stopIfTrue="1">
      <formula>$H$52="超过30%"</formula>
    </cfRule>
  </conditionalFormatting>
  <conditionalFormatting sqref="G53">
    <cfRule type="expression" dxfId="105" priority="11" stopIfTrue="1">
      <formula>$H$53="超过20%"</formula>
    </cfRule>
  </conditionalFormatting>
  <conditionalFormatting sqref="J52">
    <cfRule type="containsText" dxfId="104" priority="10" stopIfTrue="1" operator="containsText" text="超过">
      <formula>NOT(ISERROR(SEARCH("超过",J52)))</formula>
    </cfRule>
  </conditionalFormatting>
  <conditionalFormatting sqref="J54">
    <cfRule type="containsText" dxfId="103" priority="9" stopIfTrue="1" operator="containsText" text="超过">
      <formula>NOT(ISERROR(SEARCH("超过",J54)))</formula>
    </cfRule>
  </conditionalFormatting>
  <conditionalFormatting sqref="J53">
    <cfRule type="containsText" dxfId="102" priority="8" stopIfTrue="1" operator="containsText" text="超过">
      <formula>NOT(ISERROR(SEARCH("超过",J53)))</formula>
    </cfRule>
  </conditionalFormatting>
  <conditionalFormatting sqref="I52">
    <cfRule type="expression" dxfId="101" priority="7" stopIfTrue="1">
      <formula>$J$52="超过30%"</formula>
    </cfRule>
  </conditionalFormatting>
  <conditionalFormatting sqref="I53">
    <cfRule type="expression" dxfId="100" priority="6" stopIfTrue="1">
      <formula>$J$53="超过20%"</formula>
    </cfRule>
  </conditionalFormatting>
  <conditionalFormatting sqref="I54">
    <cfRule type="expression" dxfId="99" priority="5" stopIfTrue="1">
      <formula>$J$54="超过30%"</formula>
    </cfRule>
  </conditionalFormatting>
  <conditionalFormatting sqref="F48">
    <cfRule type="expression" dxfId="98" priority="4">
      <formula>$D$48="简单平均"</formula>
    </cfRule>
  </conditionalFormatting>
  <conditionalFormatting sqref="H48">
    <cfRule type="expression" dxfId="97" priority="3">
      <formula>$D$48="简单平均"</formula>
    </cfRule>
  </conditionalFormatting>
  <conditionalFormatting sqref="J48">
    <cfRule type="expression" dxfId="96" priority="2">
      <formula>$D$48="简单平均"</formula>
    </cfRule>
  </conditionalFormatting>
  <conditionalFormatting sqref="F7:F46 H7:H46 J7:J46">
    <cfRule type="cellIs" dxfId="95" priority="1" operator="notEqual">
      <formula>100</formula>
    </cfRule>
  </conditionalFormatting>
  <dataValidations count="25">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43 E43 G43 I43">
      <formula1>内部装修维护情况</formula1>
    </dataValidation>
    <dataValidation type="list" allowBlank="1" showInputMessage="1" showErrorMessage="1" sqref="E20 I20 G20 C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zoomScale="60" zoomScaleNormal="70" workbookViewId="0">
      <selection activeCell="F7" sqref="F7:F47"/>
    </sheetView>
  </sheetViews>
  <sheetFormatPr defaultColWidth="9" defaultRowHeight="14.25"/>
  <cols>
    <col min="1" max="1" width="10.5" style="362" customWidth="1"/>
    <col min="2" max="2" width="15.75" style="362" customWidth="1"/>
    <col min="3" max="3" width="15.625" style="362" customWidth="1"/>
    <col min="4" max="4" width="12.25" style="362" customWidth="1"/>
    <col min="5" max="5" width="14.375" style="362" customWidth="1"/>
    <col min="6" max="6" width="12.25" style="362" customWidth="1"/>
    <col min="7" max="7" width="14.5" style="362" customWidth="1"/>
    <col min="8" max="8" width="12.25" style="362" customWidth="1"/>
    <col min="9" max="9" width="14.5" style="362" customWidth="1"/>
    <col min="10" max="10" width="12.25" style="362" customWidth="1"/>
    <col min="11" max="11" width="12.25" style="451" customWidth="1"/>
    <col min="12" max="12" width="12.25" style="452" customWidth="1"/>
    <col min="13" max="15" width="12.25" style="362" customWidth="1"/>
    <col min="16" max="16" width="4.75" style="1029" customWidth="1"/>
    <col min="17" max="17" width="19.5" style="362" customWidth="1"/>
    <col min="18" max="22" width="6.125" style="362" customWidth="1"/>
    <col min="23" max="23" width="5.75" style="362" customWidth="1"/>
    <col min="24" max="24" width="4.25" style="362" customWidth="1"/>
    <col min="25" max="25" width="3.5" style="362" customWidth="1"/>
    <col min="26" max="26" width="19.75" style="362" customWidth="1"/>
    <col min="27" max="28" width="9.375" style="362" customWidth="1"/>
    <col min="29" max="16384" width="9" style="362"/>
  </cols>
  <sheetData>
    <row r="1" spans="1:29" s="1389" customFormat="1" ht="28.5" customHeight="1" thickBot="1">
      <c r="A1" s="1378" t="s">
        <v>2343</v>
      </c>
      <c r="B1" s="2130" t="s">
        <v>2501</v>
      </c>
      <c r="C1" s="1380" t="s">
        <v>2345</v>
      </c>
      <c r="D1" s="1381"/>
      <c r="E1" s="1390"/>
      <c r="F1" s="2052"/>
      <c r="G1" s="1391" t="s">
        <v>2458</v>
      </c>
      <c r="H1" s="1390"/>
      <c r="I1" s="1390"/>
      <c r="J1" s="1390"/>
      <c r="K1" s="1392"/>
      <c r="L1" s="1393"/>
      <c r="M1" s="1394"/>
      <c r="N1" s="1394"/>
      <c r="O1" s="1394"/>
      <c r="P1" s="1380"/>
      <c r="Q1" s="1380"/>
      <c r="R1" s="1380"/>
      <c r="S1" s="1380"/>
      <c r="T1" s="1380"/>
      <c r="U1" s="1380"/>
      <c r="V1" s="1380"/>
      <c r="W1" s="1380"/>
      <c r="X1" s="1380"/>
      <c r="Y1" s="1380"/>
      <c r="Z1" s="1380"/>
      <c r="AA1" s="1380"/>
      <c r="AB1" s="1380"/>
      <c r="AC1" s="1388"/>
    </row>
    <row r="2" spans="1:29" s="357" customFormat="1" ht="28.5" customHeight="1" thickTop="1">
      <c r="A2" s="1377" t="s">
        <v>2147</v>
      </c>
      <c r="B2" s="1315" t="e">
        <f ca="1">IF(C2="——",ROUND(C50*D3/10000,0),ROUND(C50*D3/10000,0)-D2)</f>
        <v>#DIV/0!</v>
      </c>
      <c r="C2" s="2054"/>
      <c r="D2" s="1266" t="e">
        <f ca="1">SUMIF(INDIRECT("'"&amp;F2&amp;"'"&amp;"!A:A"),"承租人权益价值",INDIRECT("'"&amp;F2&amp;"'"&amp;"!c:c"))</f>
        <v>#REF!</v>
      </c>
      <c r="E2" s="2055" t="s">
        <v>2148</v>
      </c>
      <c r="F2" s="2056"/>
      <c r="G2" s="1031"/>
      <c r="H2" s="1031"/>
      <c r="I2" s="1031"/>
      <c r="J2" s="1031"/>
      <c r="K2" s="1031"/>
      <c r="L2" s="2944"/>
      <c r="M2" s="2945"/>
      <c r="N2" s="2945"/>
      <c r="O2" s="2945"/>
      <c r="P2" s="706"/>
      <c r="Q2" s="706"/>
      <c r="R2" s="706"/>
      <c r="S2" s="706"/>
      <c r="T2" s="706"/>
      <c r="U2" s="706"/>
      <c r="V2" s="706"/>
      <c r="W2" s="706"/>
      <c r="X2" s="706"/>
      <c r="Y2" s="706"/>
      <c r="Z2" s="706"/>
      <c r="AA2" s="706"/>
      <c r="AB2" s="706"/>
      <c r="AC2" s="707"/>
    </row>
    <row r="3" spans="1:29" s="357" customFormat="1" ht="28.5" customHeight="1" thickBot="1">
      <c r="A3" s="209" t="s">
        <v>2149</v>
      </c>
      <c r="B3" s="565" t="e">
        <f ca="1">IF(C2="——",C50,ROUND(B2*10000/D3,0))</f>
        <v>#DIV/0!</v>
      </c>
      <c r="C3" s="359" t="s">
        <v>2459</v>
      </c>
      <c r="D3" s="358">
        <f>IF(D1="",'数据-汇总表'!E3,SUMIF('数据-汇总表'!$C19:$C33,D1,'数据-汇总表'!$E19:$E33))</f>
        <v>29932.760000000009</v>
      </c>
      <c r="E3" s="2127"/>
      <c r="F3" s="1032"/>
      <c r="G3" s="1031"/>
      <c r="H3" s="1031"/>
      <c r="I3" s="1031"/>
      <c r="J3" s="1031"/>
      <c r="K3" s="1033"/>
      <c r="L3" s="2944"/>
      <c r="M3" s="2945"/>
      <c r="N3" s="2945"/>
      <c r="O3" s="2945"/>
      <c r="P3" s="706"/>
      <c r="Q3" s="706"/>
      <c r="R3" s="706"/>
      <c r="S3" s="706"/>
      <c r="T3" s="706"/>
      <c r="U3" s="706"/>
      <c r="V3" s="706"/>
      <c r="W3" s="706"/>
      <c r="X3" s="706"/>
      <c r="Y3" s="706"/>
      <c r="Z3" s="706"/>
      <c r="AA3" s="706"/>
      <c r="AB3" s="706"/>
      <c r="AC3" s="707"/>
    </row>
    <row r="4" spans="1:29" ht="15">
      <c r="A4" s="360" t="s">
        <v>2460</v>
      </c>
      <c r="B4" s="361"/>
      <c r="C4" s="3357" t="s">
        <v>2461</v>
      </c>
      <c r="D4" s="3370"/>
      <c r="E4" s="3371" t="s">
        <v>2462</v>
      </c>
      <c r="F4" s="3372"/>
      <c r="G4" s="3357" t="s">
        <v>2463</v>
      </c>
      <c r="H4" s="3370"/>
      <c r="I4" s="3357" t="s">
        <v>2464</v>
      </c>
      <c r="J4" s="3370"/>
      <c r="K4" s="566" t="s">
        <v>2465</v>
      </c>
      <c r="L4" s="2925"/>
      <c r="M4" s="2926"/>
      <c r="N4" s="2926"/>
      <c r="O4" s="2926"/>
      <c r="P4" s="3470" t="s">
        <v>2466</v>
      </c>
      <c r="Q4" s="3471"/>
      <c r="R4" s="3474" t="s">
        <v>2462</v>
      </c>
      <c r="S4" s="3475"/>
      <c r="T4" s="3474" t="s">
        <v>2463</v>
      </c>
      <c r="U4" s="3475"/>
      <c r="V4" s="3476" t="s">
        <v>2464</v>
      </c>
      <c r="W4" s="3476"/>
      <c r="X4" s="2131"/>
      <c r="Y4" s="3474" t="s">
        <v>2466</v>
      </c>
      <c r="Z4" s="3475"/>
      <c r="AA4" s="3478" t="s">
        <v>2462</v>
      </c>
      <c r="AB4" s="3478" t="s">
        <v>2463</v>
      </c>
      <c r="AC4" s="3467" t="s">
        <v>2464</v>
      </c>
    </row>
    <row r="5" spans="1:29" ht="15">
      <c r="A5" s="363"/>
      <c r="B5" s="364"/>
      <c r="C5" s="3387" t="s">
        <v>2357</v>
      </c>
      <c r="D5" s="3388"/>
      <c r="E5" s="3394" t="s">
        <v>2358</v>
      </c>
      <c r="F5" s="3395"/>
      <c r="G5" s="3387" t="s">
        <v>2359</v>
      </c>
      <c r="H5" s="3388"/>
      <c r="I5" s="3387" t="s">
        <v>2360</v>
      </c>
      <c r="J5" s="3388"/>
      <c r="K5" s="566"/>
      <c r="L5" s="2925"/>
      <c r="M5" s="2926"/>
      <c r="N5" s="2926"/>
      <c r="O5" s="2926"/>
      <c r="P5" s="3472"/>
      <c r="Q5" s="3376"/>
      <c r="R5" s="3381"/>
      <c r="S5" s="3382"/>
      <c r="T5" s="3381"/>
      <c r="U5" s="3382"/>
      <c r="V5" s="3366"/>
      <c r="W5" s="3366"/>
      <c r="X5" s="1529"/>
      <c r="Y5" s="3381"/>
      <c r="Z5" s="3382"/>
      <c r="AA5" s="3368"/>
      <c r="AB5" s="3368"/>
      <c r="AC5" s="3468"/>
    </row>
    <row r="6" spans="1:29" ht="15.75" thickBot="1">
      <c r="A6" s="365"/>
      <c r="B6" s="366"/>
      <c r="C6" s="3385" t="s">
        <v>2361</v>
      </c>
      <c r="D6" s="3386"/>
      <c r="E6" s="3392" t="s">
        <v>2361</v>
      </c>
      <c r="F6" s="3393"/>
      <c r="G6" s="3385" t="s">
        <v>2361</v>
      </c>
      <c r="H6" s="3386"/>
      <c r="I6" s="3385" t="s">
        <v>2361</v>
      </c>
      <c r="J6" s="3386"/>
      <c r="K6" s="566" t="s">
        <v>2362</v>
      </c>
      <c r="L6" s="2925"/>
      <c r="M6" s="2926"/>
      <c r="N6" s="2926"/>
      <c r="O6" s="2926"/>
      <c r="P6" s="3473"/>
      <c r="Q6" s="3378"/>
      <c r="R6" s="3381"/>
      <c r="S6" s="3382"/>
      <c r="T6" s="3383"/>
      <c r="U6" s="3384"/>
      <c r="V6" s="3366"/>
      <c r="W6" s="3366"/>
      <c r="X6" s="1529"/>
      <c r="Y6" s="3383"/>
      <c r="Z6" s="3384"/>
      <c r="AA6" s="3369"/>
      <c r="AB6" s="3369"/>
      <c r="AC6" s="3469"/>
    </row>
    <row r="7" spans="1:29" s="113" customFormat="1" ht="15.75" thickBot="1">
      <c r="A7" s="367" t="s">
        <v>2363</v>
      </c>
      <c r="B7" s="368"/>
      <c r="C7" s="369">
        <f>'数据-取费表'!B2</f>
        <v>44280</v>
      </c>
      <c r="D7" s="370">
        <v>100</v>
      </c>
      <c r="E7" s="371"/>
      <c r="F7" s="372">
        <f>SUMIF(59:59,YEAR(E7)&amp;"-"&amp;MONTH(E7),60:60)</f>
        <v>0</v>
      </c>
      <c r="G7" s="371"/>
      <c r="H7" s="370">
        <f>SUMIF(59:59,YEAR(G7)&amp;"-"&amp;MONTH(G7),60:60)</f>
        <v>0</v>
      </c>
      <c r="I7" s="371"/>
      <c r="J7" s="370">
        <f>SUMIF(59:59,YEAR(I7)&amp;"-"&amp;MONTH(I7),60:60)</f>
        <v>0</v>
      </c>
      <c r="K7" s="567"/>
      <c r="L7" s="2927"/>
      <c r="M7" s="2928"/>
      <c r="N7" s="2928"/>
      <c r="O7" s="2928"/>
      <c r="P7" s="3477" t="s">
        <v>2364</v>
      </c>
      <c r="Q7" s="3391"/>
      <c r="R7" s="708" t="s">
        <v>17</v>
      </c>
      <c r="S7" s="709">
        <f t="shared" ref="S7:S15" si="0">F7</f>
        <v>0</v>
      </c>
      <c r="T7" s="708" t="s">
        <v>17</v>
      </c>
      <c r="U7" s="709">
        <f t="shared" ref="U7:U15" si="1">H7</f>
        <v>0</v>
      </c>
      <c r="V7" s="708" t="s">
        <v>17</v>
      </c>
      <c r="W7" s="709">
        <f t="shared" ref="W7:W15" si="2">J7</f>
        <v>0</v>
      </c>
      <c r="X7" s="710"/>
      <c r="Y7" s="3389" t="s">
        <v>2364</v>
      </c>
      <c r="Z7" s="3390"/>
      <c r="AA7" s="711" t="e">
        <f>D7/F7</f>
        <v>#DIV/0!</v>
      </c>
      <c r="AB7" s="711" t="e">
        <f>D7/H7</f>
        <v>#DIV/0!</v>
      </c>
      <c r="AC7" s="2132" t="e">
        <f>D7/J7</f>
        <v>#DIV/0!</v>
      </c>
    </row>
    <row r="8" spans="1:29" s="113" customFormat="1" ht="15.75" thickBot="1">
      <c r="A8" s="367" t="s">
        <v>2365</v>
      </c>
      <c r="B8" s="368"/>
      <c r="C8" s="373" t="s">
        <v>2467</v>
      </c>
      <c r="D8" s="370">
        <v>100</v>
      </c>
      <c r="E8" s="373"/>
      <c r="F8" s="372">
        <f>SUMIF(62:62,E8,63:63)-SUMIF(62:62,C8,63:63)+100</f>
        <v>0</v>
      </c>
      <c r="G8" s="373"/>
      <c r="H8" s="370">
        <f>SUMIF(62:62,G8,63:63)-SUMIF(62:62,C8,63:63)+100</f>
        <v>0</v>
      </c>
      <c r="I8" s="373"/>
      <c r="J8" s="370">
        <f>SUMIF(62:62,I8,63:63)-SUMIF(62:62,C8,63:63)+100</f>
        <v>0</v>
      </c>
      <c r="K8" s="567"/>
      <c r="L8" s="2927"/>
      <c r="M8" s="2928"/>
      <c r="N8" s="2928"/>
      <c r="O8" s="2928"/>
      <c r="P8" s="3477" t="s">
        <v>2367</v>
      </c>
      <c r="Q8" s="3390"/>
      <c r="R8" s="708" t="s">
        <v>17</v>
      </c>
      <c r="S8" s="709">
        <f t="shared" si="0"/>
        <v>0</v>
      </c>
      <c r="T8" s="708" t="s">
        <v>17</v>
      </c>
      <c r="U8" s="709">
        <f t="shared" si="1"/>
        <v>0</v>
      </c>
      <c r="V8" s="708" t="s">
        <v>17</v>
      </c>
      <c r="W8" s="709">
        <f t="shared" si="2"/>
        <v>0</v>
      </c>
      <c r="X8" s="710"/>
      <c r="Y8" s="3389" t="s">
        <v>2367</v>
      </c>
      <c r="Z8" s="3390"/>
      <c r="AA8" s="711" t="e">
        <f t="shared" ref="AA8:AA47" si="3">D8/F8</f>
        <v>#DIV/0!</v>
      </c>
      <c r="AB8" s="711" t="e">
        <f t="shared" ref="AB8:AB47" si="4">D8/H8</f>
        <v>#DIV/0!</v>
      </c>
      <c r="AC8" s="2132" t="e">
        <f t="shared" ref="AC8:AC47" si="5">D8/J8</f>
        <v>#DIV/0!</v>
      </c>
    </row>
    <row r="9" spans="1:29" s="113" customFormat="1">
      <c r="A9" s="374" t="s">
        <v>2368</v>
      </c>
      <c r="B9" s="67" t="s">
        <v>2369</v>
      </c>
      <c r="C9" s="375"/>
      <c r="D9" s="131">
        <v>100</v>
      </c>
      <c r="E9" s="378"/>
      <c r="F9" s="131">
        <f>SUMIF(64:64,E9,65:65)-SUMIF(64:64,C9,65:65)+100</f>
        <v>100</v>
      </c>
      <c r="G9" s="376"/>
      <c r="H9" s="131">
        <f>SUMIF(64:64,G9,65:65)-SUMIF(64:64,C9,65:65)+100</f>
        <v>100</v>
      </c>
      <c r="I9" s="376"/>
      <c r="J9" s="131">
        <f>SUMIF(64:64,I9,65:65)-SUMIF(64:64,C9,65:65)+100</f>
        <v>100</v>
      </c>
      <c r="K9" s="567"/>
      <c r="L9" s="2927"/>
      <c r="M9" s="2928"/>
      <c r="N9" s="2928"/>
      <c r="O9" s="2928"/>
      <c r="P9" s="3359" t="s">
        <v>2370</v>
      </c>
      <c r="Q9" s="1517" t="str">
        <f t="shared" ref="Q9:Q15" si="6">B9</f>
        <v>用途</v>
      </c>
      <c r="R9" s="708" t="s">
        <v>17</v>
      </c>
      <c r="S9" s="709">
        <f t="shared" si="0"/>
        <v>100</v>
      </c>
      <c r="T9" s="708" t="s">
        <v>17</v>
      </c>
      <c r="U9" s="709">
        <f t="shared" si="1"/>
        <v>100</v>
      </c>
      <c r="V9" s="708" t="s">
        <v>17</v>
      </c>
      <c r="W9" s="709">
        <f t="shared" si="2"/>
        <v>100</v>
      </c>
      <c r="X9" s="710"/>
      <c r="Y9" s="3257" t="s">
        <v>2371</v>
      </c>
      <c r="Z9" s="55" t="str">
        <f t="shared" ref="Z9:Z15" si="7">Q9</f>
        <v>用途</v>
      </c>
      <c r="AA9" s="711">
        <f t="shared" si="3"/>
        <v>1</v>
      </c>
      <c r="AB9" s="711">
        <f t="shared" si="4"/>
        <v>1</v>
      </c>
      <c r="AC9" s="2132">
        <f t="shared" si="5"/>
        <v>1</v>
      </c>
    </row>
    <row r="10" spans="1:29" s="385" customFormat="1" ht="27">
      <c r="A10" s="379"/>
      <c r="B10" s="380" t="s">
        <v>2372</v>
      </c>
      <c r="C10" s="381"/>
      <c r="D10" s="132">
        <v>100</v>
      </c>
      <c r="E10" s="381"/>
      <c r="F10" s="132">
        <f>SUMIF(66:66,E10,67:67)-SUMIF(66:66,C10,67:67)+100</f>
        <v>100</v>
      </c>
      <c r="G10" s="382"/>
      <c r="H10" s="132">
        <f>SUMIF(66:66,G10,67:67)-SUMIF(66:66,C10,67:67)+100</f>
        <v>100</v>
      </c>
      <c r="I10" s="381"/>
      <c r="J10" s="132">
        <f>SUMIF(66:66,I10,67:67)-SUMIF(66:66,C10,67:67)+100</f>
        <v>100</v>
      </c>
      <c r="K10" s="568"/>
      <c r="L10" s="2929"/>
      <c r="M10" s="2930"/>
      <c r="N10" s="2930"/>
      <c r="O10" s="2930"/>
      <c r="P10" s="3359"/>
      <c r="Q10" s="1517" t="str">
        <f t="shared" si="6"/>
        <v>土地使用年限（年）</v>
      </c>
      <c r="R10" s="708" t="s">
        <v>17</v>
      </c>
      <c r="S10" s="709">
        <f t="shared" si="0"/>
        <v>100</v>
      </c>
      <c r="T10" s="708" t="s">
        <v>17</v>
      </c>
      <c r="U10" s="709">
        <f t="shared" si="1"/>
        <v>100</v>
      </c>
      <c r="V10" s="708" t="s">
        <v>17</v>
      </c>
      <c r="W10" s="709">
        <f t="shared" si="2"/>
        <v>100</v>
      </c>
      <c r="X10" s="710"/>
      <c r="Y10" s="3257"/>
      <c r="Z10" s="55" t="str">
        <f t="shared" si="7"/>
        <v>土地使用年限（年）</v>
      </c>
      <c r="AA10" s="711">
        <f t="shared" si="3"/>
        <v>1</v>
      </c>
      <c r="AB10" s="711">
        <f t="shared" si="4"/>
        <v>1</v>
      </c>
      <c r="AC10" s="2132">
        <f t="shared" si="5"/>
        <v>1</v>
      </c>
    </row>
    <row r="11" spans="1:29" ht="15">
      <c r="A11" s="386"/>
      <c r="B11" s="380" t="s">
        <v>2373</v>
      </c>
      <c r="C11" s="387"/>
      <c r="D11" s="132">
        <v>100</v>
      </c>
      <c r="E11" s="387"/>
      <c r="F11" s="132" t="e">
        <f>LOOKUP(E11,69:69,70:70)-LOOKUP(C11,69:69,70:70)+100</f>
        <v>#N/A</v>
      </c>
      <c r="G11" s="388"/>
      <c r="H11" s="132" t="e">
        <f>LOOKUP(G11,69:69,70:70)-LOOKUP(C11,69:69,70:70)+100</f>
        <v>#N/A</v>
      </c>
      <c r="I11" s="387"/>
      <c r="J11" s="132" t="e">
        <f>LOOKUP(I11,69:69,70:70)-LOOKUP(C11,69:69,70:70)+100</f>
        <v>#N/A</v>
      </c>
      <c r="K11" s="568"/>
      <c r="L11" s="2931"/>
      <c r="M11" s="2926"/>
      <c r="N11" s="2926"/>
      <c r="O11" s="2926"/>
      <c r="P11" s="3359"/>
      <c r="Q11" s="1517" t="str">
        <f t="shared" si="6"/>
        <v>容积率</v>
      </c>
      <c r="R11" s="708" t="s">
        <v>17</v>
      </c>
      <c r="S11" s="709" t="e">
        <f t="shared" si="0"/>
        <v>#N/A</v>
      </c>
      <c r="T11" s="708" t="s">
        <v>17</v>
      </c>
      <c r="U11" s="709" t="e">
        <f t="shared" si="1"/>
        <v>#N/A</v>
      </c>
      <c r="V11" s="708" t="s">
        <v>17</v>
      </c>
      <c r="W11" s="709" t="e">
        <f t="shared" si="2"/>
        <v>#N/A</v>
      </c>
      <c r="X11" s="710"/>
      <c r="Y11" s="3257"/>
      <c r="Z11" s="55" t="str">
        <f t="shared" si="7"/>
        <v>容积率</v>
      </c>
      <c r="AA11" s="711" t="e">
        <f t="shared" si="3"/>
        <v>#N/A</v>
      </c>
      <c r="AB11" s="711" t="e">
        <f t="shared" si="4"/>
        <v>#N/A</v>
      </c>
      <c r="AC11" s="2132" t="e">
        <f t="shared" si="5"/>
        <v>#N/A</v>
      </c>
    </row>
    <row r="12" spans="1:29" s="113" customFormat="1" ht="15">
      <c r="A12" s="389"/>
      <c r="B12" s="2066">
        <v>111</v>
      </c>
      <c r="C12" s="390"/>
      <c r="D12" s="391">
        <v>100</v>
      </c>
      <c r="E12" s="390"/>
      <c r="F12" s="132">
        <f>SUMIF(71:71,E12,72:72)-SUMIF(71:71,C12,72:72)+100</f>
        <v>100</v>
      </c>
      <c r="G12" s="2133"/>
      <c r="H12" s="132">
        <f>SUMIF(71:71,G12,72:72)-SUMIF(71:71,C12,72:72)+100</f>
        <v>100</v>
      </c>
      <c r="I12" s="390"/>
      <c r="J12" s="132">
        <f>SUMIF(71:71,I12,72:72)-SUMIF(71:71,C12,72:72)+100</f>
        <v>100</v>
      </c>
      <c r="K12" s="569"/>
      <c r="L12" s="2927"/>
      <c r="M12" s="2928"/>
      <c r="N12" s="2928"/>
      <c r="O12" s="2928"/>
      <c r="P12" s="3359"/>
      <c r="Q12" s="1517">
        <f t="shared" si="6"/>
        <v>111</v>
      </c>
      <c r="R12" s="708" t="s">
        <v>17</v>
      </c>
      <c r="S12" s="709">
        <f t="shared" si="0"/>
        <v>100</v>
      </c>
      <c r="T12" s="708" t="s">
        <v>17</v>
      </c>
      <c r="U12" s="709">
        <f t="shared" si="1"/>
        <v>100</v>
      </c>
      <c r="V12" s="708" t="s">
        <v>17</v>
      </c>
      <c r="W12" s="709">
        <f t="shared" si="2"/>
        <v>100</v>
      </c>
      <c r="X12" s="710"/>
      <c r="Y12" s="3257"/>
      <c r="Z12" s="55">
        <f t="shared" si="7"/>
        <v>111</v>
      </c>
      <c r="AA12" s="711">
        <f>D12/F12</f>
        <v>1</v>
      </c>
      <c r="AB12" s="711">
        <f>D12/H12</f>
        <v>1</v>
      </c>
      <c r="AC12" s="2132">
        <f>D12/J12</f>
        <v>1</v>
      </c>
    </row>
    <row r="13" spans="1:29" ht="15">
      <c r="A13" s="386"/>
      <c r="B13" s="2066">
        <v>111</v>
      </c>
      <c r="C13" s="392"/>
      <c r="D13" s="393">
        <v>100</v>
      </c>
      <c r="E13" s="390"/>
      <c r="F13" s="132">
        <f>SUMIF(73:73,E13,74:74)-SUMIF(73:73,C13,74:74)+100</f>
        <v>100</v>
      </c>
      <c r="G13" s="2133"/>
      <c r="H13" s="393">
        <f>SUMIF(73:73,G13,74:74)-SUMIF(73:73,C13,74:74)+100</f>
        <v>100</v>
      </c>
      <c r="I13" s="390"/>
      <c r="J13" s="393">
        <f>SUMIF(73:73,I13,74:74)-SUMIF(73:73,C13,74:74)+100</f>
        <v>100</v>
      </c>
      <c r="K13" s="569"/>
      <c r="L13" s="2932"/>
      <c r="M13" s="2926"/>
      <c r="N13" s="2926"/>
      <c r="O13" s="2926"/>
      <c r="P13" s="3359"/>
      <c r="Q13" s="1517">
        <f t="shared" si="6"/>
        <v>111</v>
      </c>
      <c r="R13" s="708" t="s">
        <v>17</v>
      </c>
      <c r="S13" s="709">
        <f t="shared" si="0"/>
        <v>100</v>
      </c>
      <c r="T13" s="708" t="s">
        <v>17</v>
      </c>
      <c r="U13" s="709">
        <f t="shared" si="1"/>
        <v>100</v>
      </c>
      <c r="V13" s="708" t="s">
        <v>17</v>
      </c>
      <c r="W13" s="709">
        <f t="shared" si="2"/>
        <v>100</v>
      </c>
      <c r="X13" s="710"/>
      <c r="Y13" s="3257"/>
      <c r="Z13" s="55">
        <f t="shared" si="7"/>
        <v>111</v>
      </c>
      <c r="AA13" s="711">
        <f t="shared" si="3"/>
        <v>1</v>
      </c>
      <c r="AB13" s="711">
        <f t="shared" si="4"/>
        <v>1</v>
      </c>
      <c r="AC13" s="2132">
        <f t="shared" si="5"/>
        <v>1</v>
      </c>
    </row>
    <row r="14" spans="1:29" ht="15.75" thickBot="1">
      <c r="A14" s="394"/>
      <c r="B14" s="2068">
        <v>111</v>
      </c>
      <c r="C14" s="395"/>
      <c r="D14" s="396">
        <v>100</v>
      </c>
      <c r="E14" s="583"/>
      <c r="F14" s="396">
        <f>SUMIF(75:75,E14,76:76)-SUMIF(75:75,C14,76:76)+100</f>
        <v>100</v>
      </c>
      <c r="G14" s="2133"/>
      <c r="H14" s="396">
        <f>SUMIF(75:75,G14,76:76)-SUMIF(75:75,C14,76:76)+100</f>
        <v>100</v>
      </c>
      <c r="I14" s="390"/>
      <c r="J14" s="396">
        <f>SUMIF(75:75,I14,76:76)-SUMIF(75:75,C14,76:76)+100</f>
        <v>100</v>
      </c>
      <c r="K14" s="569"/>
      <c r="L14" s="2932"/>
      <c r="M14" s="2926"/>
      <c r="N14" s="2926"/>
      <c r="O14" s="2926"/>
      <c r="P14" s="3359"/>
      <c r="Q14" s="1517">
        <f t="shared" si="6"/>
        <v>111</v>
      </c>
      <c r="R14" s="708" t="s">
        <v>17</v>
      </c>
      <c r="S14" s="709">
        <f t="shared" si="0"/>
        <v>100</v>
      </c>
      <c r="T14" s="708" t="s">
        <v>17</v>
      </c>
      <c r="U14" s="709">
        <f t="shared" si="1"/>
        <v>100</v>
      </c>
      <c r="V14" s="708" t="s">
        <v>17</v>
      </c>
      <c r="W14" s="709">
        <f t="shared" si="2"/>
        <v>100</v>
      </c>
      <c r="X14" s="710"/>
      <c r="Y14" s="3257"/>
      <c r="Z14" s="55">
        <f t="shared" si="7"/>
        <v>111</v>
      </c>
      <c r="AA14" s="711">
        <f t="shared" si="3"/>
        <v>1</v>
      </c>
      <c r="AB14" s="711">
        <f t="shared" si="4"/>
        <v>1</v>
      </c>
      <c r="AC14" s="2132">
        <f t="shared" si="5"/>
        <v>1</v>
      </c>
    </row>
    <row r="15" spans="1:29" ht="15">
      <c r="A15" s="398" t="s">
        <v>2374</v>
      </c>
      <c r="B15" s="584" t="s">
        <v>2502</v>
      </c>
      <c r="C15" s="2134">
        <f>估价对象房地状况!C5</f>
        <v>0</v>
      </c>
      <c r="D15" s="399">
        <v>100</v>
      </c>
      <c r="E15" s="402"/>
      <c r="F15" s="399">
        <f>SUMIF(77:77,E16,78:78)-SUMIF(77:77,C16,78:78)+100</f>
        <v>100</v>
      </c>
      <c r="G15" s="400"/>
      <c r="H15" s="399">
        <f>SUMIF(77:77,G16,78:78)-SUMIF(77:77,C16,78:78)+100</f>
        <v>100</v>
      </c>
      <c r="I15" s="400"/>
      <c r="J15" s="399">
        <f>SUMIF(77:77,I16,78:78)-SUMIF(77:77,C16,78:78)+100</f>
        <v>100</v>
      </c>
      <c r="K15" s="570"/>
      <c r="L15" s="2932"/>
      <c r="M15" s="2926"/>
      <c r="N15" s="2926"/>
      <c r="O15" s="2926"/>
      <c r="P15" s="3462" t="s">
        <v>2375</v>
      </c>
      <c r="Q15" s="1526" t="str">
        <f t="shared" si="6"/>
        <v>办公集聚程度</v>
      </c>
      <c r="R15" s="712" t="s">
        <v>17</v>
      </c>
      <c r="S15" s="713">
        <f t="shared" si="0"/>
        <v>100</v>
      </c>
      <c r="T15" s="712" t="s">
        <v>17</v>
      </c>
      <c r="U15" s="713">
        <f t="shared" si="1"/>
        <v>100</v>
      </c>
      <c r="V15" s="712" t="s">
        <v>17</v>
      </c>
      <c r="W15" s="713">
        <f t="shared" si="2"/>
        <v>100</v>
      </c>
      <c r="X15" s="1529"/>
      <c r="Y15" s="3362" t="s">
        <v>2375</v>
      </c>
      <c r="Z15" s="1530" t="str">
        <f t="shared" si="7"/>
        <v>办公集聚程度</v>
      </c>
      <c r="AA15" s="1527">
        <f t="shared" si="3"/>
        <v>1</v>
      </c>
      <c r="AB15" s="1527">
        <f t="shared" si="4"/>
        <v>1</v>
      </c>
      <c r="AC15" s="2135">
        <f t="shared" si="5"/>
        <v>1</v>
      </c>
    </row>
    <row r="16" spans="1:29" ht="15">
      <c r="A16" s="386"/>
      <c r="B16" s="585"/>
      <c r="C16" s="2077"/>
      <c r="D16" s="406"/>
      <c r="E16" s="405"/>
      <c r="F16" s="406"/>
      <c r="G16" s="2077"/>
      <c r="H16" s="408"/>
      <c r="I16" s="405"/>
      <c r="J16" s="406"/>
      <c r="K16" s="571"/>
      <c r="L16" s="2932"/>
      <c r="M16" s="2926"/>
      <c r="N16" s="2926"/>
      <c r="O16" s="2926"/>
      <c r="P16" s="3463"/>
      <c r="Q16" s="1526"/>
      <c r="R16" s="712"/>
      <c r="S16" s="713"/>
      <c r="T16" s="712"/>
      <c r="U16" s="713"/>
      <c r="V16" s="712"/>
      <c r="W16" s="713"/>
      <c r="X16" s="1529"/>
      <c r="Y16" s="3363"/>
      <c r="Z16" s="1530"/>
      <c r="AA16" s="1527">
        <v>1</v>
      </c>
      <c r="AB16" s="1527">
        <v>1</v>
      </c>
      <c r="AC16" s="2135">
        <v>1</v>
      </c>
    </row>
    <row r="17" spans="1:29" ht="15">
      <c r="A17" s="386"/>
      <c r="B17" s="586" t="s">
        <v>1944</v>
      </c>
      <c r="C17" s="2136">
        <f>估价对象房地状况!C6</f>
        <v>0</v>
      </c>
      <c r="D17" s="408">
        <v>100</v>
      </c>
      <c r="E17" s="412"/>
      <c r="F17" s="408">
        <f>SUMIF(79:79,E18,80:80)-SUMIF(79:79,C18,80:80)+100</f>
        <v>100</v>
      </c>
      <c r="G17" s="410"/>
      <c r="H17" s="413">
        <f>SUMIF(79:79,G18,80:80)-SUMIF(79:79,C18,80:80)+100</f>
        <v>100</v>
      </c>
      <c r="I17" s="410"/>
      <c r="J17" s="413">
        <f>SUMIF(79:79,I18,80:80)-SUMIF(79:79,C18,80:80)+100</f>
        <v>100</v>
      </c>
      <c r="K17" s="570"/>
      <c r="L17" s="2932"/>
      <c r="M17" s="2926"/>
      <c r="N17" s="2926"/>
      <c r="O17" s="2926"/>
      <c r="P17" s="3463"/>
      <c r="Q17" s="1526" t="str">
        <f>B17</f>
        <v>交通便捷度</v>
      </c>
      <c r="R17" s="712" t="s">
        <v>17</v>
      </c>
      <c r="S17" s="713">
        <f>F17</f>
        <v>100</v>
      </c>
      <c r="T17" s="712" t="s">
        <v>17</v>
      </c>
      <c r="U17" s="713">
        <f>H17</f>
        <v>100</v>
      </c>
      <c r="V17" s="712" t="s">
        <v>17</v>
      </c>
      <c r="W17" s="713">
        <f>J17</f>
        <v>100</v>
      </c>
      <c r="X17" s="1529"/>
      <c r="Y17" s="3363"/>
      <c r="Z17" s="1530" t="str">
        <f>Q17</f>
        <v>交通便捷度</v>
      </c>
      <c r="AA17" s="1527">
        <f t="shared" si="3"/>
        <v>1</v>
      </c>
      <c r="AB17" s="1527">
        <f t="shared" si="4"/>
        <v>1</v>
      </c>
      <c r="AC17" s="2135">
        <f t="shared" si="5"/>
        <v>1</v>
      </c>
    </row>
    <row r="18" spans="1:29" ht="15">
      <c r="A18" s="386"/>
      <c r="B18" s="587"/>
      <c r="C18" s="2137"/>
      <c r="D18" s="408"/>
      <c r="E18" s="2075"/>
      <c r="F18" s="408"/>
      <c r="G18" s="2076"/>
      <c r="H18" s="406"/>
      <c r="I18" s="2076"/>
      <c r="J18" s="406"/>
      <c r="K18" s="571"/>
      <c r="L18" s="2932"/>
      <c r="M18" s="2926"/>
      <c r="N18" s="2926"/>
      <c r="O18" s="2926"/>
      <c r="P18" s="3463"/>
      <c r="Q18" s="1526"/>
      <c r="R18" s="712"/>
      <c r="S18" s="713"/>
      <c r="T18" s="712"/>
      <c r="U18" s="713"/>
      <c r="V18" s="712"/>
      <c r="W18" s="713"/>
      <c r="X18" s="1529"/>
      <c r="Y18" s="3363"/>
      <c r="Z18" s="1530"/>
      <c r="AA18" s="1527">
        <v>1</v>
      </c>
      <c r="AB18" s="1527">
        <v>1</v>
      </c>
      <c r="AC18" s="2135">
        <v>1</v>
      </c>
    </row>
    <row r="19" spans="1:29" ht="15">
      <c r="A19" s="386"/>
      <c r="B19" s="586" t="s">
        <v>2503</v>
      </c>
      <c r="C19" s="2136">
        <f>估价对象房地状况!C7</f>
        <v>0</v>
      </c>
      <c r="D19" s="413">
        <v>100</v>
      </c>
      <c r="E19" s="417"/>
      <c r="F19" s="413">
        <f>SUMIF(81:81,E20,82:82)-SUMIF(81:81,C20,82:82)+100</f>
        <v>100</v>
      </c>
      <c r="G19" s="415"/>
      <c r="H19" s="408">
        <f>SUMIF(81:81,G20,82:82)-SUMIF(81:81,C20,82:82)+100</f>
        <v>100</v>
      </c>
      <c r="I19" s="415"/>
      <c r="J19" s="408">
        <f>SUMIF(81:81,I20,82:82)-SUMIF(81:81,C20,82:82)+100</f>
        <v>100</v>
      </c>
      <c r="K19" s="570"/>
      <c r="L19" s="2932"/>
      <c r="M19" s="2926"/>
      <c r="N19" s="2926"/>
      <c r="O19" s="2926"/>
      <c r="P19" s="3463"/>
      <c r="Q19" s="1526" t="str">
        <f>B19</f>
        <v>公共配套设施</v>
      </c>
      <c r="R19" s="712" t="s">
        <v>17</v>
      </c>
      <c r="S19" s="713">
        <f>F19</f>
        <v>100</v>
      </c>
      <c r="T19" s="712" t="s">
        <v>17</v>
      </c>
      <c r="U19" s="713">
        <f>H19</f>
        <v>100</v>
      </c>
      <c r="V19" s="712" t="s">
        <v>17</v>
      </c>
      <c r="W19" s="713">
        <f>J19</f>
        <v>100</v>
      </c>
      <c r="X19" s="1529"/>
      <c r="Y19" s="3363"/>
      <c r="Z19" s="1530" t="str">
        <f>Q19</f>
        <v>公共配套设施</v>
      </c>
      <c r="AA19" s="1527">
        <f t="shared" si="3"/>
        <v>1</v>
      </c>
      <c r="AB19" s="1527">
        <f t="shared" si="4"/>
        <v>1</v>
      </c>
      <c r="AC19" s="2135">
        <f t="shared" si="5"/>
        <v>1</v>
      </c>
    </row>
    <row r="20" spans="1:29" ht="15">
      <c r="A20" s="386"/>
      <c r="B20" s="587"/>
      <c r="C20" s="2077"/>
      <c r="D20" s="406"/>
      <c r="E20" s="2070"/>
      <c r="F20" s="406"/>
      <c r="G20" s="2071"/>
      <c r="H20" s="406"/>
      <c r="I20" s="2071"/>
      <c r="J20" s="406"/>
      <c r="K20" s="571"/>
      <c r="L20" s="2932"/>
      <c r="M20" s="2926"/>
      <c r="N20" s="2926"/>
      <c r="O20" s="2926"/>
      <c r="P20" s="3463"/>
      <c r="Q20" s="1526"/>
      <c r="R20" s="712"/>
      <c r="S20" s="713"/>
      <c r="T20" s="712"/>
      <c r="U20" s="713"/>
      <c r="V20" s="712"/>
      <c r="W20" s="713"/>
      <c r="X20" s="1529"/>
      <c r="Y20" s="3363"/>
      <c r="Z20" s="1530"/>
      <c r="AA20" s="1527">
        <v>1</v>
      </c>
      <c r="AB20" s="1527">
        <v>1</v>
      </c>
      <c r="AC20" s="2135">
        <v>1</v>
      </c>
    </row>
    <row r="21" spans="1:29" ht="15">
      <c r="A21" s="386"/>
      <c r="B21" s="588" t="s">
        <v>2504</v>
      </c>
      <c r="C21" s="2136">
        <f>估价对象房地状况!C8</f>
        <v>0</v>
      </c>
      <c r="D21" s="408">
        <v>100</v>
      </c>
      <c r="E21" s="417"/>
      <c r="F21" s="413">
        <f>SUMIF(83:83,E22,84:84)-SUMIF(83:83,C22,84:84)+100</f>
        <v>100</v>
      </c>
      <c r="G21" s="415"/>
      <c r="H21" s="408">
        <f>SUMIF(83:83,G22,84:84)-SUMIF(83:83,C22,84:84)+100</f>
        <v>100</v>
      </c>
      <c r="I21" s="415"/>
      <c r="J21" s="408">
        <f>SUMIF(83:83,I22,84:84)-SUMIF(83:83,C22,84:84)+100</f>
        <v>100</v>
      </c>
      <c r="K21" s="570"/>
      <c r="L21" s="2932"/>
      <c r="M21" s="2926"/>
      <c r="N21" s="2926"/>
      <c r="O21" s="2926"/>
      <c r="P21" s="3463"/>
      <c r="Q21" s="1526" t="str">
        <f>B21</f>
        <v>基础设施水平</v>
      </c>
      <c r="R21" s="712" t="s">
        <v>17</v>
      </c>
      <c r="S21" s="713">
        <f>F21</f>
        <v>100</v>
      </c>
      <c r="T21" s="712" t="s">
        <v>17</v>
      </c>
      <c r="U21" s="713">
        <f>H21</f>
        <v>100</v>
      </c>
      <c r="V21" s="712" t="s">
        <v>17</v>
      </c>
      <c r="W21" s="713">
        <f>J21</f>
        <v>100</v>
      </c>
      <c r="X21" s="1529"/>
      <c r="Y21" s="3363"/>
      <c r="Z21" s="1530" t="str">
        <f>Q21</f>
        <v>基础设施水平</v>
      </c>
      <c r="AA21" s="1527">
        <f t="shared" ref="AA21" si="8">D21/F21</f>
        <v>1</v>
      </c>
      <c r="AB21" s="1527">
        <f t="shared" ref="AB21" si="9">D21/H21</f>
        <v>1</v>
      </c>
      <c r="AC21" s="2135">
        <f t="shared" ref="AC21" si="10">D21/J21</f>
        <v>1</v>
      </c>
    </row>
    <row r="22" spans="1:29" ht="15">
      <c r="A22" s="386"/>
      <c r="B22" s="588"/>
      <c r="C22" s="2137"/>
      <c r="D22" s="406"/>
      <c r="E22" s="405"/>
      <c r="F22" s="406"/>
      <c r="G22" s="2077"/>
      <c r="H22" s="406"/>
      <c r="I22" s="2077"/>
      <c r="J22" s="406"/>
      <c r="K22" s="1283"/>
      <c r="L22" s="2932"/>
      <c r="M22" s="2926"/>
      <c r="N22" s="2926"/>
      <c r="O22" s="2926"/>
      <c r="P22" s="3463"/>
      <c r="Q22" s="1526"/>
      <c r="R22" s="712"/>
      <c r="S22" s="713"/>
      <c r="T22" s="712"/>
      <c r="U22" s="713"/>
      <c r="V22" s="712"/>
      <c r="W22" s="713"/>
      <c r="X22" s="1529"/>
      <c r="Y22" s="3363"/>
      <c r="Z22" s="1530"/>
      <c r="AA22" s="1527">
        <v>1</v>
      </c>
      <c r="AB22" s="1527">
        <v>1</v>
      </c>
      <c r="AC22" s="2135">
        <v>1</v>
      </c>
    </row>
    <row r="23" spans="1:29" ht="15">
      <c r="A23" s="386"/>
      <c r="B23" s="586" t="s">
        <v>2505</v>
      </c>
      <c r="C23" s="2136">
        <f>估价对象房地状况!C9</f>
        <v>0</v>
      </c>
      <c r="D23" s="408">
        <v>100</v>
      </c>
      <c r="E23" s="412"/>
      <c r="F23" s="408">
        <f>SUMIF(85:85,E24,86:86)-SUMIF(85:85,C24,86:86)+100</f>
        <v>100</v>
      </c>
      <c r="G23" s="410"/>
      <c r="H23" s="408">
        <f>SUMIF(85:85,G24,86:86)-SUMIF(85:85,C24,86:86)+100</f>
        <v>100</v>
      </c>
      <c r="I23" s="410"/>
      <c r="J23" s="408">
        <f>SUMIF(85:85,I24,86:86)-SUMIF(85:85,C24,86:86)+100</f>
        <v>100</v>
      </c>
      <c r="K23" s="570"/>
      <c r="L23" s="2932"/>
      <c r="M23" s="2926"/>
      <c r="N23" s="2926"/>
      <c r="O23" s="2926"/>
      <c r="P23" s="3463"/>
      <c r="Q23" s="1526" t="str">
        <f>B23</f>
        <v>环境质量</v>
      </c>
      <c r="R23" s="712" t="s">
        <v>17</v>
      </c>
      <c r="S23" s="713">
        <f>F23</f>
        <v>100</v>
      </c>
      <c r="T23" s="712" t="s">
        <v>17</v>
      </c>
      <c r="U23" s="713">
        <f>H23</f>
        <v>100</v>
      </c>
      <c r="V23" s="712" t="s">
        <v>17</v>
      </c>
      <c r="W23" s="713">
        <f>J23</f>
        <v>100</v>
      </c>
      <c r="X23" s="1529"/>
      <c r="Y23" s="3363"/>
      <c r="Z23" s="1530" t="str">
        <f>Q23</f>
        <v>环境质量</v>
      </c>
      <c r="AA23" s="1527">
        <f t="shared" si="3"/>
        <v>1</v>
      </c>
      <c r="AB23" s="1527">
        <f t="shared" si="4"/>
        <v>1</v>
      </c>
      <c r="AC23" s="2135">
        <f t="shared" si="5"/>
        <v>1</v>
      </c>
    </row>
    <row r="24" spans="1:29" ht="15">
      <c r="A24" s="386"/>
      <c r="B24" s="588"/>
      <c r="C24" s="2077"/>
      <c r="D24" s="406"/>
      <c r="E24" s="2070"/>
      <c r="F24" s="406"/>
      <c r="G24" s="2071"/>
      <c r="H24" s="406"/>
      <c r="I24" s="2071"/>
      <c r="J24" s="406"/>
      <c r="K24" s="571"/>
      <c r="L24" s="2932"/>
      <c r="M24" s="2926"/>
      <c r="N24" s="2926"/>
      <c r="O24" s="2926"/>
      <c r="P24" s="3463"/>
      <c r="Q24" s="1526"/>
      <c r="R24" s="712"/>
      <c r="S24" s="713"/>
      <c r="T24" s="712"/>
      <c r="U24" s="713"/>
      <c r="V24" s="712"/>
      <c r="W24" s="713"/>
      <c r="X24" s="1529"/>
      <c r="Y24" s="3363"/>
      <c r="Z24" s="1530"/>
      <c r="AA24" s="1527">
        <v>1</v>
      </c>
      <c r="AB24" s="1527">
        <v>1</v>
      </c>
      <c r="AC24" s="2135">
        <v>1</v>
      </c>
    </row>
    <row r="25" spans="1:29" ht="27">
      <c r="A25" s="363"/>
      <c r="B25" s="586" t="s">
        <v>2506</v>
      </c>
      <c r="C25" s="2081"/>
      <c r="D25" s="393">
        <v>100</v>
      </c>
      <c r="E25" s="392"/>
      <c r="F25" s="393">
        <f>SUMIF(87:87,E26,88:88)-SUMIF(87:87,C26,88:88)+100</f>
        <v>100</v>
      </c>
      <c r="G25" s="2081"/>
      <c r="H25" s="393">
        <f>SUMIF(87:87,G26,88:88)-SUMIF(87:87,C26,88:88)+100</f>
        <v>100</v>
      </c>
      <c r="I25" s="392"/>
      <c r="J25" s="393">
        <f>SUMIF(87:87,I26,88:88)-SUMIF(87:87,C26,88:88)+100</f>
        <v>100</v>
      </c>
      <c r="K25" s="570"/>
      <c r="L25" s="2932"/>
      <c r="M25" s="2926"/>
      <c r="N25" s="2926"/>
      <c r="O25" s="2926"/>
      <c r="P25" s="3463"/>
      <c r="Q25" s="1526" t="str">
        <f>B25</f>
        <v>毗邻道路的类型与等级</v>
      </c>
      <c r="R25" s="712" t="s">
        <v>17</v>
      </c>
      <c r="S25" s="713">
        <f>F25</f>
        <v>100</v>
      </c>
      <c r="T25" s="712" t="s">
        <v>17</v>
      </c>
      <c r="U25" s="713">
        <f>H25</f>
        <v>100</v>
      </c>
      <c r="V25" s="712" t="s">
        <v>17</v>
      </c>
      <c r="W25" s="713">
        <f>J25</f>
        <v>100</v>
      </c>
      <c r="X25" s="1529"/>
      <c r="Y25" s="3363"/>
      <c r="Z25" s="1530" t="str">
        <f>Q25</f>
        <v>毗邻道路的类型与等级</v>
      </c>
      <c r="AA25" s="1527">
        <f t="shared" si="3"/>
        <v>1</v>
      </c>
      <c r="AB25" s="1527">
        <f t="shared" si="4"/>
        <v>1</v>
      </c>
      <c r="AC25" s="2135">
        <f t="shared" si="5"/>
        <v>1</v>
      </c>
    </row>
    <row r="26" spans="1:29" ht="15">
      <c r="A26" s="363"/>
      <c r="B26" s="587"/>
      <c r="C26" s="589"/>
      <c r="D26" s="393"/>
      <c r="E26" s="572"/>
      <c r="F26" s="393"/>
      <c r="G26" s="589"/>
      <c r="H26" s="393"/>
      <c r="I26" s="572"/>
      <c r="J26" s="393"/>
      <c r="K26" s="571"/>
      <c r="L26" s="2932"/>
      <c r="M26" s="2926"/>
      <c r="N26" s="2926"/>
      <c r="O26" s="2926"/>
      <c r="P26" s="3463"/>
      <c r="Q26" s="1526"/>
      <c r="R26" s="712"/>
      <c r="S26" s="713"/>
      <c r="T26" s="712"/>
      <c r="U26" s="713"/>
      <c r="V26" s="712"/>
      <c r="W26" s="713"/>
      <c r="X26" s="1529"/>
      <c r="Y26" s="3363"/>
      <c r="Z26" s="1530"/>
      <c r="AA26" s="1527">
        <v>1</v>
      </c>
      <c r="AB26" s="1527">
        <v>1</v>
      </c>
      <c r="AC26" s="2135">
        <v>1</v>
      </c>
    </row>
    <row r="27" spans="1:29" ht="15">
      <c r="A27" s="386"/>
      <c r="B27" s="587" t="s">
        <v>2474</v>
      </c>
      <c r="C27" s="589"/>
      <c r="D27" s="393">
        <v>100</v>
      </c>
      <c r="E27" s="572"/>
      <c r="F27" s="393">
        <f>SUMIF(89:89,E27,90:90)-SUMIF(89:89,C27,90:90)+100</f>
        <v>100</v>
      </c>
      <c r="G27" s="589"/>
      <c r="H27" s="393">
        <f>SUMIF(89:89,G27,90:90)-SUMIF(89:89,C27,90:90)+100</f>
        <v>100</v>
      </c>
      <c r="I27" s="572"/>
      <c r="J27" s="393">
        <f>SUMIF(89:89,I27,90:90)-SUMIF(89:89,C27,90:90)+100</f>
        <v>100</v>
      </c>
      <c r="K27" s="568"/>
      <c r="L27" s="2932"/>
      <c r="M27" s="2926"/>
      <c r="N27" s="2926"/>
      <c r="O27" s="2926"/>
      <c r="P27" s="3463"/>
      <c r="Q27" s="1526" t="str">
        <f t="shared" ref="Q27:Q47" si="11">B27</f>
        <v>楼层</v>
      </c>
      <c r="R27" s="712" t="s">
        <v>17</v>
      </c>
      <c r="S27" s="713">
        <f>F27</f>
        <v>100</v>
      </c>
      <c r="T27" s="712" t="s">
        <v>17</v>
      </c>
      <c r="U27" s="713">
        <f>H27</f>
        <v>100</v>
      </c>
      <c r="V27" s="712" t="s">
        <v>17</v>
      </c>
      <c r="W27" s="713">
        <f>J27</f>
        <v>100</v>
      </c>
      <c r="X27" s="1529"/>
      <c r="Y27" s="3363"/>
      <c r="Z27" s="1530" t="str">
        <f>Q27</f>
        <v>楼层</v>
      </c>
      <c r="AA27" s="1527">
        <f t="shared" si="3"/>
        <v>1</v>
      </c>
      <c r="AB27" s="1527">
        <f t="shared" si="4"/>
        <v>1</v>
      </c>
      <c r="AC27" s="2135">
        <f t="shared" si="5"/>
        <v>1</v>
      </c>
    </row>
    <row r="28" spans="1:29" s="113" customFormat="1" ht="15">
      <c r="A28" s="389"/>
      <c r="B28" s="586" t="s">
        <v>2507</v>
      </c>
      <c r="C28" s="2138"/>
      <c r="D28" s="420">
        <v>100</v>
      </c>
      <c r="E28" s="2129"/>
      <c r="F28" s="420">
        <f>SUMIF(91:91,E28,92:92)-SUMIF(91:91,C28,92:92)+100</f>
        <v>100</v>
      </c>
      <c r="G28" s="2138"/>
      <c r="H28" s="420">
        <f>SUMIF(91:91,G28,92:92)-SUMIF(91:91,C28,92:92)+100</f>
        <v>100</v>
      </c>
      <c r="I28" s="2129"/>
      <c r="J28" s="420">
        <f>SUMIF(91:91,I28,92:92)-SUMIF(91:91,C28,92:92)+100</f>
        <v>100</v>
      </c>
      <c r="K28" s="568"/>
      <c r="L28" s="2927"/>
      <c r="M28" s="2928"/>
      <c r="N28" s="2928"/>
      <c r="O28" s="2928"/>
      <c r="P28" s="3463"/>
      <c r="Q28" s="1517" t="str">
        <f t="shared" si="11"/>
        <v>朝向</v>
      </c>
      <c r="R28" s="708" t="s">
        <v>17</v>
      </c>
      <c r="S28" s="709">
        <f>F28</f>
        <v>100</v>
      </c>
      <c r="T28" s="708" t="s">
        <v>17</v>
      </c>
      <c r="U28" s="709">
        <f>H28</f>
        <v>100</v>
      </c>
      <c r="V28" s="708" t="s">
        <v>17</v>
      </c>
      <c r="W28" s="709">
        <f>J28</f>
        <v>100</v>
      </c>
      <c r="X28" s="710"/>
      <c r="Y28" s="3363"/>
      <c r="Z28" s="55" t="str">
        <f>Q28</f>
        <v>朝向</v>
      </c>
      <c r="AA28" s="1527">
        <f>D28/F28</f>
        <v>1</v>
      </c>
      <c r="AB28" s="1527">
        <f>D28/H28</f>
        <v>1</v>
      </c>
      <c r="AC28" s="2135">
        <f>D28/J28</f>
        <v>1</v>
      </c>
    </row>
    <row r="29" spans="1:29" ht="15">
      <c r="A29" s="386"/>
      <c r="B29" s="2139">
        <v>111</v>
      </c>
      <c r="C29" s="2081"/>
      <c r="D29" s="393">
        <v>100</v>
      </c>
      <c r="E29" s="390"/>
      <c r="F29" s="393">
        <f>SUMIF(93:93,E29,94:94)-SUMIF(93:93,C29,94:94)+100</f>
        <v>100</v>
      </c>
      <c r="G29" s="2133"/>
      <c r="H29" s="393">
        <f>SUMIF(93:93,G29,94:94)-SUMIF(93:93,C29,94:94)+100</f>
        <v>100</v>
      </c>
      <c r="I29" s="390"/>
      <c r="J29" s="393">
        <f>SUMIF(93:93,I29,94:94)-SUMIF(93:93,C29,94:94)+100</f>
        <v>100</v>
      </c>
      <c r="K29" s="569"/>
      <c r="L29" s="2932"/>
      <c r="M29" s="2926"/>
      <c r="N29" s="2926"/>
      <c r="O29" s="2926"/>
      <c r="P29" s="3463"/>
      <c r="Q29" s="1526">
        <f t="shared" si="11"/>
        <v>111</v>
      </c>
      <c r="R29" s="712" t="s">
        <v>17</v>
      </c>
      <c r="S29" s="713">
        <f t="shared" ref="S29:S47" si="12">F29</f>
        <v>100</v>
      </c>
      <c r="T29" s="712" t="s">
        <v>17</v>
      </c>
      <c r="U29" s="713">
        <f t="shared" ref="U29:U47" si="13">H29</f>
        <v>100</v>
      </c>
      <c r="V29" s="712" t="s">
        <v>17</v>
      </c>
      <c r="W29" s="713">
        <f t="shared" ref="W29:W47" si="14">J29</f>
        <v>100</v>
      </c>
      <c r="X29" s="1529"/>
      <c r="Y29" s="3363"/>
      <c r="Z29" s="1530">
        <f t="shared" ref="Z29:Z47" si="15">Q29</f>
        <v>111</v>
      </c>
      <c r="AA29" s="1527">
        <f t="shared" si="3"/>
        <v>1</v>
      </c>
      <c r="AB29" s="1527">
        <f t="shared" si="4"/>
        <v>1</v>
      </c>
      <c r="AC29" s="2135">
        <f t="shared" si="5"/>
        <v>1</v>
      </c>
    </row>
    <row r="30" spans="1:29" ht="15">
      <c r="A30" s="386"/>
      <c r="B30" s="2139">
        <v>111</v>
      </c>
      <c r="C30" s="2081"/>
      <c r="D30" s="393">
        <v>100</v>
      </c>
      <c r="E30" s="390"/>
      <c r="F30" s="393">
        <f>SUMIF(95:95,E30,96:96)-SUMIF(95:95,C30,96:96)+100</f>
        <v>100</v>
      </c>
      <c r="G30" s="2133"/>
      <c r="H30" s="393">
        <f>SUMIF(95:95,G30,96:96)-SUMIF(95:95,C30,96:96)+100</f>
        <v>100</v>
      </c>
      <c r="I30" s="390"/>
      <c r="J30" s="393">
        <f>SUMIF(95:95,I30,96:96)-SUMIF(95:95,C30,96:96)+100</f>
        <v>100</v>
      </c>
      <c r="K30" s="569"/>
      <c r="L30" s="2932"/>
      <c r="M30" s="2926"/>
      <c r="N30" s="2926"/>
      <c r="O30" s="2926"/>
      <c r="P30" s="3463"/>
      <c r="Q30" s="1526">
        <f t="shared" si="11"/>
        <v>111</v>
      </c>
      <c r="R30" s="712" t="s">
        <v>17</v>
      </c>
      <c r="S30" s="713">
        <f t="shared" si="12"/>
        <v>100</v>
      </c>
      <c r="T30" s="712" t="s">
        <v>17</v>
      </c>
      <c r="U30" s="713">
        <f t="shared" si="13"/>
        <v>100</v>
      </c>
      <c r="V30" s="712" t="s">
        <v>17</v>
      </c>
      <c r="W30" s="713">
        <f t="shared" si="14"/>
        <v>100</v>
      </c>
      <c r="X30" s="1529"/>
      <c r="Y30" s="3363"/>
      <c r="Z30" s="1530">
        <f t="shared" si="15"/>
        <v>111</v>
      </c>
      <c r="AA30" s="1527">
        <f t="shared" si="3"/>
        <v>1</v>
      </c>
      <c r="AB30" s="1527">
        <f t="shared" si="4"/>
        <v>1</v>
      </c>
      <c r="AC30" s="2135">
        <f t="shared" si="5"/>
        <v>1</v>
      </c>
    </row>
    <row r="31" spans="1:29" ht="15">
      <c r="A31" s="386"/>
      <c r="B31" s="2139">
        <v>111</v>
      </c>
      <c r="C31" s="2081"/>
      <c r="D31" s="393">
        <v>100</v>
      </c>
      <c r="E31" s="390"/>
      <c r="F31" s="393">
        <f>SUMIF(97:97,E31,98:98)-SUMIF(97:97,C31,98:98)+100</f>
        <v>100</v>
      </c>
      <c r="G31" s="2133"/>
      <c r="H31" s="393">
        <f>SUMIF(97:97,G31,98:98)-SUMIF(97:97,C31,98:98)+100</f>
        <v>100</v>
      </c>
      <c r="I31" s="390"/>
      <c r="J31" s="393">
        <f>SUMIF(97:97,I31,98:98)-SUMIF(97:97,C31,98:98)+100</f>
        <v>100</v>
      </c>
      <c r="K31" s="569"/>
      <c r="L31" s="2932"/>
      <c r="M31" s="2926"/>
      <c r="N31" s="2926"/>
      <c r="O31" s="2926"/>
      <c r="P31" s="3463"/>
      <c r="Q31" s="1526">
        <f t="shared" si="11"/>
        <v>111</v>
      </c>
      <c r="R31" s="712" t="s">
        <v>17</v>
      </c>
      <c r="S31" s="713">
        <f t="shared" si="12"/>
        <v>100</v>
      </c>
      <c r="T31" s="712" t="s">
        <v>17</v>
      </c>
      <c r="U31" s="713">
        <f t="shared" si="13"/>
        <v>100</v>
      </c>
      <c r="V31" s="712" t="s">
        <v>17</v>
      </c>
      <c r="W31" s="713">
        <f t="shared" si="14"/>
        <v>100</v>
      </c>
      <c r="X31" s="1529"/>
      <c r="Y31" s="3363"/>
      <c r="Z31" s="1530">
        <f t="shared" si="15"/>
        <v>111</v>
      </c>
      <c r="AA31" s="1527">
        <f t="shared" si="3"/>
        <v>1</v>
      </c>
      <c r="AB31" s="1527">
        <f t="shared" si="4"/>
        <v>1</v>
      </c>
      <c r="AC31" s="2135">
        <f t="shared" si="5"/>
        <v>1</v>
      </c>
    </row>
    <row r="32" spans="1:29" ht="15.75" thickBot="1">
      <c r="A32" s="394"/>
      <c r="B32" s="590">
        <v>111</v>
      </c>
      <c r="C32" s="2082"/>
      <c r="D32" s="396">
        <v>100</v>
      </c>
      <c r="E32" s="583"/>
      <c r="F32" s="396">
        <f>SUMIF(99:99,E32,100:100)-SUMIF(99:99,C32,100:100)+100</f>
        <v>100</v>
      </c>
      <c r="G32" s="2133"/>
      <c r="H32" s="396">
        <f>SUMIF(99:99,G32,100:100)-SUMIF(99:99,C32,100:100)+100</f>
        <v>100</v>
      </c>
      <c r="I32" s="390"/>
      <c r="J32" s="396">
        <f>SUMIF(99:99,I32,100:100)-SUMIF(99:99,C32,100:100)+100</f>
        <v>100</v>
      </c>
      <c r="K32" s="569"/>
      <c r="L32" s="2932"/>
      <c r="M32" s="2926"/>
      <c r="N32" s="2926"/>
      <c r="O32" s="2926"/>
      <c r="P32" s="3463"/>
      <c r="Q32" s="1526">
        <f t="shared" si="11"/>
        <v>111</v>
      </c>
      <c r="R32" s="712" t="s">
        <v>17</v>
      </c>
      <c r="S32" s="713">
        <f t="shared" si="12"/>
        <v>100</v>
      </c>
      <c r="T32" s="712" t="s">
        <v>17</v>
      </c>
      <c r="U32" s="713">
        <f t="shared" si="13"/>
        <v>100</v>
      </c>
      <c r="V32" s="712" t="s">
        <v>17</v>
      </c>
      <c r="W32" s="713">
        <f t="shared" si="14"/>
        <v>100</v>
      </c>
      <c r="X32" s="1529"/>
      <c r="Y32" s="3363"/>
      <c r="Z32" s="1530">
        <f t="shared" si="15"/>
        <v>111</v>
      </c>
      <c r="AA32" s="1527">
        <f t="shared" si="3"/>
        <v>1</v>
      </c>
      <c r="AB32" s="1527">
        <f t="shared" si="4"/>
        <v>1</v>
      </c>
      <c r="AC32" s="2135">
        <f t="shared" si="5"/>
        <v>1</v>
      </c>
    </row>
    <row r="33" spans="1:29" ht="15">
      <c r="A33" s="398" t="s">
        <v>2378</v>
      </c>
      <c r="B33" s="67" t="s">
        <v>2508</v>
      </c>
      <c r="C33" s="2140"/>
      <c r="D33" s="425">
        <v>100</v>
      </c>
      <c r="E33" s="2140"/>
      <c r="F33" s="419">
        <f>SUMIF(101:101,E33,102:102)-SUMIF(101:101,C33,102:102)+100</f>
        <v>100</v>
      </c>
      <c r="G33" s="2140"/>
      <c r="H33" s="393">
        <f>SUMIF(101:101,G33,102:102)-SUMIF(101:101,C33,102:102)+100</f>
        <v>100</v>
      </c>
      <c r="I33" s="2140"/>
      <c r="J33" s="425">
        <f>SUMIF(101:101,I33,102:102)-SUMIF(101:101,C33,102:102)+100</f>
        <v>100</v>
      </c>
      <c r="K33" s="568"/>
      <c r="L33" s="2932"/>
      <c r="M33" s="2926"/>
      <c r="N33" s="2926"/>
      <c r="O33" s="2926"/>
      <c r="P33" s="3458" t="s">
        <v>2380</v>
      </c>
      <c r="Q33" s="1526" t="str">
        <f t="shared" si="11"/>
        <v>建筑类型</v>
      </c>
      <c r="R33" s="712" t="s">
        <v>17</v>
      </c>
      <c r="S33" s="713">
        <f t="shared" si="12"/>
        <v>100</v>
      </c>
      <c r="T33" s="712" t="s">
        <v>17</v>
      </c>
      <c r="U33" s="713">
        <f t="shared" si="13"/>
        <v>100</v>
      </c>
      <c r="V33" s="712" t="s">
        <v>17</v>
      </c>
      <c r="W33" s="713">
        <f t="shared" si="14"/>
        <v>100</v>
      </c>
      <c r="X33" s="1529"/>
      <c r="Y33" s="3365" t="s">
        <v>2380</v>
      </c>
      <c r="Z33" s="1530" t="str">
        <f t="shared" si="15"/>
        <v>建筑类型</v>
      </c>
      <c r="AA33" s="1527">
        <f t="shared" si="3"/>
        <v>1</v>
      </c>
      <c r="AB33" s="1527">
        <f t="shared" si="4"/>
        <v>1</v>
      </c>
      <c r="AC33" s="2135">
        <f t="shared" si="5"/>
        <v>1</v>
      </c>
    </row>
    <row r="34" spans="1:29" s="429" customFormat="1" ht="15">
      <c r="A34" s="426"/>
      <c r="B34" s="380" t="s">
        <v>2381</v>
      </c>
      <c r="C34" s="427"/>
      <c r="D34" s="132">
        <v>100</v>
      </c>
      <c r="E34" s="388"/>
      <c r="F34" s="383" t="e">
        <f>LOOKUP(E34,104:104,105:105)-LOOKUP(C34,104:104,105:105)+100</f>
        <v>#N/A</v>
      </c>
      <c r="G34" s="387"/>
      <c r="H34" s="132" t="e">
        <f>LOOKUP(G34,104:104,105:105)-LOOKUP(C34,104:104,105:105)+100</f>
        <v>#N/A</v>
      </c>
      <c r="I34" s="387"/>
      <c r="J34" s="132" t="e">
        <f>LOOKUP(I34,104:104,105:105)-LOOKUP(C34,104:104,105:105)+100</f>
        <v>#N/A</v>
      </c>
      <c r="K34" s="569"/>
      <c r="L34" s="2931"/>
      <c r="M34" s="2933"/>
      <c r="N34" s="2933"/>
      <c r="O34" s="2933"/>
      <c r="P34" s="3459"/>
      <c r="Q34" s="714" t="str">
        <f t="shared" si="11"/>
        <v>项目建筑规模</v>
      </c>
      <c r="R34" s="715" t="s">
        <v>17</v>
      </c>
      <c r="S34" s="716" t="e">
        <f t="shared" si="12"/>
        <v>#N/A</v>
      </c>
      <c r="T34" s="715" t="s">
        <v>17</v>
      </c>
      <c r="U34" s="716" t="e">
        <f t="shared" si="13"/>
        <v>#N/A</v>
      </c>
      <c r="V34" s="715" t="s">
        <v>17</v>
      </c>
      <c r="W34" s="716" t="e">
        <f t="shared" si="14"/>
        <v>#N/A</v>
      </c>
      <c r="X34" s="717"/>
      <c r="Y34" s="3365"/>
      <c r="Z34" s="718" t="str">
        <f t="shared" si="15"/>
        <v>项目建筑规模</v>
      </c>
      <c r="AA34" s="1527" t="e">
        <f t="shared" si="3"/>
        <v>#N/A</v>
      </c>
      <c r="AB34" s="1527" t="e">
        <f t="shared" si="4"/>
        <v>#N/A</v>
      </c>
      <c r="AC34" s="2135" t="e">
        <f t="shared" si="5"/>
        <v>#N/A</v>
      </c>
    </row>
    <row r="35" spans="1:29" ht="15">
      <c r="A35" s="430"/>
      <c r="B35" s="380" t="s">
        <v>2382</v>
      </c>
      <c r="C35" s="418"/>
      <c r="D35" s="393">
        <v>100</v>
      </c>
      <c r="E35" s="418"/>
      <c r="F35" s="419">
        <f>SUMIF(106:106,E35,107:107)-SUMIF(106:106,C35,107:107)+100</f>
        <v>100</v>
      </c>
      <c r="G35" s="418"/>
      <c r="H35" s="393">
        <f>SUMIF(106:106,G35,107:107)-SUMIF(106:106,C35,107:107)+100</f>
        <v>100</v>
      </c>
      <c r="I35" s="418"/>
      <c r="J35" s="393">
        <f>SUMIF(106:106,I35,107:107)-SUMIF(106:106,C35,107:107)+100</f>
        <v>100</v>
      </c>
      <c r="K35" s="568"/>
      <c r="L35" s="2932"/>
      <c r="M35" s="2926"/>
      <c r="N35" s="2926"/>
      <c r="O35" s="2926"/>
      <c r="P35" s="3459"/>
      <c r="Q35" s="1526" t="str">
        <f t="shared" si="11"/>
        <v>建筑结构</v>
      </c>
      <c r="R35" s="712" t="s">
        <v>17</v>
      </c>
      <c r="S35" s="713">
        <f t="shared" si="12"/>
        <v>100</v>
      </c>
      <c r="T35" s="712" t="s">
        <v>17</v>
      </c>
      <c r="U35" s="713">
        <f t="shared" si="13"/>
        <v>100</v>
      </c>
      <c r="V35" s="712" t="s">
        <v>17</v>
      </c>
      <c r="W35" s="713">
        <f t="shared" si="14"/>
        <v>100</v>
      </c>
      <c r="X35" s="1529"/>
      <c r="Y35" s="3365"/>
      <c r="Z35" s="1530" t="str">
        <f t="shared" si="15"/>
        <v>建筑结构</v>
      </c>
      <c r="AA35" s="1527">
        <f t="shared" si="3"/>
        <v>1</v>
      </c>
      <c r="AB35" s="1527">
        <f t="shared" si="4"/>
        <v>1</v>
      </c>
      <c r="AC35" s="2135">
        <f t="shared" si="5"/>
        <v>1</v>
      </c>
    </row>
    <row r="36" spans="1:29" ht="15">
      <c r="A36" s="430"/>
      <c r="B36" s="380" t="s">
        <v>2476</v>
      </c>
      <c r="C36" s="418"/>
      <c r="D36" s="393">
        <v>100</v>
      </c>
      <c r="E36" s="418"/>
      <c r="F36" s="419">
        <f>SUMIF(108:108,E36,109:109)-SUMIF(108:108,C36,109:109)+100</f>
        <v>100</v>
      </c>
      <c r="G36" s="418"/>
      <c r="H36" s="393">
        <f>SUMIF(108:108,G36,109:109)-SUMIF(108:108,C36,109:109)+100</f>
        <v>100</v>
      </c>
      <c r="I36" s="418"/>
      <c r="J36" s="393">
        <f>SUMIF(108:108,I36,109:109)-SUMIF(108:108,C36,109:109)+100</f>
        <v>100</v>
      </c>
      <c r="K36" s="568"/>
      <c r="L36" s="2932"/>
      <c r="M36" s="2926"/>
      <c r="N36" s="2926"/>
      <c r="O36" s="2926"/>
      <c r="P36" s="3459"/>
      <c r="Q36" s="1526" t="str">
        <f t="shared" si="11"/>
        <v>公共部分装修</v>
      </c>
      <c r="R36" s="712" t="s">
        <v>17</v>
      </c>
      <c r="S36" s="713">
        <f t="shared" si="12"/>
        <v>100</v>
      </c>
      <c r="T36" s="712" t="s">
        <v>17</v>
      </c>
      <c r="U36" s="713">
        <f t="shared" si="13"/>
        <v>100</v>
      </c>
      <c r="V36" s="712" t="s">
        <v>17</v>
      </c>
      <c r="W36" s="713">
        <f t="shared" si="14"/>
        <v>100</v>
      </c>
      <c r="X36" s="1529"/>
      <c r="Y36" s="3365"/>
      <c r="Z36" s="1530" t="str">
        <f t="shared" si="15"/>
        <v>公共部分装修</v>
      </c>
      <c r="AA36" s="1527">
        <f t="shared" si="3"/>
        <v>1</v>
      </c>
      <c r="AB36" s="1527">
        <f t="shared" si="4"/>
        <v>1</v>
      </c>
      <c r="AC36" s="2135">
        <f t="shared" si="5"/>
        <v>1</v>
      </c>
    </row>
    <row r="37" spans="1:29" ht="15">
      <c r="A37" s="430"/>
      <c r="B37" s="380" t="s">
        <v>2477</v>
      </c>
      <c r="C37" s="432"/>
      <c r="D37" s="393">
        <v>100</v>
      </c>
      <c r="E37" s="432"/>
      <c r="F37" s="419" t="e">
        <f>LOOKUP(E37,111:111,112:112)-LOOKUP(C37,111:111,112:112)+100</f>
        <v>#N/A</v>
      </c>
      <c r="G37" s="432"/>
      <c r="H37" s="419" t="e">
        <f>LOOKUP(G37,111:111,112:112)-LOOKUP(C37,111:111,112:112)+100</f>
        <v>#N/A</v>
      </c>
      <c r="I37" s="432"/>
      <c r="J37" s="393" t="e">
        <f>LOOKUP(I37,111:111,112:112)-LOOKUP(C37,111:111,112:112)+100</f>
        <v>#N/A</v>
      </c>
      <c r="K37" s="568"/>
      <c r="L37" s="2932"/>
      <c r="M37" s="2926"/>
      <c r="N37" s="2926"/>
      <c r="O37" s="2926"/>
      <c r="P37" s="3459"/>
      <c r="Q37" s="1526" t="str">
        <f t="shared" si="11"/>
        <v>成新度</v>
      </c>
      <c r="R37" s="712" t="s">
        <v>17</v>
      </c>
      <c r="S37" s="713" t="e">
        <f t="shared" si="12"/>
        <v>#N/A</v>
      </c>
      <c r="T37" s="712" t="s">
        <v>17</v>
      </c>
      <c r="U37" s="713" t="e">
        <f t="shared" si="13"/>
        <v>#N/A</v>
      </c>
      <c r="V37" s="712" t="s">
        <v>17</v>
      </c>
      <c r="W37" s="713" t="e">
        <f t="shared" si="14"/>
        <v>#N/A</v>
      </c>
      <c r="X37" s="1529"/>
      <c r="Y37" s="3365"/>
      <c r="Z37" s="1530" t="str">
        <f t="shared" si="15"/>
        <v>成新度</v>
      </c>
      <c r="AA37" s="1527" t="e">
        <f t="shared" si="3"/>
        <v>#N/A</v>
      </c>
      <c r="AB37" s="1527" t="e">
        <f t="shared" si="4"/>
        <v>#N/A</v>
      </c>
      <c r="AC37" s="2135" t="e">
        <f t="shared" si="5"/>
        <v>#N/A</v>
      </c>
    </row>
    <row r="38" spans="1:29" s="113" customFormat="1" ht="15">
      <c r="A38" s="431"/>
      <c r="B38" s="380" t="s">
        <v>2509</v>
      </c>
      <c r="C38" s="418"/>
      <c r="D38" s="132">
        <v>100</v>
      </c>
      <c r="E38" s="418"/>
      <c r="F38" s="419">
        <f>SUMIF(113:113,E38,114:114)-SUMIF(113:113,C38,114:114)+100</f>
        <v>100</v>
      </c>
      <c r="G38" s="418"/>
      <c r="H38" s="393">
        <f>SUMIF(113:113,G38,114:114)-SUMIF(113:113,C38,114:114)+100</f>
        <v>100</v>
      </c>
      <c r="I38" s="418"/>
      <c r="J38" s="393">
        <f>SUMIF(113:113,I38,114:114)-SUMIF(113:113,C38,114:114)+100</f>
        <v>100</v>
      </c>
      <c r="K38" s="568"/>
      <c r="L38" s="2927"/>
      <c r="M38" s="2928"/>
      <c r="N38" s="2928"/>
      <c r="O38" s="2928"/>
      <c r="P38" s="3459"/>
      <c r="Q38" s="1517" t="str">
        <f t="shared" si="11"/>
        <v>写字楼等级</v>
      </c>
      <c r="R38" s="708" t="s">
        <v>17</v>
      </c>
      <c r="S38" s="709">
        <f t="shared" si="12"/>
        <v>100</v>
      </c>
      <c r="T38" s="708" t="s">
        <v>17</v>
      </c>
      <c r="U38" s="709">
        <f t="shared" si="13"/>
        <v>100</v>
      </c>
      <c r="V38" s="708" t="s">
        <v>17</v>
      </c>
      <c r="W38" s="709">
        <f t="shared" si="14"/>
        <v>100</v>
      </c>
      <c r="X38" s="710"/>
      <c r="Y38" s="3365"/>
      <c r="Z38" s="55" t="str">
        <f t="shared" si="15"/>
        <v>写字楼等级</v>
      </c>
      <c r="AA38" s="711">
        <f t="shared" si="3"/>
        <v>1</v>
      </c>
      <c r="AB38" s="711">
        <f t="shared" si="4"/>
        <v>1</v>
      </c>
      <c r="AC38" s="2132">
        <f t="shared" si="5"/>
        <v>1</v>
      </c>
    </row>
    <row r="39" spans="1:29" ht="15">
      <c r="A39" s="430"/>
      <c r="B39" s="380" t="s">
        <v>2510</v>
      </c>
      <c r="C39" s="418"/>
      <c r="D39" s="393">
        <v>100</v>
      </c>
      <c r="E39" s="418"/>
      <c r="F39" s="419">
        <f>SUMIF(115:115,E39,116:116)-SUMIF(115:115,C39,116:116)+100</f>
        <v>100</v>
      </c>
      <c r="G39" s="418"/>
      <c r="H39" s="393">
        <f>SUMIF(115:115,G39,116:116)-SUMIF(115:115,C39,116:116)+100</f>
        <v>100</v>
      </c>
      <c r="I39" s="418"/>
      <c r="J39" s="393">
        <f>SUMIF(115:115,I39,116:116)-SUMIF(115:115,C39,116:116)+100</f>
        <v>100</v>
      </c>
      <c r="K39" s="568"/>
      <c r="L39" s="2932"/>
      <c r="M39" s="2926"/>
      <c r="N39" s="2926"/>
      <c r="O39" s="2926"/>
      <c r="P39" s="3459" t="s">
        <v>2380</v>
      </c>
      <c r="Q39" s="1526" t="str">
        <f t="shared" si="11"/>
        <v>物业管理</v>
      </c>
      <c r="R39" s="712" t="s">
        <v>17</v>
      </c>
      <c r="S39" s="713">
        <f t="shared" si="12"/>
        <v>100</v>
      </c>
      <c r="T39" s="712" t="s">
        <v>17</v>
      </c>
      <c r="U39" s="713">
        <f t="shared" si="13"/>
        <v>100</v>
      </c>
      <c r="V39" s="712" t="s">
        <v>17</v>
      </c>
      <c r="W39" s="713">
        <f t="shared" si="14"/>
        <v>100</v>
      </c>
      <c r="X39" s="1529"/>
      <c r="Y39" s="3365" t="s">
        <v>2380</v>
      </c>
      <c r="Z39" s="1530" t="str">
        <f t="shared" si="15"/>
        <v>物业管理</v>
      </c>
      <c r="AA39" s="1527">
        <f t="shared" si="3"/>
        <v>1</v>
      </c>
      <c r="AB39" s="1527">
        <f t="shared" si="4"/>
        <v>1</v>
      </c>
      <c r="AC39" s="2135">
        <f t="shared" si="5"/>
        <v>1</v>
      </c>
    </row>
    <row r="40" spans="1:29" ht="15">
      <c r="A40" s="430"/>
      <c r="B40" s="380" t="s">
        <v>2478</v>
      </c>
      <c r="C40" s="418"/>
      <c r="D40" s="393">
        <v>100</v>
      </c>
      <c r="E40" s="418"/>
      <c r="F40" s="419">
        <f>SUMIF(117:117,E40,118:118)-SUMIF(117:117,C40,118:118)+100</f>
        <v>100</v>
      </c>
      <c r="G40" s="418"/>
      <c r="H40" s="393">
        <f>SUMIF(117:117,G40,118:118)-SUMIF(117:117,C40,118:118)+100</f>
        <v>100</v>
      </c>
      <c r="I40" s="418"/>
      <c r="J40" s="393">
        <f>SUMIF(117:117,I40,118:118)-SUMIF(117:117,C40,118:118)+100</f>
        <v>100</v>
      </c>
      <c r="K40" s="568"/>
      <c r="L40" s="2932"/>
      <c r="M40" s="2926"/>
      <c r="N40" s="2926"/>
      <c r="O40" s="2926"/>
      <c r="P40" s="3459"/>
      <c r="Q40" s="1526" t="str">
        <f t="shared" si="11"/>
        <v>市政基础设施</v>
      </c>
      <c r="R40" s="712" t="s">
        <v>17</v>
      </c>
      <c r="S40" s="713">
        <f t="shared" si="12"/>
        <v>100</v>
      </c>
      <c r="T40" s="712" t="s">
        <v>17</v>
      </c>
      <c r="U40" s="713">
        <f t="shared" si="13"/>
        <v>100</v>
      </c>
      <c r="V40" s="712" t="s">
        <v>17</v>
      </c>
      <c r="W40" s="713">
        <f t="shared" si="14"/>
        <v>100</v>
      </c>
      <c r="X40" s="1529"/>
      <c r="Y40" s="3365"/>
      <c r="Z40" s="1530" t="str">
        <f t="shared" si="15"/>
        <v>市政基础设施</v>
      </c>
      <c r="AA40" s="1527">
        <f t="shared" si="3"/>
        <v>1</v>
      </c>
      <c r="AB40" s="1527">
        <f t="shared" si="4"/>
        <v>1</v>
      </c>
      <c r="AC40" s="2135">
        <f t="shared" si="5"/>
        <v>1</v>
      </c>
    </row>
    <row r="41" spans="1:29" ht="15">
      <c r="A41" s="430"/>
      <c r="B41" s="380" t="s">
        <v>2480</v>
      </c>
      <c r="C41" s="572"/>
      <c r="D41" s="393">
        <v>100</v>
      </c>
      <c r="E41" s="572"/>
      <c r="F41" s="419">
        <f>SUMIF(119:119,E41,120:120)-SUMIF(119:119,C41,120:120)+100</f>
        <v>100</v>
      </c>
      <c r="G41" s="572"/>
      <c r="H41" s="393">
        <f>SUMIF(119:119,G41,120:120)-SUMIF(119:119,C41,120:120)+100</f>
        <v>100</v>
      </c>
      <c r="I41" s="572"/>
      <c r="J41" s="393">
        <f>SUMIF(119:119,I41,120:120)-SUMIF(119:119,C41,120:120)+100</f>
        <v>100</v>
      </c>
      <c r="K41" s="568"/>
      <c r="L41" s="2932"/>
      <c r="M41" s="2926"/>
      <c r="N41" s="2926"/>
      <c r="O41" s="2926"/>
      <c r="P41" s="3459"/>
      <c r="Q41" s="1526" t="str">
        <f t="shared" si="11"/>
        <v>层高</v>
      </c>
      <c r="R41" s="712" t="s">
        <v>17</v>
      </c>
      <c r="S41" s="713">
        <f t="shared" si="12"/>
        <v>100</v>
      </c>
      <c r="T41" s="712" t="s">
        <v>17</v>
      </c>
      <c r="U41" s="713">
        <f t="shared" si="13"/>
        <v>100</v>
      </c>
      <c r="V41" s="712" t="s">
        <v>17</v>
      </c>
      <c r="W41" s="713">
        <f t="shared" si="14"/>
        <v>100</v>
      </c>
      <c r="X41" s="1529"/>
      <c r="Y41" s="3365"/>
      <c r="Z41" s="1530" t="str">
        <f t="shared" si="15"/>
        <v>层高</v>
      </c>
      <c r="AA41" s="1527">
        <f t="shared" si="3"/>
        <v>1</v>
      </c>
      <c r="AB41" s="1527">
        <f t="shared" si="4"/>
        <v>1</v>
      </c>
      <c r="AC41" s="2135">
        <f t="shared" si="5"/>
        <v>1</v>
      </c>
    </row>
    <row r="42" spans="1:29" s="429" customFormat="1" ht="15">
      <c r="A42" s="426"/>
      <c r="B42" s="1528" t="s">
        <v>2511</v>
      </c>
      <c r="C42" s="392"/>
      <c r="D42" s="393">
        <v>100</v>
      </c>
      <c r="E42" s="392"/>
      <c r="F42" s="419">
        <f>SUMIF(121:121,E42,122:122)-SUMIF(121:121,C42,122:122)+100</f>
        <v>100</v>
      </c>
      <c r="G42" s="392"/>
      <c r="H42" s="393">
        <f>SUMIF(121:121,G42,122:122)-SUMIF(121:121,C42,122:122)+100</f>
        <v>100</v>
      </c>
      <c r="I42" s="392"/>
      <c r="J42" s="393">
        <f>SUMIF(121:121,I42,122:122)-SUMIF(121:121,C42,122:122)+100</f>
        <v>100</v>
      </c>
      <c r="K42" s="569"/>
      <c r="L42" s="2931"/>
      <c r="M42" s="2933"/>
      <c r="N42" s="2933"/>
      <c r="O42" s="2933"/>
      <c r="P42" s="3459"/>
      <c r="Q42" s="714" t="str">
        <f t="shared" si="11"/>
        <v>单套建筑面积</v>
      </c>
      <c r="R42" s="715" t="s">
        <v>17</v>
      </c>
      <c r="S42" s="716">
        <f t="shared" si="12"/>
        <v>100</v>
      </c>
      <c r="T42" s="715" t="s">
        <v>17</v>
      </c>
      <c r="U42" s="716">
        <f t="shared" si="13"/>
        <v>100</v>
      </c>
      <c r="V42" s="715" t="s">
        <v>17</v>
      </c>
      <c r="W42" s="716">
        <f t="shared" si="14"/>
        <v>100</v>
      </c>
      <c r="X42" s="717"/>
      <c r="Y42" s="3365"/>
      <c r="Z42" s="718" t="str">
        <f t="shared" si="15"/>
        <v>单套建筑面积</v>
      </c>
      <c r="AA42" s="1527">
        <f t="shared" si="3"/>
        <v>1</v>
      </c>
      <c r="AB42" s="1527">
        <f t="shared" si="4"/>
        <v>1</v>
      </c>
      <c r="AC42" s="2135">
        <f t="shared" si="5"/>
        <v>1</v>
      </c>
    </row>
    <row r="43" spans="1:29" ht="15">
      <c r="A43" s="430"/>
      <c r="B43" s="380" t="s">
        <v>2483</v>
      </c>
      <c r="C43" s="418"/>
      <c r="D43" s="393">
        <v>100</v>
      </c>
      <c r="E43" s="418"/>
      <c r="F43" s="419">
        <f>SUMIF(123:123,E43,124:124)-SUMIF(123:123,C43,124:124)+100</f>
        <v>100</v>
      </c>
      <c r="G43" s="418"/>
      <c r="H43" s="393">
        <f>SUMIF(123:123,G43,124:124)-SUMIF(123:123,C43,124:124)+100</f>
        <v>100</v>
      </c>
      <c r="I43" s="418"/>
      <c r="J43" s="393">
        <f>SUMIF(123:123,I43,124:124)-SUMIF(123:123,C43,124:124)+100</f>
        <v>100</v>
      </c>
      <c r="K43" s="568"/>
      <c r="L43" s="2932"/>
      <c r="M43" s="2926"/>
      <c r="N43" s="2926"/>
      <c r="O43" s="2926"/>
      <c r="P43" s="3459"/>
      <c r="Q43" s="1526" t="str">
        <f t="shared" si="11"/>
        <v>内部装修</v>
      </c>
      <c r="R43" s="712" t="s">
        <v>17</v>
      </c>
      <c r="S43" s="713">
        <f t="shared" si="12"/>
        <v>100</v>
      </c>
      <c r="T43" s="712" t="s">
        <v>17</v>
      </c>
      <c r="U43" s="713">
        <f t="shared" si="13"/>
        <v>100</v>
      </c>
      <c r="V43" s="712" t="s">
        <v>17</v>
      </c>
      <c r="W43" s="713">
        <f t="shared" si="14"/>
        <v>100</v>
      </c>
      <c r="X43" s="1529"/>
      <c r="Y43" s="3365"/>
      <c r="Z43" s="1530" t="str">
        <f t="shared" si="15"/>
        <v>内部装修</v>
      </c>
      <c r="AA43" s="1527">
        <f t="shared" si="3"/>
        <v>1</v>
      </c>
      <c r="AB43" s="1527">
        <f t="shared" si="4"/>
        <v>1</v>
      </c>
      <c r="AC43" s="2135">
        <f t="shared" si="5"/>
        <v>1</v>
      </c>
    </row>
    <row r="44" spans="1:29" ht="15">
      <c r="A44" s="430"/>
      <c r="B44" s="380" t="s">
        <v>2391</v>
      </c>
      <c r="C44" s="418"/>
      <c r="D44" s="393">
        <v>100</v>
      </c>
      <c r="E44" s="2079"/>
      <c r="F44" s="419">
        <f>SUMIF(125:125,E44,126:126)-SUMIF(125:125,C44,126:126)+100</f>
        <v>100</v>
      </c>
      <c r="G44" s="2079"/>
      <c r="H44" s="393">
        <f>SUMIF(125:125,G44,126:126)-SUMIF(125:125,C44,126:126)+100</f>
        <v>100</v>
      </c>
      <c r="I44" s="2079"/>
      <c r="J44" s="393">
        <f>SUMIF(125:125,I44,126:126)-SUMIF(125:125,C44,126:126)+100</f>
        <v>100</v>
      </c>
      <c r="K44" s="568"/>
      <c r="L44" s="2932"/>
      <c r="M44" s="2926"/>
      <c r="N44" s="2926"/>
      <c r="O44" s="2926"/>
      <c r="P44" s="3459"/>
      <c r="Q44" s="1526" t="str">
        <f t="shared" si="11"/>
        <v>内部装修维护情况</v>
      </c>
      <c r="R44" s="712" t="s">
        <v>17</v>
      </c>
      <c r="S44" s="713">
        <f t="shared" si="12"/>
        <v>100</v>
      </c>
      <c r="T44" s="712" t="s">
        <v>17</v>
      </c>
      <c r="U44" s="713">
        <f t="shared" si="13"/>
        <v>100</v>
      </c>
      <c r="V44" s="712" t="s">
        <v>17</v>
      </c>
      <c r="W44" s="713">
        <f t="shared" si="14"/>
        <v>100</v>
      </c>
      <c r="X44" s="1529"/>
      <c r="Y44" s="3365"/>
      <c r="Z44" s="1530" t="str">
        <f t="shared" si="15"/>
        <v>内部装修维护情况</v>
      </c>
      <c r="AA44" s="1527">
        <f t="shared" si="3"/>
        <v>1</v>
      </c>
      <c r="AB44" s="1527">
        <f t="shared" si="4"/>
        <v>1</v>
      </c>
      <c r="AC44" s="2135">
        <f t="shared" si="5"/>
        <v>1</v>
      </c>
    </row>
    <row r="45" spans="1:29" s="113" customFormat="1" ht="15">
      <c r="A45" s="431"/>
      <c r="B45" s="1286">
        <v>111</v>
      </c>
      <c r="C45" s="427"/>
      <c r="D45" s="132">
        <v>100</v>
      </c>
      <c r="E45" s="390"/>
      <c r="F45" s="383">
        <f>SUMIF(127:127,E45,128:128)-SUMIF(127:127,C45,128:128)+100</f>
        <v>100</v>
      </c>
      <c r="G45" s="390"/>
      <c r="H45" s="132">
        <f>SUMIF(127:127,G45,128:128)-SUMIF(127:127,C45,128:128)+100</f>
        <v>100</v>
      </c>
      <c r="I45" s="390"/>
      <c r="J45" s="132">
        <f>SUMIF(127:127,I45,128:128)-SUMIF(127:127,C45,128:128)+100</f>
        <v>100</v>
      </c>
      <c r="K45" s="569"/>
      <c r="L45" s="2927"/>
      <c r="M45" s="2928"/>
      <c r="N45" s="2928"/>
      <c r="O45" s="2928"/>
      <c r="P45" s="3459"/>
      <c r="Q45" s="1517">
        <f t="shared" si="11"/>
        <v>111</v>
      </c>
      <c r="R45" s="708" t="s">
        <v>17</v>
      </c>
      <c r="S45" s="709">
        <f t="shared" si="12"/>
        <v>100</v>
      </c>
      <c r="T45" s="708" t="s">
        <v>17</v>
      </c>
      <c r="U45" s="709">
        <f t="shared" si="13"/>
        <v>100</v>
      </c>
      <c r="V45" s="708" t="s">
        <v>17</v>
      </c>
      <c r="W45" s="709">
        <f t="shared" si="14"/>
        <v>100</v>
      </c>
      <c r="X45" s="710"/>
      <c r="Y45" s="3365"/>
      <c r="Z45" s="55">
        <f t="shared" si="15"/>
        <v>111</v>
      </c>
      <c r="AA45" s="711">
        <f t="shared" si="3"/>
        <v>1</v>
      </c>
      <c r="AB45" s="711">
        <f t="shared" si="4"/>
        <v>1</v>
      </c>
      <c r="AC45" s="2132">
        <f t="shared" si="5"/>
        <v>1</v>
      </c>
    </row>
    <row r="46" spans="1:29" ht="15">
      <c r="A46" s="430"/>
      <c r="B46" s="1286">
        <v>111</v>
      </c>
      <c r="C46" s="392"/>
      <c r="D46" s="393">
        <v>100</v>
      </c>
      <c r="E46" s="390"/>
      <c r="F46" s="419">
        <f>SUMIF(129:129,E46,130:130)-SUMIF(129:129,C46,130:130)+100</f>
        <v>100</v>
      </c>
      <c r="G46" s="390"/>
      <c r="H46" s="393">
        <f>SUMIF(129:129,G46,130:130)-SUMIF(129:129,C46,130:130)+100</f>
        <v>100</v>
      </c>
      <c r="I46" s="390"/>
      <c r="J46" s="393">
        <f>SUMIF(129:129,I46,130:130)-SUMIF(129:129,C46,130:130)+100</f>
        <v>100</v>
      </c>
      <c r="K46" s="569"/>
      <c r="L46" s="2932"/>
      <c r="M46" s="2926"/>
      <c r="N46" s="2926"/>
      <c r="O46" s="2926"/>
      <c r="P46" s="3459"/>
      <c r="Q46" s="1526">
        <f t="shared" si="11"/>
        <v>111</v>
      </c>
      <c r="R46" s="712" t="s">
        <v>17</v>
      </c>
      <c r="S46" s="713">
        <f t="shared" si="12"/>
        <v>100</v>
      </c>
      <c r="T46" s="712" t="s">
        <v>17</v>
      </c>
      <c r="U46" s="713">
        <f t="shared" si="13"/>
        <v>100</v>
      </c>
      <c r="V46" s="712" t="s">
        <v>17</v>
      </c>
      <c r="W46" s="713">
        <f t="shared" si="14"/>
        <v>100</v>
      </c>
      <c r="X46" s="1529"/>
      <c r="Y46" s="3365"/>
      <c r="Z46" s="1530">
        <f t="shared" si="15"/>
        <v>111</v>
      </c>
      <c r="AA46" s="1527">
        <f t="shared" si="3"/>
        <v>1</v>
      </c>
      <c r="AB46" s="1527">
        <f t="shared" si="4"/>
        <v>1</v>
      </c>
      <c r="AC46" s="2135">
        <f t="shared" si="5"/>
        <v>1</v>
      </c>
    </row>
    <row r="47" spans="1:29" ht="15.75" thickBot="1">
      <c r="A47" s="436"/>
      <c r="B47" s="2068">
        <v>111</v>
      </c>
      <c r="C47" s="395"/>
      <c r="D47" s="396">
        <v>100</v>
      </c>
      <c r="E47" s="390"/>
      <c r="F47" s="397">
        <f>SUMIF(131:131,E47,132:132)-SUMIF(131:131,C47,132:132)+100</f>
        <v>100</v>
      </c>
      <c r="G47" s="390"/>
      <c r="H47" s="396">
        <f>SUMIF(131:131,G47,132:132)-SUMIF(131:131,C47,132:132)+100</f>
        <v>100</v>
      </c>
      <c r="I47" s="390"/>
      <c r="J47" s="396">
        <f>SUMIF(131:131,I47,132:132)-SUMIF(131:131,C47,132:132)+100</f>
        <v>100</v>
      </c>
      <c r="K47" s="569"/>
      <c r="L47" s="2932"/>
      <c r="M47" s="2926"/>
      <c r="N47" s="2926"/>
      <c r="O47" s="2926"/>
      <c r="P47" s="3460"/>
      <c r="Q47" s="1526">
        <f t="shared" si="11"/>
        <v>111</v>
      </c>
      <c r="R47" s="712" t="s">
        <v>17</v>
      </c>
      <c r="S47" s="713">
        <f t="shared" si="12"/>
        <v>100</v>
      </c>
      <c r="T47" s="712" t="s">
        <v>17</v>
      </c>
      <c r="U47" s="713">
        <f t="shared" si="13"/>
        <v>100</v>
      </c>
      <c r="V47" s="712" t="s">
        <v>17</v>
      </c>
      <c r="W47" s="713">
        <f t="shared" si="14"/>
        <v>100</v>
      </c>
      <c r="X47" s="1529"/>
      <c r="Y47" s="3461"/>
      <c r="Z47" s="1530">
        <f t="shared" si="15"/>
        <v>111</v>
      </c>
      <c r="AA47" s="1527">
        <f t="shared" si="3"/>
        <v>1</v>
      </c>
      <c r="AB47" s="1527">
        <f t="shared" si="4"/>
        <v>1</v>
      </c>
      <c r="AC47" s="2135">
        <f t="shared" si="5"/>
        <v>1</v>
      </c>
    </row>
    <row r="48" spans="1:29" ht="15">
      <c r="A48" s="437" t="s">
        <v>2392</v>
      </c>
      <c r="B48" s="438"/>
      <c r="C48" s="1305" t="s">
        <v>1</v>
      </c>
      <c r="D48" s="1306"/>
      <c r="E48" s="1307"/>
      <c r="F48" s="1308"/>
      <c r="G48" s="1309"/>
      <c r="H48" s="1310"/>
      <c r="I48" s="1307"/>
      <c r="J48" s="443"/>
      <c r="K48" s="721"/>
      <c r="L48" s="2934"/>
      <c r="M48" s="2926"/>
      <c r="N48" s="2926"/>
      <c r="O48" s="2926"/>
      <c r="P48" s="3359" t="str">
        <f>A48</f>
        <v>成交单价（元/平方米）</v>
      </c>
      <c r="Q48" s="3360"/>
      <c r="R48" s="3457">
        <f>E48</f>
        <v>0</v>
      </c>
      <c r="S48" s="3457"/>
      <c r="T48" s="3457">
        <f>G48</f>
        <v>0</v>
      </c>
      <c r="U48" s="3457"/>
      <c r="V48" s="3457">
        <f>I48</f>
        <v>0</v>
      </c>
      <c r="W48" s="3457"/>
      <c r="X48" s="404"/>
      <c r="Y48" s="719"/>
      <c r="Z48" s="404"/>
      <c r="AA48" s="404"/>
      <c r="AB48" s="404"/>
      <c r="AC48" s="585"/>
    </row>
    <row r="49" spans="1:29" ht="15.75" thickBot="1">
      <c r="A49" s="444" t="s">
        <v>2484</v>
      </c>
      <c r="B49" s="445"/>
      <c r="C49" s="1311" t="e">
        <f>R50</f>
        <v>#DIV/0!</v>
      </c>
      <c r="D49" s="2522" t="s">
        <v>2864</v>
      </c>
      <c r="E49" s="1312" t="e">
        <f>R49</f>
        <v>#DIV/0!</v>
      </c>
      <c r="F49" s="2523"/>
      <c r="G49" s="1311" t="e">
        <f>T49</f>
        <v>#DIV/0!</v>
      </c>
      <c r="H49" s="2523"/>
      <c r="I49" s="1312" t="e">
        <f>V49</f>
        <v>#DIV/0!</v>
      </c>
      <c r="J49" s="2523"/>
      <c r="K49" s="2525">
        <f>F49+H49+J49</f>
        <v>0</v>
      </c>
      <c r="L49" s="2934"/>
      <c r="M49" s="2926"/>
      <c r="N49" s="2926"/>
      <c r="O49" s="2926"/>
      <c r="P49" s="3359" t="str">
        <f>A49</f>
        <v>比较价值（元/平方米）</v>
      </c>
      <c r="Q49" s="3360"/>
      <c r="R49" s="3457" t="e">
        <f>IF(F1="售价",ROUND(PRODUCT(R48,AA7:AA47),0),ROUND(PRODUCT(R48,AA7:AA47),1))</f>
        <v>#DIV/0!</v>
      </c>
      <c r="S49" s="3457"/>
      <c r="T49" s="3457" t="e">
        <f>IF(F1="售价",ROUND(PRODUCT(T48,AB7:AB47),0),ROUND(PRODUCT(T48,AB7:AB47),1))</f>
        <v>#DIV/0!</v>
      </c>
      <c r="U49" s="3457"/>
      <c r="V49" s="3457" t="e">
        <f>IF(F1="售价",ROUND(PRODUCT(V48,AC7:AC47),0),ROUND(PRODUCT(V48,AC7:AC47),1))</f>
        <v>#DIV/0!</v>
      </c>
      <c r="W49" s="3457"/>
      <c r="X49" s="404"/>
      <c r="Y49" s="404"/>
      <c r="Z49" s="404"/>
      <c r="AA49" s="404"/>
      <c r="AB49" s="404"/>
      <c r="AC49" s="585"/>
    </row>
    <row r="50" spans="1:29" ht="15.75" thickBot="1">
      <c r="A50" s="448" t="s">
        <v>2485</v>
      </c>
      <c r="B50" s="449"/>
      <c r="C50" s="1314" t="e">
        <f>R50</f>
        <v>#DIV/0!</v>
      </c>
      <c r="D50" s="1314"/>
      <c r="E50" s="1314"/>
      <c r="F50" s="1314"/>
      <c r="G50" s="1314"/>
      <c r="H50" s="1314"/>
      <c r="I50" s="1314"/>
      <c r="J50" s="450"/>
      <c r="K50" s="722"/>
      <c r="L50" s="2934"/>
      <c r="M50" s="2926"/>
      <c r="N50" s="2926"/>
      <c r="O50" s="2926"/>
      <c r="P50" s="3464" t="str">
        <f>A50</f>
        <v>估价对象XX用房的比较价值（楼面单价，元/平方米）</v>
      </c>
      <c r="Q50" s="3465"/>
      <c r="R50" s="3466" t="e">
        <f>IF(F1="售价",ROUND(IF(D49="简单平均",AVERAGE(R49:V49),R49*F49+T49*H49+V49*J49),0),ROUND(IF(D49="简单平均",AVERAGE(R49:V49),R49*F49+T49*H49+V49*J49),1))</f>
        <v>#DIV/0!</v>
      </c>
      <c r="S50" s="3466"/>
      <c r="T50" s="3466"/>
      <c r="U50" s="3466"/>
      <c r="V50" s="3466"/>
      <c r="W50" s="3466"/>
      <c r="X50" s="2119"/>
      <c r="Y50" s="2119"/>
      <c r="Z50" s="2119"/>
      <c r="AA50" s="2119"/>
      <c r="AB50" s="2119"/>
      <c r="AC50" s="2120"/>
    </row>
    <row r="51" spans="1:29">
      <c r="A51" s="2935"/>
      <c r="B51" s="2935"/>
      <c r="C51" s="2935"/>
      <c r="D51" s="2935"/>
      <c r="E51" s="2935"/>
      <c r="F51" s="2935"/>
      <c r="G51" s="2939"/>
      <c r="H51" s="2935"/>
      <c r="I51" s="2935"/>
      <c r="J51" s="2935"/>
      <c r="K51" s="2940"/>
      <c r="L51" s="2936"/>
      <c r="M51" s="2935"/>
      <c r="N51" s="2935"/>
      <c r="O51" s="2935"/>
      <c r="P51" s="2966"/>
      <c r="Q51" s="2935"/>
      <c r="R51" s="2935"/>
      <c r="S51" s="2935"/>
      <c r="T51" s="2935"/>
      <c r="U51" s="2935"/>
      <c r="V51" s="2935"/>
      <c r="W51" s="2935"/>
      <c r="X51" s="2935"/>
      <c r="Y51" s="2935"/>
      <c r="Z51" s="2935"/>
      <c r="AA51" s="2935"/>
      <c r="AB51" s="2935"/>
      <c r="AC51" s="2935"/>
    </row>
    <row r="52" spans="1:29">
      <c r="A52" s="2935"/>
      <c r="B52" s="2935"/>
      <c r="C52" s="2935"/>
      <c r="D52" s="2935"/>
      <c r="E52" s="2935"/>
      <c r="F52" s="2935"/>
      <c r="G52" s="2935"/>
      <c r="H52" s="2935"/>
      <c r="I52" s="2935"/>
      <c r="J52" s="2935"/>
      <c r="K52" s="2940"/>
      <c r="L52" s="2936"/>
      <c r="M52" s="2935"/>
      <c r="N52" s="2935"/>
      <c r="O52" s="2935"/>
      <c r="P52" s="2966"/>
      <c r="Q52" s="2935"/>
      <c r="R52" s="2935"/>
      <c r="S52" s="2935"/>
      <c r="T52" s="2935"/>
      <c r="U52" s="2935"/>
      <c r="V52" s="2935"/>
      <c r="W52" s="2935"/>
      <c r="X52" s="2935"/>
      <c r="Y52" s="2935"/>
      <c r="Z52" s="2935"/>
      <c r="AA52" s="2935"/>
      <c r="AB52" s="2935"/>
      <c r="AC52" s="2935"/>
    </row>
    <row r="53" spans="1:29" ht="13.5" customHeight="1">
      <c r="A53" s="2935"/>
      <c r="B53" s="2935"/>
      <c r="C53" s="453" t="s">
        <v>2486</v>
      </c>
      <c r="D53" s="454"/>
      <c r="E53" s="455" t="e">
        <f>IF(E48&lt;E49,E49/E48-1,E48/E49-1)</f>
        <v>#DIV/0!</v>
      </c>
      <c r="F53" s="456" t="e">
        <f>IF(OR(E53&gt;=0.3,E53&lt;=-0.3),"超过30%","")</f>
        <v>#DIV/0!</v>
      </c>
      <c r="G53" s="455" t="e">
        <f>IF(G48&lt;G49,G49/G48-1,G48/G49-1)</f>
        <v>#DIV/0!</v>
      </c>
      <c r="H53" s="456" t="e">
        <f>IF(OR(G53&gt;=0.3,G53&lt;=-0.3),"超过30%","")</f>
        <v>#DIV/0!</v>
      </c>
      <c r="I53" s="455" t="e">
        <f>IF(I48&lt;I49,I49/I48-1,I48/I49-1)</f>
        <v>#DIV/0!</v>
      </c>
      <c r="J53" s="456" t="e">
        <f>IF(OR(I53&gt;=0.3,I53&lt;=-0.3),"超过30%","")</f>
        <v>#DIV/0!</v>
      </c>
      <c r="K53" s="2940"/>
      <c r="L53" s="2936"/>
      <c r="M53" s="2935"/>
      <c r="N53" s="2935"/>
      <c r="O53" s="2935"/>
      <c r="P53" s="2966"/>
      <c r="Q53" s="2935"/>
      <c r="R53" s="2935"/>
      <c r="S53" s="2935"/>
      <c r="T53" s="2935"/>
      <c r="U53" s="2935"/>
      <c r="V53" s="2935"/>
      <c r="W53" s="2935"/>
      <c r="X53" s="2935"/>
      <c r="Y53" s="2935"/>
      <c r="Z53" s="2935"/>
      <c r="AA53" s="2935"/>
      <c r="AB53" s="2935"/>
      <c r="AC53" s="2935"/>
    </row>
    <row r="54" spans="1:29" ht="13.5" customHeight="1">
      <c r="A54" s="2935"/>
      <c r="B54" s="2935"/>
      <c r="C54" s="453" t="s">
        <v>2487</v>
      </c>
      <c r="D54" s="457"/>
      <c r="E54" s="455" t="e">
        <f>IF(E49&lt;G49,G49/E49-1,E49/G49-1)</f>
        <v>#DIV/0!</v>
      </c>
      <c r="F54" s="456" t="e">
        <f>IF(OR(E54&gt;=0.2,E54&lt;=-0.2),"超过20%","")</f>
        <v>#DIV/0!</v>
      </c>
      <c r="G54" s="455" t="e">
        <f>IF(G49&lt;I49,I49/G49-1,G49/I49-1)</f>
        <v>#DIV/0!</v>
      </c>
      <c r="H54" s="456" t="e">
        <f>IF(OR(G54&gt;=0.2,G54&lt;=-0.2),"超过20%","")</f>
        <v>#DIV/0!</v>
      </c>
      <c r="I54" s="455" t="e">
        <f>IF(I49&lt;E49,E49/I49-1,I49/E49-1)</f>
        <v>#DIV/0!</v>
      </c>
      <c r="J54" s="456" t="e">
        <f>IF(OR(I54&gt;=0.2,I54&lt;=-0.2),"超过20%","")</f>
        <v>#DIV/0!</v>
      </c>
      <c r="K54" s="2940"/>
      <c r="L54" s="2936"/>
      <c r="M54" s="2935"/>
      <c r="N54" s="2935"/>
      <c r="O54" s="2935"/>
      <c r="P54" s="2966"/>
      <c r="Q54" s="2935"/>
      <c r="R54" s="2935"/>
      <c r="S54" s="2935"/>
      <c r="T54" s="2935"/>
      <c r="U54" s="2935"/>
      <c r="V54" s="2935"/>
      <c r="W54" s="2935"/>
      <c r="X54" s="2935"/>
      <c r="Y54" s="2935"/>
      <c r="Z54" s="2935"/>
      <c r="AA54" s="2935"/>
      <c r="AB54" s="2935"/>
      <c r="AC54" s="2935"/>
    </row>
    <row r="55" spans="1:29" s="458" customFormat="1" ht="13.5" customHeight="1">
      <c r="A55" s="2938"/>
      <c r="B55" s="2938"/>
      <c r="C55" s="453" t="s">
        <v>2488</v>
      </c>
      <c r="D55" s="457"/>
      <c r="E55" s="455" t="e">
        <f>IF(E48&lt;G48,G48/E48-1,E48/G48-1)</f>
        <v>#DIV/0!</v>
      </c>
      <c r="F55" s="456" t="e">
        <f>IF(OR(E55&gt;=0.3,E55&lt;=-0.3),"超过30%","")</f>
        <v>#DIV/0!</v>
      </c>
      <c r="G55" s="455" t="e">
        <f>IF(G48&lt;I48,I48/G48-1,G48/I48-1)</f>
        <v>#DIV/0!</v>
      </c>
      <c r="H55" s="456" t="e">
        <f>IF(OR(G55&gt;=0.3,G55&lt;=-0.3),"超过30%","")</f>
        <v>#DIV/0!</v>
      </c>
      <c r="I55" s="455" t="e">
        <f>IF(I48&lt;E48,E48/I48-1,I48/E48-1)</f>
        <v>#DIV/0!</v>
      </c>
      <c r="J55" s="456" t="e">
        <f>IF(OR(I55&gt;=0.3,I55&lt;=-0.3),"超过30%","")</f>
        <v>#DIV/0!</v>
      </c>
      <c r="K55" s="2943"/>
      <c r="L55" s="2937"/>
      <c r="M55" s="2938"/>
      <c r="N55" s="2938"/>
      <c r="O55" s="2938"/>
      <c r="P55" s="2967"/>
      <c r="Q55" s="2938"/>
      <c r="R55" s="2938"/>
      <c r="S55" s="2938"/>
      <c r="T55" s="2938"/>
      <c r="U55" s="2938"/>
      <c r="V55" s="2938"/>
      <c r="W55" s="2938"/>
      <c r="X55" s="2938"/>
      <c r="Y55" s="2938"/>
      <c r="Z55" s="2938"/>
      <c r="AA55" s="2938"/>
      <c r="AB55" s="2938"/>
      <c r="AC55" s="2938"/>
    </row>
    <row r="56" spans="1:29" s="458" customFormat="1">
      <c r="A56" s="2938"/>
      <c r="B56" s="2941"/>
      <c r="C56" s="2942"/>
      <c r="D56" s="2938"/>
      <c r="E56" s="2938"/>
      <c r="F56" s="2938"/>
      <c r="G56" s="2938"/>
      <c r="H56" s="2938"/>
      <c r="I56" s="2938"/>
      <c r="J56" s="2938"/>
      <c r="K56" s="2943"/>
      <c r="L56" s="2937"/>
      <c r="M56" s="2938"/>
      <c r="N56" s="2938"/>
      <c r="O56" s="2938"/>
      <c r="P56" s="2967"/>
      <c r="Q56" s="2938"/>
      <c r="R56" s="2938"/>
      <c r="S56" s="2938"/>
      <c r="T56" s="2938"/>
      <c r="U56" s="2938"/>
      <c r="V56" s="2938"/>
      <c r="W56" s="2938"/>
      <c r="X56" s="2938"/>
      <c r="Y56" s="2938"/>
      <c r="Z56" s="2938"/>
      <c r="AA56" s="2938"/>
      <c r="AB56" s="2938"/>
      <c r="AC56" s="2938"/>
    </row>
    <row r="57" spans="1:29">
      <c r="A57" s="2935"/>
      <c r="B57" s="2941"/>
      <c r="C57" s="2942"/>
      <c r="D57" s="2935"/>
      <c r="E57" s="2935"/>
      <c r="F57" s="2935"/>
      <c r="G57" s="2935"/>
      <c r="H57" s="2935"/>
      <c r="I57" s="2935"/>
      <c r="J57" s="2935"/>
      <c r="K57" s="2940"/>
      <c r="L57" s="2936"/>
      <c r="M57" s="2935"/>
      <c r="N57" s="2935"/>
      <c r="O57" s="2935"/>
      <c r="P57" s="2966"/>
      <c r="Q57" s="2935"/>
      <c r="R57" s="2935"/>
      <c r="S57" s="2935"/>
      <c r="T57" s="2935"/>
      <c r="U57" s="2935"/>
      <c r="V57" s="2935"/>
      <c r="W57" s="2935"/>
      <c r="X57" s="2935"/>
      <c r="Y57" s="2935"/>
      <c r="Z57" s="2935"/>
      <c r="AA57" s="2935"/>
      <c r="AB57" s="2935"/>
      <c r="AC57" s="2935"/>
    </row>
    <row r="58" spans="1:29" ht="21.75" thickBot="1">
      <c r="A58" s="701" t="s">
        <v>2489</v>
      </c>
      <c r="B58" s="697"/>
      <c r="C58" s="702"/>
      <c r="D58" s="702"/>
      <c r="E58" s="702"/>
      <c r="F58" s="703"/>
      <c r="G58" s="703"/>
      <c r="H58" s="702"/>
      <c r="I58" s="702"/>
      <c r="J58" s="702"/>
      <c r="K58" s="704"/>
      <c r="L58" s="1065"/>
      <c r="M58" s="1063"/>
      <c r="N58" s="2979"/>
      <c r="O58" s="2979"/>
      <c r="P58" s="2968"/>
      <c r="Q58" s="2949"/>
      <c r="R58" s="2935"/>
      <c r="S58" s="2935"/>
      <c r="T58" s="2935"/>
      <c r="U58" s="2935"/>
      <c r="V58" s="2935"/>
      <c r="W58" s="2935"/>
      <c r="X58" s="2935"/>
      <c r="Y58" s="2935"/>
      <c r="Z58" s="2935"/>
      <c r="AA58" s="2935"/>
      <c r="AB58" s="2935"/>
      <c r="AC58" s="2935"/>
    </row>
    <row r="59" spans="1:29" s="464" customFormat="1" ht="15">
      <c r="A59" s="461" t="s">
        <v>2363</v>
      </c>
      <c r="B59" s="462"/>
      <c r="C59" s="1334" t="str">
        <f>YEAR(C7)&amp;"-"&amp;MONTH(C7)</f>
        <v>2021-3</v>
      </c>
      <c r="D59" s="1335">
        <f>EDATE(C59,-1)</f>
        <v>44228</v>
      </c>
      <c r="E59" s="1335">
        <f>EDATE(D59,-1)</f>
        <v>44197</v>
      </c>
      <c r="F59" s="1335">
        <f t="shared" ref="F59:O59" si="16">EDATE(E59,-1)</f>
        <v>44166</v>
      </c>
      <c r="G59" s="1335">
        <f t="shared" si="16"/>
        <v>44136</v>
      </c>
      <c r="H59" s="1335">
        <f t="shared" si="16"/>
        <v>44105</v>
      </c>
      <c r="I59" s="1335">
        <f t="shared" si="16"/>
        <v>44075</v>
      </c>
      <c r="J59" s="1335">
        <f t="shared" si="16"/>
        <v>44044</v>
      </c>
      <c r="K59" s="1335">
        <f t="shared" si="16"/>
        <v>44013</v>
      </c>
      <c r="L59" s="1335">
        <f t="shared" si="16"/>
        <v>43983</v>
      </c>
      <c r="M59" s="1335">
        <f t="shared" si="16"/>
        <v>43952</v>
      </c>
      <c r="N59" s="1335">
        <f t="shared" si="16"/>
        <v>43922</v>
      </c>
      <c r="O59" s="1335">
        <f t="shared" si="16"/>
        <v>43891</v>
      </c>
      <c r="P59" s="2969"/>
      <c r="Q59" s="2951"/>
      <c r="R59" s="2951"/>
      <c r="S59" s="2951"/>
      <c r="T59" s="2951"/>
      <c r="U59" s="2951"/>
      <c r="V59" s="2951"/>
      <c r="W59" s="2951"/>
      <c r="X59" s="2951"/>
      <c r="Y59" s="2951"/>
      <c r="Z59" s="2951"/>
      <c r="AA59" s="2951"/>
      <c r="AB59" s="2951"/>
      <c r="AC59" s="2951"/>
    </row>
    <row r="60" spans="1:29" s="113" customFormat="1" ht="15">
      <c r="A60" s="465"/>
      <c r="B60" s="466"/>
      <c r="C60" s="1333">
        <v>100</v>
      </c>
      <c r="D60" s="468"/>
      <c r="E60" s="468"/>
      <c r="F60" s="468"/>
      <c r="G60" s="468"/>
      <c r="H60" s="468"/>
      <c r="I60" s="468"/>
      <c r="J60" s="468"/>
      <c r="K60" s="468"/>
      <c r="L60" s="468"/>
      <c r="M60" s="469"/>
      <c r="N60" s="468"/>
      <c r="O60" s="469"/>
      <c r="P60" s="2970"/>
      <c r="Q60" s="2870"/>
      <c r="R60" s="2870"/>
      <c r="S60" s="2870"/>
      <c r="T60" s="2870"/>
      <c r="U60" s="2870"/>
      <c r="V60" s="2870"/>
      <c r="W60" s="2870"/>
      <c r="X60" s="2870"/>
      <c r="Y60" s="2870"/>
      <c r="Z60" s="2870"/>
      <c r="AA60" s="2870"/>
      <c r="AB60" s="2870"/>
      <c r="AC60" s="2870"/>
    </row>
    <row r="61" spans="1:29" s="113" customFormat="1" ht="15.75" thickBot="1">
      <c r="A61" s="471" t="s">
        <v>2400</v>
      </c>
      <c r="B61" s="472"/>
      <c r="C61" s="473"/>
      <c r="D61" s="474"/>
      <c r="E61" s="474"/>
      <c r="F61" s="474"/>
      <c r="G61" s="474"/>
      <c r="H61" s="474"/>
      <c r="I61" s="474"/>
      <c r="J61" s="474"/>
      <c r="K61" s="474"/>
      <c r="L61" s="474"/>
      <c r="M61" s="475"/>
      <c r="N61" s="474"/>
      <c r="O61" s="475"/>
      <c r="P61" s="2970"/>
      <c r="Q61" s="2949"/>
      <c r="R61" s="2870"/>
      <c r="S61" s="2870"/>
      <c r="T61" s="2870"/>
      <c r="U61" s="2870"/>
      <c r="V61" s="2870"/>
      <c r="W61" s="2870"/>
      <c r="X61" s="2870"/>
      <c r="Y61" s="2870"/>
      <c r="Z61" s="2870"/>
      <c r="AA61" s="2870"/>
      <c r="AB61" s="2870"/>
      <c r="AC61" s="2870"/>
    </row>
    <row r="62" spans="1:29" s="113" customFormat="1" ht="15">
      <c r="A62" s="477" t="s">
        <v>2365</v>
      </c>
      <c r="B62" s="466"/>
      <c r="C62" s="478" t="s">
        <v>2467</v>
      </c>
      <c r="D62" s="479"/>
      <c r="E62" s="479"/>
      <c r="F62" s="479"/>
      <c r="G62" s="479"/>
      <c r="H62" s="479"/>
      <c r="I62" s="479"/>
      <c r="J62" s="479"/>
      <c r="K62" s="479"/>
      <c r="L62" s="480"/>
      <c r="M62" s="481"/>
      <c r="N62" s="2962"/>
      <c r="O62" s="2962"/>
      <c r="P62" s="2971"/>
      <c r="Q62" s="2949"/>
      <c r="R62" s="2870"/>
      <c r="S62" s="2870"/>
      <c r="T62" s="2870"/>
      <c r="U62" s="2870"/>
      <c r="V62" s="2870"/>
      <c r="W62" s="2870"/>
      <c r="X62" s="2870"/>
      <c r="Y62" s="2870"/>
      <c r="Z62" s="2870"/>
      <c r="AA62" s="2870"/>
      <c r="AB62" s="2870"/>
      <c r="AC62" s="2870"/>
    </row>
    <row r="63" spans="1:29" s="113" customFormat="1" ht="15.75" thickBot="1">
      <c r="A63" s="477"/>
      <c r="B63" s="466"/>
      <c r="C63" s="467">
        <v>100</v>
      </c>
      <c r="D63" s="468"/>
      <c r="E63" s="468"/>
      <c r="F63" s="468"/>
      <c r="G63" s="468"/>
      <c r="H63" s="468"/>
      <c r="I63" s="468"/>
      <c r="J63" s="468"/>
      <c r="K63" s="468"/>
      <c r="L63" s="468"/>
      <c r="M63" s="470"/>
      <c r="N63" s="2962"/>
      <c r="O63" s="2962"/>
      <c r="P63" s="2970"/>
      <c r="Q63" s="2949"/>
      <c r="R63" s="2870"/>
      <c r="S63" s="2870"/>
      <c r="T63" s="2870"/>
      <c r="U63" s="2870"/>
      <c r="V63" s="2870"/>
      <c r="W63" s="2870"/>
      <c r="X63" s="2870"/>
      <c r="Y63" s="2870"/>
      <c r="Z63" s="2870"/>
      <c r="AA63" s="2870"/>
      <c r="AB63" s="2870"/>
      <c r="AC63" s="2870"/>
    </row>
    <row r="64" spans="1:29">
      <c r="A64" s="483" t="s">
        <v>2403</v>
      </c>
      <c r="B64" s="484" t="s">
        <v>2369</v>
      </c>
      <c r="C64" s="485">
        <f>C9</f>
        <v>0</v>
      </c>
      <c r="D64" s="486"/>
      <c r="E64" s="486"/>
      <c r="F64" s="486"/>
      <c r="G64" s="486"/>
      <c r="H64" s="486"/>
      <c r="I64" s="486"/>
      <c r="J64" s="486"/>
      <c r="K64" s="487"/>
      <c r="L64" s="488"/>
      <c r="M64" s="489"/>
      <c r="N64" s="2963"/>
      <c r="O64" s="2963"/>
      <c r="P64" s="2972"/>
      <c r="Q64" s="2949"/>
      <c r="R64" s="2935"/>
      <c r="S64" s="2935"/>
      <c r="T64" s="2935"/>
      <c r="U64" s="2935"/>
      <c r="V64" s="2935"/>
      <c r="W64" s="2935"/>
      <c r="X64" s="2935"/>
      <c r="Y64" s="2935"/>
      <c r="Z64" s="2935"/>
      <c r="AA64" s="2935"/>
      <c r="AB64" s="2935"/>
      <c r="AC64" s="2935"/>
    </row>
    <row r="65" spans="1:29" ht="15.75" thickBot="1">
      <c r="A65" s="490"/>
      <c r="B65" s="491"/>
      <c r="C65" s="492">
        <v>100</v>
      </c>
      <c r="D65" s="492"/>
      <c r="E65" s="492"/>
      <c r="F65" s="492"/>
      <c r="G65" s="492"/>
      <c r="H65" s="492"/>
      <c r="I65" s="492"/>
      <c r="J65" s="492"/>
      <c r="K65" s="492"/>
      <c r="L65" s="492"/>
      <c r="M65" s="493"/>
      <c r="N65" s="2964"/>
      <c r="O65" s="2964"/>
      <c r="P65" s="2972"/>
      <c r="Q65" s="2949"/>
      <c r="R65" s="2935"/>
      <c r="S65" s="2935"/>
      <c r="T65" s="2935"/>
      <c r="U65" s="2935"/>
      <c r="V65" s="2935"/>
      <c r="W65" s="2935"/>
      <c r="X65" s="2935"/>
      <c r="Y65" s="2935"/>
      <c r="Z65" s="2935"/>
      <c r="AA65" s="2935"/>
      <c r="AB65" s="2935"/>
      <c r="AC65" s="2935"/>
    </row>
    <row r="66" spans="1:29" ht="27.75" thickTop="1">
      <c r="A66" s="490"/>
      <c r="B66" s="494" t="s">
        <v>2372</v>
      </c>
      <c r="C66" s="495" t="s">
        <v>2404</v>
      </c>
      <c r="D66" s="495" t="s">
        <v>2405</v>
      </c>
      <c r="E66" s="495" t="s">
        <v>2406</v>
      </c>
      <c r="F66" s="495" t="s">
        <v>2407</v>
      </c>
      <c r="G66" s="495" t="s">
        <v>2408</v>
      </c>
      <c r="H66" s="495" t="s">
        <v>2409</v>
      </c>
      <c r="I66" s="495" t="s">
        <v>2410</v>
      </c>
      <c r="J66" s="495"/>
      <c r="K66" s="496"/>
      <c r="L66" s="497"/>
      <c r="M66" s="498"/>
      <c r="N66" s="2963"/>
      <c r="O66" s="2963"/>
      <c r="P66" s="2972"/>
      <c r="Q66" s="2949"/>
      <c r="R66" s="2935"/>
      <c r="S66" s="2935"/>
      <c r="T66" s="2935"/>
      <c r="U66" s="2935"/>
      <c r="V66" s="2935"/>
      <c r="W66" s="2935"/>
      <c r="X66" s="2935"/>
      <c r="Y66" s="2935"/>
      <c r="Z66" s="2935"/>
      <c r="AA66" s="2935"/>
      <c r="AB66" s="2935"/>
      <c r="AC66" s="2935"/>
    </row>
    <row r="67" spans="1:29" ht="15.75" thickBot="1">
      <c r="A67" s="490"/>
      <c r="B67" s="499"/>
      <c r="C67" s="500" t="s">
        <v>24</v>
      </c>
      <c r="D67" s="500" t="s">
        <v>25</v>
      </c>
      <c r="E67" s="500">
        <v>100</v>
      </c>
      <c r="F67" s="500">
        <f>E67-$K10</f>
        <v>100</v>
      </c>
      <c r="G67" s="500">
        <f>F67-$K10</f>
        <v>100</v>
      </c>
      <c r="H67" s="500">
        <f>G67-$K10</f>
        <v>100</v>
      </c>
      <c r="I67" s="500">
        <f>H67-$K10</f>
        <v>100</v>
      </c>
      <c r="J67" s="500"/>
      <c r="K67" s="500"/>
      <c r="L67" s="500"/>
      <c r="M67" s="501"/>
      <c r="N67" s="2964"/>
      <c r="O67" s="2964"/>
      <c r="P67" s="2972"/>
      <c r="Q67" s="2949"/>
      <c r="R67" s="2935"/>
      <c r="S67" s="2935"/>
      <c r="T67" s="2935"/>
      <c r="U67" s="2935"/>
      <c r="V67" s="2935"/>
      <c r="W67" s="2935"/>
      <c r="X67" s="2935"/>
      <c r="Y67" s="2935"/>
      <c r="Z67" s="2935"/>
      <c r="AA67" s="2935"/>
      <c r="AB67" s="2935"/>
      <c r="AC67" s="2935"/>
    </row>
    <row r="68" spans="1:29" ht="15.75" thickTop="1">
      <c r="A68" s="490"/>
      <c r="B68" s="502" t="s">
        <v>2373</v>
      </c>
      <c r="C68" s="503" t="str">
        <f>C69&amp;"（含）"&amp;"-"&amp;D69</f>
        <v>（含）-</v>
      </c>
      <c r="D68" s="503" t="str">
        <f t="shared" ref="D68:L68" si="17">D69&amp;"（含）"&amp;"-"&amp;E69</f>
        <v>（含）-</v>
      </c>
      <c r="E68" s="503" t="str">
        <f t="shared" si="17"/>
        <v>（含）-</v>
      </c>
      <c r="F68" s="503" t="str">
        <f t="shared" si="17"/>
        <v>（含）-</v>
      </c>
      <c r="G68" s="503" t="str">
        <f t="shared" si="17"/>
        <v>（含）-</v>
      </c>
      <c r="H68" s="503" t="str">
        <f t="shared" si="17"/>
        <v>（含）-</v>
      </c>
      <c r="I68" s="503" t="str">
        <f t="shared" si="17"/>
        <v>（含）-</v>
      </c>
      <c r="J68" s="503" t="str">
        <f t="shared" si="17"/>
        <v>（含）-</v>
      </c>
      <c r="K68" s="503" t="str">
        <f t="shared" si="17"/>
        <v>（含）-</v>
      </c>
      <c r="L68" s="503" t="str">
        <f t="shared" si="17"/>
        <v>（含）-</v>
      </c>
      <c r="M68" s="406" t="str">
        <f>M69&amp;"（含）"&amp;"-"&amp;P69</f>
        <v>（含）-</v>
      </c>
      <c r="N68" s="2964"/>
      <c r="O68" s="2964"/>
      <c r="P68" s="2972"/>
      <c r="Q68" s="2949"/>
      <c r="R68" s="2935"/>
      <c r="S68" s="2935"/>
      <c r="T68" s="2935"/>
      <c r="U68" s="2935"/>
      <c r="V68" s="2935"/>
      <c r="W68" s="2935"/>
      <c r="X68" s="2935"/>
      <c r="Y68" s="2935"/>
      <c r="Z68" s="2935"/>
      <c r="AA68" s="2935"/>
      <c r="AB68" s="2935"/>
      <c r="AC68" s="2935"/>
    </row>
    <row r="69" spans="1:29" ht="15">
      <c r="A69" s="490"/>
      <c r="B69" s="504"/>
      <c r="C69" s="505"/>
      <c r="D69" s="505"/>
      <c r="E69" s="505"/>
      <c r="F69" s="505"/>
      <c r="G69" s="505"/>
      <c r="H69" s="505"/>
      <c r="I69" s="505"/>
      <c r="J69" s="505"/>
      <c r="K69" s="506"/>
      <c r="L69" s="507"/>
      <c r="M69" s="508"/>
      <c r="N69" s="2963"/>
      <c r="O69" s="2963"/>
      <c r="P69" s="2972"/>
      <c r="Q69" s="2949"/>
      <c r="R69" s="2935"/>
      <c r="S69" s="2935"/>
      <c r="T69" s="2935"/>
      <c r="U69" s="2935"/>
      <c r="V69" s="2935"/>
      <c r="W69" s="2935"/>
      <c r="X69" s="2935"/>
      <c r="Y69" s="2935"/>
      <c r="Z69" s="2935"/>
      <c r="AA69" s="2935"/>
      <c r="AB69" s="2935"/>
      <c r="AC69" s="2935"/>
    </row>
    <row r="70" spans="1:29" ht="15.75" thickBot="1">
      <c r="A70" s="490"/>
      <c r="B70" s="491"/>
      <c r="C70" s="500">
        <v>100</v>
      </c>
      <c r="D70" s="500">
        <f t="shared" ref="D70:M70" si="18">C70-$K11</f>
        <v>100</v>
      </c>
      <c r="E70" s="500">
        <f t="shared" si="18"/>
        <v>100</v>
      </c>
      <c r="F70" s="500">
        <f t="shared" si="18"/>
        <v>100</v>
      </c>
      <c r="G70" s="500">
        <f t="shared" si="18"/>
        <v>100</v>
      </c>
      <c r="H70" s="500">
        <f t="shared" si="18"/>
        <v>100</v>
      </c>
      <c r="I70" s="500">
        <f t="shared" si="18"/>
        <v>100</v>
      </c>
      <c r="J70" s="500">
        <f t="shared" si="18"/>
        <v>100</v>
      </c>
      <c r="K70" s="500">
        <f t="shared" si="18"/>
        <v>100</v>
      </c>
      <c r="L70" s="500">
        <f t="shared" si="18"/>
        <v>100</v>
      </c>
      <c r="M70" s="501">
        <f t="shared" si="18"/>
        <v>100</v>
      </c>
      <c r="N70" s="2964"/>
      <c r="O70" s="2964"/>
      <c r="P70" s="2972"/>
      <c r="Q70" s="2949"/>
      <c r="R70" s="2935"/>
      <c r="S70" s="2935"/>
      <c r="T70" s="2935"/>
      <c r="U70" s="2935"/>
      <c r="V70" s="2935"/>
      <c r="W70" s="2935"/>
      <c r="X70" s="2935"/>
      <c r="Y70" s="2935"/>
      <c r="Z70" s="2935"/>
      <c r="AA70" s="2935"/>
      <c r="AB70" s="2935"/>
      <c r="AC70" s="2935"/>
    </row>
    <row r="71" spans="1:29" s="429" customFormat="1" ht="15.75" thickTop="1">
      <c r="A71" s="509"/>
      <c r="B71" s="494">
        <f>B12</f>
        <v>111</v>
      </c>
      <c r="C71" s="510"/>
      <c r="D71" s="510"/>
      <c r="E71" s="510"/>
      <c r="F71" s="510"/>
      <c r="G71" s="510"/>
      <c r="H71" s="511"/>
      <c r="I71" s="511"/>
      <c r="J71" s="511"/>
      <c r="K71" s="511"/>
      <c r="L71" s="512"/>
      <c r="M71" s="513"/>
      <c r="N71" s="2965"/>
      <c r="O71" s="2965"/>
      <c r="P71" s="2973"/>
      <c r="Q71" s="2956"/>
      <c r="R71" s="2957"/>
      <c r="S71" s="2957"/>
      <c r="T71" s="2957"/>
      <c r="U71" s="2957"/>
      <c r="V71" s="2957"/>
      <c r="W71" s="2957"/>
      <c r="X71" s="2957"/>
      <c r="Y71" s="2957"/>
      <c r="Z71" s="2957"/>
      <c r="AA71" s="2957"/>
      <c r="AB71" s="2957"/>
      <c r="AC71" s="2957"/>
    </row>
    <row r="72" spans="1:29" s="429" customFormat="1" ht="15.75" thickBot="1">
      <c r="A72" s="509"/>
      <c r="B72" s="499"/>
      <c r="C72" s="516"/>
      <c r="D72" s="492"/>
      <c r="E72" s="492"/>
      <c r="F72" s="492"/>
      <c r="G72" s="492"/>
      <c r="H72" s="492"/>
      <c r="I72" s="492"/>
      <c r="J72" s="492"/>
      <c r="K72" s="492"/>
      <c r="L72" s="492"/>
      <c r="M72" s="493"/>
      <c r="N72" s="2964"/>
      <c r="O72" s="2964"/>
      <c r="P72" s="2973"/>
      <c r="Q72" s="2956"/>
      <c r="R72" s="2957"/>
      <c r="S72" s="2957"/>
      <c r="T72" s="2957"/>
      <c r="U72" s="2957"/>
      <c r="V72" s="2957"/>
      <c r="W72" s="2957"/>
      <c r="X72" s="2957"/>
      <c r="Y72" s="2957"/>
      <c r="Z72" s="2957"/>
      <c r="AA72" s="2957"/>
      <c r="AB72" s="2957"/>
      <c r="AC72" s="2957"/>
    </row>
    <row r="73" spans="1:29" s="429" customFormat="1" ht="15.75" thickTop="1">
      <c r="A73" s="509"/>
      <c r="B73" s="494">
        <f>B13</f>
        <v>111</v>
      </c>
      <c r="C73" s="510"/>
      <c r="D73" s="510"/>
      <c r="E73" s="510"/>
      <c r="F73" s="510"/>
      <c r="G73" s="510"/>
      <c r="H73" s="511"/>
      <c r="I73" s="511"/>
      <c r="J73" s="511"/>
      <c r="K73" s="511"/>
      <c r="L73" s="512"/>
      <c r="M73" s="513"/>
      <c r="N73" s="2965"/>
      <c r="O73" s="2965"/>
      <c r="P73" s="2974"/>
      <c r="Q73" s="2959"/>
      <c r="R73" s="2957"/>
      <c r="S73" s="2957"/>
      <c r="T73" s="2957"/>
      <c r="U73" s="2957"/>
      <c r="V73" s="2957"/>
      <c r="W73" s="2957"/>
      <c r="X73" s="2957"/>
      <c r="Y73" s="2957"/>
      <c r="Z73" s="2957"/>
      <c r="AA73" s="2957"/>
      <c r="AB73" s="2957"/>
      <c r="AC73" s="2957"/>
    </row>
    <row r="74" spans="1:29" s="429" customFormat="1" ht="15.75" thickBot="1">
      <c r="A74" s="509"/>
      <c r="B74" s="499"/>
      <c r="C74" s="516"/>
      <c r="D74" s="516"/>
      <c r="E74" s="516"/>
      <c r="F74" s="516"/>
      <c r="G74" s="516"/>
      <c r="H74" s="518"/>
      <c r="I74" s="518"/>
      <c r="J74" s="518"/>
      <c r="K74" s="518"/>
      <c r="L74" s="518"/>
      <c r="M74" s="519"/>
      <c r="N74" s="2965"/>
      <c r="O74" s="2965"/>
      <c r="P74" s="2973"/>
      <c r="Q74" s="2956"/>
      <c r="R74" s="2957"/>
      <c r="S74" s="2957"/>
      <c r="T74" s="2957"/>
      <c r="U74" s="2957"/>
      <c r="V74" s="2957"/>
      <c r="W74" s="2957"/>
      <c r="X74" s="2957"/>
      <c r="Y74" s="2957"/>
      <c r="Z74" s="2957"/>
      <c r="AA74" s="2957"/>
      <c r="AB74" s="2957"/>
      <c r="AC74" s="2957"/>
    </row>
    <row r="75" spans="1:29" s="429" customFormat="1" ht="15.75" thickTop="1">
      <c r="A75" s="509"/>
      <c r="B75" s="502">
        <f>B14</f>
        <v>111</v>
      </c>
      <c r="C75" s="479"/>
      <c r="D75" s="479"/>
      <c r="E75" s="479"/>
      <c r="F75" s="479"/>
      <c r="G75" s="479"/>
      <c r="H75" s="520"/>
      <c r="I75" s="520"/>
      <c r="J75" s="520"/>
      <c r="K75" s="520"/>
      <c r="L75" s="521"/>
      <c r="M75" s="522"/>
      <c r="N75" s="2965"/>
      <c r="O75" s="2965"/>
      <c r="P75" s="2975"/>
      <c r="Q75" s="2956"/>
      <c r="R75" s="2957"/>
      <c r="S75" s="2957"/>
      <c r="T75" s="2957"/>
      <c r="U75" s="2957"/>
      <c r="V75" s="2957"/>
      <c r="W75" s="2957"/>
      <c r="X75" s="2957"/>
      <c r="Y75" s="2957"/>
      <c r="Z75" s="2957"/>
      <c r="AA75" s="2957"/>
      <c r="AB75" s="2957"/>
      <c r="AC75" s="2957"/>
    </row>
    <row r="76" spans="1:29" s="429" customFormat="1" ht="15.75" thickBot="1">
      <c r="A76" s="524"/>
      <c r="B76" s="525"/>
      <c r="C76" s="526"/>
      <c r="D76" s="526"/>
      <c r="E76" s="526"/>
      <c r="F76" s="526"/>
      <c r="G76" s="526"/>
      <c r="H76" s="527"/>
      <c r="I76" s="527"/>
      <c r="J76" s="527"/>
      <c r="K76" s="527"/>
      <c r="L76" s="527"/>
      <c r="M76" s="528"/>
      <c r="N76" s="2965"/>
      <c r="O76" s="2965"/>
      <c r="P76" s="2973"/>
      <c r="Q76" s="2956"/>
      <c r="R76" s="2957"/>
      <c r="S76" s="2957"/>
      <c r="T76" s="2957"/>
      <c r="U76" s="2957"/>
      <c r="V76" s="2957"/>
      <c r="W76" s="2957"/>
      <c r="X76" s="2957"/>
      <c r="Y76" s="2957"/>
      <c r="Z76" s="2957"/>
      <c r="AA76" s="2957"/>
      <c r="AB76" s="2957"/>
      <c r="AC76" s="2957"/>
    </row>
    <row r="77" spans="1:29">
      <c r="A77" s="483" t="s">
        <v>2374</v>
      </c>
      <c r="B77" s="484" t="s">
        <v>2512</v>
      </c>
      <c r="C77" s="529" t="s">
        <v>2412</v>
      </c>
      <c r="D77" s="529" t="s">
        <v>2413</v>
      </c>
      <c r="E77" s="529" t="s">
        <v>2414</v>
      </c>
      <c r="F77" s="529" t="s">
        <v>2415</v>
      </c>
      <c r="G77" s="529" t="s">
        <v>2416</v>
      </c>
      <c r="H77" s="485"/>
      <c r="I77" s="485"/>
      <c r="J77" s="485"/>
      <c r="K77" s="530"/>
      <c r="L77" s="531"/>
      <c r="M77" s="532"/>
      <c r="N77" s="2963"/>
      <c r="O77" s="2963"/>
      <c r="P77" s="2976"/>
      <c r="Q77" s="2949"/>
      <c r="R77" s="2935"/>
      <c r="S77" s="2935"/>
      <c r="T77" s="2935"/>
      <c r="U77" s="2935"/>
      <c r="V77" s="2935"/>
      <c r="W77" s="2935"/>
      <c r="X77" s="2935"/>
      <c r="Y77" s="2935"/>
      <c r="Z77" s="2935"/>
      <c r="AA77" s="2935"/>
      <c r="AB77" s="2935"/>
      <c r="AC77" s="2935"/>
    </row>
    <row r="78" spans="1:29" ht="15.75" thickBot="1">
      <c r="A78" s="490"/>
      <c r="B78" s="499"/>
      <c r="C78" s="500">
        <v>100</v>
      </c>
      <c r="D78" s="500">
        <f>C78-$K15</f>
        <v>100</v>
      </c>
      <c r="E78" s="500">
        <f>D78-$K15</f>
        <v>100</v>
      </c>
      <c r="F78" s="500">
        <f>E78-$K15</f>
        <v>100</v>
      </c>
      <c r="G78" s="500">
        <f>F78-$K15</f>
        <v>100</v>
      </c>
      <c r="H78" s="500"/>
      <c r="I78" s="500"/>
      <c r="J78" s="500"/>
      <c r="K78" s="500"/>
      <c r="L78" s="500"/>
      <c r="M78" s="501"/>
      <c r="N78" s="2964"/>
      <c r="O78" s="2964"/>
      <c r="P78" s="2972"/>
      <c r="Q78" s="2949"/>
      <c r="R78" s="2935"/>
      <c r="S78" s="2935"/>
      <c r="T78" s="2935"/>
      <c r="U78" s="2935"/>
      <c r="V78" s="2935"/>
      <c r="W78" s="2935"/>
      <c r="X78" s="2935"/>
      <c r="Y78" s="2935"/>
      <c r="Z78" s="2935"/>
      <c r="AA78" s="2935"/>
      <c r="AB78" s="2935"/>
      <c r="AC78" s="2935"/>
    </row>
    <row r="79" spans="1:29" ht="15.75" thickTop="1">
      <c r="A79" s="490"/>
      <c r="B79" s="494" t="s">
        <v>2417</v>
      </c>
      <c r="C79" s="534" t="s">
        <v>2412</v>
      </c>
      <c r="D79" s="534" t="s">
        <v>2413</v>
      </c>
      <c r="E79" s="534" t="s">
        <v>2414</v>
      </c>
      <c r="F79" s="534" t="s">
        <v>2415</v>
      </c>
      <c r="G79" s="534" t="s">
        <v>2416</v>
      </c>
      <c r="H79" s="495"/>
      <c r="I79" s="495"/>
      <c r="J79" s="495"/>
      <c r="K79" s="496"/>
      <c r="L79" s="497"/>
      <c r="M79" s="498"/>
      <c r="N79" s="2963"/>
      <c r="O79" s="2963"/>
      <c r="P79" s="2972"/>
      <c r="Q79" s="2949"/>
      <c r="R79" s="2935"/>
      <c r="S79" s="2935"/>
      <c r="T79" s="2935"/>
      <c r="U79" s="2935"/>
      <c r="V79" s="2935"/>
      <c r="W79" s="2935"/>
      <c r="X79" s="2935"/>
      <c r="Y79" s="2935"/>
      <c r="Z79" s="2935"/>
      <c r="AA79" s="2935"/>
      <c r="AB79" s="2935"/>
      <c r="AC79" s="2935"/>
    </row>
    <row r="80" spans="1:29" ht="15.75" thickBot="1">
      <c r="A80" s="490"/>
      <c r="B80" s="499"/>
      <c r="C80" s="500">
        <v>100</v>
      </c>
      <c r="D80" s="500">
        <f>C80-$K17</f>
        <v>100</v>
      </c>
      <c r="E80" s="500">
        <f>D80-$K17</f>
        <v>100</v>
      </c>
      <c r="F80" s="500">
        <f>E80-$K17</f>
        <v>100</v>
      </c>
      <c r="G80" s="500">
        <f>F80-$K17</f>
        <v>100</v>
      </c>
      <c r="H80" s="500"/>
      <c r="I80" s="500"/>
      <c r="J80" s="500"/>
      <c r="K80" s="500"/>
      <c r="L80" s="500"/>
      <c r="M80" s="501"/>
      <c r="N80" s="2964"/>
      <c r="O80" s="2964"/>
      <c r="P80" s="2972"/>
      <c r="Q80" s="2949"/>
      <c r="R80" s="2935"/>
      <c r="S80" s="2935"/>
      <c r="T80" s="2935"/>
      <c r="U80" s="2935"/>
      <c r="V80" s="2935"/>
      <c r="W80" s="2935"/>
      <c r="X80" s="2935"/>
      <c r="Y80" s="2935"/>
      <c r="Z80" s="2935"/>
      <c r="AA80" s="2935"/>
      <c r="AB80" s="2935"/>
      <c r="AC80" s="2935"/>
    </row>
    <row r="81" spans="1:29" ht="15.75" thickTop="1">
      <c r="A81" s="490"/>
      <c r="B81" s="494" t="s">
        <v>2418</v>
      </c>
      <c r="C81" s="534" t="s">
        <v>2412</v>
      </c>
      <c r="D81" s="534" t="s">
        <v>2413</v>
      </c>
      <c r="E81" s="534" t="s">
        <v>2414</v>
      </c>
      <c r="F81" s="534" t="s">
        <v>2415</v>
      </c>
      <c r="G81" s="534" t="s">
        <v>2416</v>
      </c>
      <c r="H81" s="495"/>
      <c r="I81" s="495"/>
      <c r="J81" s="495"/>
      <c r="K81" s="496"/>
      <c r="L81" s="497"/>
      <c r="M81" s="498"/>
      <c r="N81" s="2963"/>
      <c r="O81" s="2963"/>
      <c r="P81" s="2972"/>
      <c r="Q81" s="2949"/>
      <c r="R81" s="2935"/>
      <c r="S81" s="2935"/>
      <c r="T81" s="2935"/>
      <c r="U81" s="2935"/>
      <c r="V81" s="2935"/>
      <c r="W81" s="2935"/>
      <c r="X81" s="2935"/>
      <c r="Y81" s="2935"/>
      <c r="Z81" s="2935"/>
      <c r="AA81" s="2935"/>
      <c r="AB81" s="2935"/>
      <c r="AC81" s="2935"/>
    </row>
    <row r="82" spans="1:29" ht="15.75" thickBot="1">
      <c r="A82" s="490"/>
      <c r="B82" s="499"/>
      <c r="C82" s="500">
        <v>100</v>
      </c>
      <c r="D82" s="500">
        <f>C82-$K19</f>
        <v>100</v>
      </c>
      <c r="E82" s="500">
        <f>D82-$K19</f>
        <v>100</v>
      </c>
      <c r="F82" s="500">
        <f>E82-$K19</f>
        <v>100</v>
      </c>
      <c r="G82" s="500">
        <f>F82-$K19</f>
        <v>100</v>
      </c>
      <c r="H82" s="500"/>
      <c r="I82" s="500"/>
      <c r="J82" s="500"/>
      <c r="K82" s="500"/>
      <c r="L82" s="500"/>
      <c r="M82" s="501"/>
      <c r="N82" s="2964"/>
      <c r="O82" s="2964"/>
      <c r="P82" s="2972"/>
      <c r="Q82" s="2949"/>
      <c r="R82" s="2935"/>
      <c r="S82" s="2935"/>
      <c r="T82" s="2935"/>
      <c r="U82" s="2935"/>
      <c r="V82" s="2935"/>
      <c r="W82" s="2935"/>
      <c r="X82" s="2935"/>
      <c r="Y82" s="2935"/>
      <c r="Z82" s="2935"/>
      <c r="AA82" s="2935"/>
      <c r="AB82" s="2935"/>
      <c r="AC82" s="2935"/>
    </row>
    <row r="83" spans="1:29" ht="15.75" thickTop="1">
      <c r="A83" s="490"/>
      <c r="B83" s="502" t="s">
        <v>2504</v>
      </c>
      <c r="C83" s="615" t="s">
        <v>2490</v>
      </c>
      <c r="D83" s="615" t="s">
        <v>2491</v>
      </c>
      <c r="E83" s="615" t="s">
        <v>2492</v>
      </c>
      <c r="F83" s="615" t="s">
        <v>2493</v>
      </c>
      <c r="G83" s="615" t="s">
        <v>2494</v>
      </c>
      <c r="H83" s="495"/>
      <c r="I83" s="495"/>
      <c r="J83" s="495"/>
      <c r="K83" s="495"/>
      <c r="L83" s="495"/>
      <c r="M83" s="1282"/>
      <c r="N83" s="2964"/>
      <c r="O83" s="2964"/>
      <c r="P83" s="2972"/>
      <c r="Q83" s="2949"/>
      <c r="R83" s="2935"/>
      <c r="S83" s="2935"/>
      <c r="T83" s="2935"/>
      <c r="U83" s="2935"/>
      <c r="V83" s="2935"/>
      <c r="W83" s="2935"/>
      <c r="X83" s="2935"/>
      <c r="Y83" s="2935"/>
      <c r="Z83" s="2935"/>
      <c r="AA83" s="2935"/>
      <c r="AB83" s="2935"/>
      <c r="AC83" s="2935"/>
    </row>
    <row r="84" spans="1:29" ht="15.75" thickBot="1">
      <c r="A84" s="490"/>
      <c r="B84" s="502"/>
      <c r="C84" s="500">
        <v>100</v>
      </c>
      <c r="D84" s="500">
        <f>C84-$K21</f>
        <v>100</v>
      </c>
      <c r="E84" s="500">
        <f>D84-$K21</f>
        <v>100</v>
      </c>
      <c r="F84" s="500">
        <f>E84-$K21</f>
        <v>100</v>
      </c>
      <c r="G84" s="500">
        <f>F84-$K21</f>
        <v>100</v>
      </c>
      <c r="H84" s="615"/>
      <c r="I84" s="615"/>
      <c r="J84" s="615"/>
      <c r="K84" s="615"/>
      <c r="L84" s="615"/>
      <c r="M84" s="408"/>
      <c r="N84" s="2964"/>
      <c r="O84" s="2964"/>
      <c r="P84" s="2972"/>
      <c r="Q84" s="2949"/>
      <c r="R84" s="2935"/>
      <c r="S84" s="2935"/>
      <c r="T84" s="2935"/>
      <c r="U84" s="2935"/>
      <c r="V84" s="2935"/>
      <c r="W84" s="2935"/>
      <c r="X84" s="2935"/>
      <c r="Y84" s="2935"/>
      <c r="Z84" s="2935"/>
      <c r="AA84" s="2935"/>
      <c r="AB84" s="2935"/>
      <c r="AC84" s="2935"/>
    </row>
    <row r="85" spans="1:29" ht="15.75" thickTop="1">
      <c r="A85" s="490"/>
      <c r="B85" s="494" t="s">
        <v>2513</v>
      </c>
      <c r="C85" s="534" t="s">
        <v>2412</v>
      </c>
      <c r="D85" s="534" t="s">
        <v>2413</v>
      </c>
      <c r="E85" s="534" t="s">
        <v>2414</v>
      </c>
      <c r="F85" s="534" t="s">
        <v>2415</v>
      </c>
      <c r="G85" s="534" t="s">
        <v>2416</v>
      </c>
      <c r="H85" s="495"/>
      <c r="I85" s="495"/>
      <c r="J85" s="495"/>
      <c r="K85" s="496"/>
      <c r="L85" s="497"/>
      <c r="M85" s="498"/>
      <c r="N85" s="2963"/>
      <c r="O85" s="2963"/>
      <c r="P85" s="2972"/>
      <c r="Q85" s="2949"/>
      <c r="R85" s="2935"/>
      <c r="S85" s="2935"/>
      <c r="T85" s="2935"/>
      <c r="U85" s="2935"/>
      <c r="V85" s="2935"/>
      <c r="W85" s="2935"/>
      <c r="X85" s="2935"/>
      <c r="Y85" s="2935"/>
      <c r="Z85" s="2935"/>
      <c r="AA85" s="2935"/>
      <c r="AB85" s="2935"/>
      <c r="AC85" s="2935"/>
    </row>
    <row r="86" spans="1:29" ht="15.75" thickBot="1">
      <c r="A86" s="490"/>
      <c r="B86" s="499"/>
      <c r="C86" s="500">
        <v>100</v>
      </c>
      <c r="D86" s="500">
        <f>C86-$K23</f>
        <v>100</v>
      </c>
      <c r="E86" s="500">
        <f>D86-$K23</f>
        <v>100</v>
      </c>
      <c r="F86" s="500">
        <f>E86-$K23</f>
        <v>100</v>
      </c>
      <c r="G86" s="500">
        <f>F86-$K23</f>
        <v>100</v>
      </c>
      <c r="H86" s="500"/>
      <c r="I86" s="500"/>
      <c r="J86" s="500"/>
      <c r="K86" s="500"/>
      <c r="L86" s="500"/>
      <c r="M86" s="501"/>
      <c r="N86" s="2964"/>
      <c r="O86" s="2964"/>
      <c r="P86" s="2972"/>
      <c r="Q86" s="2949"/>
      <c r="R86" s="2935"/>
      <c r="S86" s="2935"/>
      <c r="T86" s="2935"/>
      <c r="U86" s="2935"/>
      <c r="V86" s="2935"/>
      <c r="W86" s="2935"/>
      <c r="X86" s="2935"/>
      <c r="Y86" s="2935"/>
      <c r="Z86" s="2935"/>
      <c r="AA86" s="2935"/>
      <c r="AB86" s="2935"/>
      <c r="AC86" s="2935"/>
    </row>
    <row r="87" spans="1:29" s="113" customFormat="1" ht="27.75" thickTop="1">
      <c r="A87" s="535"/>
      <c r="B87" s="494" t="s">
        <v>2514</v>
      </c>
      <c r="C87" s="510"/>
      <c r="D87" s="510"/>
      <c r="E87" s="510"/>
      <c r="F87" s="510"/>
      <c r="G87" s="510"/>
      <c r="H87" s="510"/>
      <c r="I87" s="510"/>
      <c r="J87" s="510"/>
      <c r="K87" s="510"/>
      <c r="L87" s="536"/>
      <c r="M87" s="537"/>
      <c r="N87" s="2962"/>
      <c r="O87" s="2962"/>
      <c r="P87" s="2972"/>
      <c r="Q87" s="2949"/>
      <c r="R87" s="2870"/>
      <c r="S87" s="2870"/>
      <c r="T87" s="2870"/>
      <c r="U87" s="2870"/>
      <c r="V87" s="2870"/>
      <c r="W87" s="2870"/>
      <c r="X87" s="2870"/>
      <c r="Y87" s="2870"/>
      <c r="Z87" s="2870"/>
      <c r="AA87" s="2870"/>
      <c r="AB87" s="2870"/>
      <c r="AC87" s="2870"/>
    </row>
    <row r="88" spans="1:29" s="113" customFormat="1" ht="15.75" thickBot="1">
      <c r="A88" s="535"/>
      <c r="B88" s="499"/>
      <c r="C88" s="538">
        <v>100</v>
      </c>
      <c r="D88" s="500">
        <f t="shared" ref="D88:M88" si="19">C88-$K25</f>
        <v>100</v>
      </c>
      <c r="E88" s="500">
        <f t="shared" si="19"/>
        <v>100</v>
      </c>
      <c r="F88" s="500">
        <f t="shared" si="19"/>
        <v>100</v>
      </c>
      <c r="G88" s="500">
        <f t="shared" si="19"/>
        <v>100</v>
      </c>
      <c r="H88" s="500">
        <f t="shared" si="19"/>
        <v>100</v>
      </c>
      <c r="I88" s="500">
        <f t="shared" si="19"/>
        <v>100</v>
      </c>
      <c r="J88" s="500">
        <f t="shared" si="19"/>
        <v>100</v>
      </c>
      <c r="K88" s="500">
        <f t="shared" si="19"/>
        <v>100</v>
      </c>
      <c r="L88" s="500">
        <f t="shared" si="19"/>
        <v>100</v>
      </c>
      <c r="M88" s="500">
        <f t="shared" si="19"/>
        <v>100</v>
      </c>
      <c r="N88" s="2964"/>
      <c r="O88" s="2964"/>
      <c r="P88" s="2972"/>
      <c r="Q88" s="2949"/>
      <c r="R88" s="2870"/>
      <c r="S88" s="2870"/>
      <c r="T88" s="2870"/>
      <c r="U88" s="2870"/>
      <c r="V88" s="2870"/>
      <c r="W88" s="2870"/>
      <c r="X88" s="2870"/>
      <c r="Y88" s="2870"/>
      <c r="Z88" s="2870"/>
      <c r="AA88" s="2870"/>
      <c r="AB88" s="2870"/>
      <c r="AC88" s="2870"/>
    </row>
    <row r="89" spans="1:29" s="113" customFormat="1" ht="15.75" thickTop="1">
      <c r="A89" s="535"/>
      <c r="B89" s="494" t="str">
        <f>B27</f>
        <v>楼层</v>
      </c>
      <c r="C89" s="510"/>
      <c r="D89" s="510"/>
      <c r="E89" s="510"/>
      <c r="F89" s="2100"/>
      <c r="G89" s="510"/>
      <c r="H89" s="510"/>
      <c r="I89" s="510"/>
      <c r="J89" s="510"/>
      <c r="K89" s="510"/>
      <c r="L89" s="510"/>
      <c r="M89" s="537"/>
      <c r="N89" s="2962"/>
      <c r="O89" s="2962"/>
      <c r="P89" s="2972"/>
      <c r="Q89" s="2949"/>
      <c r="R89" s="2870"/>
      <c r="S89" s="2870"/>
      <c r="T89" s="2870"/>
      <c r="U89" s="2870"/>
      <c r="V89" s="2870"/>
      <c r="W89" s="2870"/>
      <c r="X89" s="2870"/>
      <c r="Y89" s="2870"/>
      <c r="Z89" s="2870"/>
      <c r="AA89" s="2870"/>
      <c r="AB89" s="2870"/>
      <c r="AC89" s="2870"/>
    </row>
    <row r="90" spans="1:29" s="113" customFormat="1" ht="15.75" thickBot="1">
      <c r="A90" s="535"/>
      <c r="B90" s="499"/>
      <c r="C90" s="538">
        <v>100</v>
      </c>
      <c r="D90" s="500">
        <f>C90-$K27</f>
        <v>100</v>
      </c>
      <c r="E90" s="500">
        <f t="shared" ref="E90:M90" si="20">D90-$K27</f>
        <v>100</v>
      </c>
      <c r="F90" s="500">
        <f t="shared" si="20"/>
        <v>100</v>
      </c>
      <c r="G90" s="500">
        <f t="shared" si="20"/>
        <v>100</v>
      </c>
      <c r="H90" s="500">
        <f t="shared" si="20"/>
        <v>100</v>
      </c>
      <c r="I90" s="500">
        <f t="shared" si="20"/>
        <v>100</v>
      </c>
      <c r="J90" s="500">
        <f t="shared" si="20"/>
        <v>100</v>
      </c>
      <c r="K90" s="500">
        <f t="shared" si="20"/>
        <v>100</v>
      </c>
      <c r="L90" s="500">
        <f t="shared" si="20"/>
        <v>100</v>
      </c>
      <c r="M90" s="500">
        <f t="shared" si="20"/>
        <v>100</v>
      </c>
      <c r="N90" s="2964"/>
      <c r="O90" s="2964"/>
      <c r="P90" s="2972"/>
      <c r="Q90" s="2949"/>
      <c r="R90" s="2870"/>
      <c r="S90" s="2870"/>
      <c r="T90" s="2870"/>
      <c r="U90" s="2870"/>
      <c r="V90" s="2870"/>
      <c r="W90" s="2870"/>
      <c r="X90" s="2870"/>
      <c r="Y90" s="2870"/>
      <c r="Z90" s="2870"/>
      <c r="AA90" s="2870"/>
      <c r="AB90" s="2870"/>
      <c r="AC90" s="2870"/>
    </row>
    <row r="91" spans="1:29" s="429" customFormat="1" ht="15.75" thickTop="1">
      <c r="A91" s="509"/>
      <c r="B91" s="494" t="str">
        <f>B28</f>
        <v>朝向</v>
      </c>
      <c r="C91" s="510"/>
      <c r="D91" s="510"/>
      <c r="E91" s="510"/>
      <c r="F91" s="510"/>
      <c r="G91" s="510"/>
      <c r="H91" s="511"/>
      <c r="I91" s="511"/>
      <c r="J91" s="511"/>
      <c r="K91" s="511"/>
      <c r="L91" s="512"/>
      <c r="M91" s="513"/>
      <c r="N91" s="2965"/>
      <c r="O91" s="2965"/>
      <c r="P91" s="2973"/>
      <c r="Q91" s="2956"/>
      <c r="R91" s="2957"/>
      <c r="S91" s="2957"/>
      <c r="T91" s="2957"/>
      <c r="U91" s="2957"/>
      <c r="V91" s="2957"/>
      <c r="W91" s="2957"/>
      <c r="X91" s="2957"/>
      <c r="Y91" s="2957"/>
      <c r="Z91" s="2957"/>
      <c r="AA91" s="2957"/>
      <c r="AB91" s="2957"/>
      <c r="AC91" s="2957"/>
    </row>
    <row r="92" spans="1:29" s="429" customFormat="1" ht="15.75" thickBot="1">
      <c r="A92" s="509"/>
      <c r="B92" s="499"/>
      <c r="C92" s="538">
        <v>100</v>
      </c>
      <c r="D92" s="500">
        <f t="shared" ref="D92:M92" si="21">C92-$K28</f>
        <v>100</v>
      </c>
      <c r="E92" s="500">
        <f t="shared" si="21"/>
        <v>100</v>
      </c>
      <c r="F92" s="500">
        <f t="shared" si="21"/>
        <v>100</v>
      </c>
      <c r="G92" s="500">
        <f t="shared" si="21"/>
        <v>100</v>
      </c>
      <c r="H92" s="500">
        <f t="shared" si="21"/>
        <v>100</v>
      </c>
      <c r="I92" s="500">
        <f t="shared" si="21"/>
        <v>100</v>
      </c>
      <c r="J92" s="500">
        <f t="shared" si="21"/>
        <v>100</v>
      </c>
      <c r="K92" s="500">
        <f t="shared" si="21"/>
        <v>100</v>
      </c>
      <c r="L92" s="500">
        <f t="shared" si="21"/>
        <v>100</v>
      </c>
      <c r="M92" s="500">
        <f t="shared" si="21"/>
        <v>100</v>
      </c>
      <c r="N92" s="2965"/>
      <c r="O92" s="2965"/>
      <c r="P92" s="2973"/>
      <c r="Q92" s="2956"/>
      <c r="R92" s="2957"/>
      <c r="S92" s="2957"/>
      <c r="T92" s="2957"/>
      <c r="U92" s="2957"/>
      <c r="V92" s="2957"/>
      <c r="W92" s="2957"/>
      <c r="X92" s="2957"/>
      <c r="Y92" s="2957"/>
      <c r="Z92" s="2957"/>
      <c r="AA92" s="2957"/>
      <c r="AB92" s="2957"/>
      <c r="AC92" s="2957"/>
    </row>
    <row r="93" spans="1:29" ht="15.75" thickTop="1">
      <c r="A93" s="490"/>
      <c r="B93" s="494">
        <f>B29</f>
        <v>111</v>
      </c>
      <c r="C93" s="510"/>
      <c r="D93" s="510"/>
      <c r="E93" s="510"/>
      <c r="F93" s="510"/>
      <c r="G93" s="510"/>
      <c r="H93" s="510"/>
      <c r="I93" s="510"/>
      <c r="J93" s="510"/>
      <c r="K93" s="510"/>
      <c r="L93" s="536"/>
      <c r="M93" s="537"/>
      <c r="N93" s="2963"/>
      <c r="O93" s="2963"/>
      <c r="P93" s="2972"/>
      <c r="Q93" s="2949"/>
      <c r="R93" s="2935"/>
      <c r="S93" s="2935"/>
      <c r="T93" s="2935"/>
      <c r="U93" s="2935"/>
      <c r="V93" s="2935"/>
      <c r="W93" s="2935"/>
      <c r="X93" s="2935"/>
      <c r="Y93" s="2935"/>
      <c r="Z93" s="2935"/>
      <c r="AA93" s="2935"/>
      <c r="AB93" s="2935"/>
      <c r="AC93" s="2935"/>
    </row>
    <row r="94" spans="1:29" ht="15.75" thickBot="1">
      <c r="A94" s="490"/>
      <c r="B94" s="499"/>
      <c r="C94" s="516"/>
      <c r="D94" s="492"/>
      <c r="E94" s="492"/>
      <c r="F94" s="492"/>
      <c r="G94" s="492"/>
      <c r="H94" s="492"/>
      <c r="I94" s="492"/>
      <c r="J94" s="492"/>
      <c r="K94" s="492"/>
      <c r="L94" s="492"/>
      <c r="M94" s="493"/>
      <c r="N94" s="2964"/>
      <c r="O94" s="2964"/>
      <c r="P94" s="2972"/>
      <c r="Q94" s="2949"/>
      <c r="R94" s="2935"/>
      <c r="S94" s="2935"/>
      <c r="T94" s="2935"/>
      <c r="U94" s="2935"/>
      <c r="V94" s="2935"/>
      <c r="W94" s="2935"/>
      <c r="X94" s="2935"/>
      <c r="Y94" s="2935"/>
      <c r="Z94" s="2935"/>
      <c r="AA94" s="2935"/>
      <c r="AB94" s="2935"/>
      <c r="AC94" s="2935"/>
    </row>
    <row r="95" spans="1:29" ht="15.75" thickTop="1">
      <c r="A95" s="490"/>
      <c r="B95" s="494">
        <f>B30</f>
        <v>111</v>
      </c>
      <c r="C95" s="510"/>
      <c r="D95" s="510"/>
      <c r="E95" s="510"/>
      <c r="F95" s="510"/>
      <c r="G95" s="539"/>
      <c r="H95" s="539"/>
      <c r="I95" s="539"/>
      <c r="J95" s="539"/>
      <c r="K95" s="540"/>
      <c r="L95" s="541"/>
      <c r="M95" s="542"/>
      <c r="N95" s="2963"/>
      <c r="O95" s="2963"/>
      <c r="P95" s="2972"/>
      <c r="Q95" s="2949"/>
      <c r="R95" s="2935"/>
      <c r="S95" s="2935"/>
      <c r="T95" s="2935"/>
      <c r="U95" s="2935"/>
      <c r="V95" s="2935"/>
      <c r="W95" s="2935"/>
      <c r="X95" s="2935"/>
      <c r="Y95" s="2935"/>
      <c r="Z95" s="2935"/>
      <c r="AA95" s="2935"/>
      <c r="AB95" s="2935"/>
      <c r="AC95" s="2935"/>
    </row>
    <row r="96" spans="1:29" ht="15.75" thickBot="1">
      <c r="A96" s="490"/>
      <c r="B96" s="499"/>
      <c r="C96" s="516"/>
      <c r="D96" s="516"/>
      <c r="E96" s="516"/>
      <c r="F96" s="516"/>
      <c r="G96" s="492"/>
      <c r="H96" s="492"/>
      <c r="I96" s="492"/>
      <c r="J96" s="492"/>
      <c r="K96" s="492"/>
      <c r="L96" s="492"/>
      <c r="M96" s="493"/>
      <c r="N96" s="2964"/>
      <c r="O96" s="2964"/>
      <c r="P96" s="2972"/>
      <c r="Q96" s="2949"/>
      <c r="R96" s="2935"/>
      <c r="S96" s="2935"/>
      <c r="T96" s="2935"/>
      <c r="U96" s="2935"/>
      <c r="V96" s="2935"/>
      <c r="W96" s="2935"/>
      <c r="X96" s="2935"/>
      <c r="Y96" s="2935"/>
      <c r="Z96" s="2935"/>
      <c r="AA96" s="2935"/>
      <c r="AB96" s="2935"/>
      <c r="AC96" s="2935"/>
    </row>
    <row r="97" spans="1:29" ht="15.75" thickTop="1">
      <c r="A97" s="490"/>
      <c r="B97" s="494">
        <f>B31</f>
        <v>111</v>
      </c>
      <c r="C97" s="510"/>
      <c r="D97" s="510"/>
      <c r="E97" s="510"/>
      <c r="F97" s="510"/>
      <c r="G97" s="539"/>
      <c r="H97" s="539"/>
      <c r="I97" s="539"/>
      <c r="J97" s="539"/>
      <c r="K97" s="540"/>
      <c r="L97" s="541"/>
      <c r="M97" s="542"/>
      <c r="N97" s="2963"/>
      <c r="O97" s="2963"/>
      <c r="P97" s="2972"/>
      <c r="Q97" s="2949"/>
      <c r="R97" s="2935"/>
      <c r="S97" s="2935"/>
      <c r="T97" s="2935"/>
      <c r="U97" s="2935"/>
      <c r="V97" s="2935"/>
      <c r="W97" s="2935"/>
      <c r="X97" s="2935"/>
      <c r="Y97" s="2935"/>
      <c r="Z97" s="2935"/>
      <c r="AA97" s="2935"/>
      <c r="AB97" s="2935"/>
      <c r="AC97" s="2935"/>
    </row>
    <row r="98" spans="1:29" ht="15.75" thickBot="1">
      <c r="A98" s="490"/>
      <c r="B98" s="499"/>
      <c r="C98" s="516"/>
      <c r="D98" s="492"/>
      <c r="E98" s="492"/>
      <c r="F98" s="492"/>
      <c r="G98" s="492"/>
      <c r="H98" s="492"/>
      <c r="I98" s="492"/>
      <c r="J98" s="492"/>
      <c r="K98" s="492"/>
      <c r="L98" s="492"/>
      <c r="M98" s="493"/>
      <c r="N98" s="2964"/>
      <c r="O98" s="2964"/>
      <c r="P98" s="2972"/>
      <c r="Q98" s="2949"/>
      <c r="R98" s="2935"/>
      <c r="S98" s="2935"/>
      <c r="T98" s="2935"/>
      <c r="U98" s="2935"/>
      <c r="V98" s="2935"/>
      <c r="W98" s="2935"/>
      <c r="X98" s="2935"/>
      <c r="Y98" s="2935"/>
      <c r="Z98" s="2935"/>
      <c r="AA98" s="2935"/>
      <c r="AB98" s="2935"/>
      <c r="AC98" s="2935"/>
    </row>
    <row r="99" spans="1:29" ht="15.75" thickTop="1">
      <c r="A99" s="490"/>
      <c r="B99" s="502">
        <f>B32</f>
        <v>111</v>
      </c>
      <c r="C99" s="479"/>
      <c r="D99" s="479"/>
      <c r="E99" s="479"/>
      <c r="F99" s="479"/>
      <c r="G99" s="543"/>
      <c r="H99" s="543"/>
      <c r="I99" s="543"/>
      <c r="J99" s="543"/>
      <c r="K99" s="544"/>
      <c r="L99" s="545"/>
      <c r="M99" s="546"/>
      <c r="N99" s="2963"/>
      <c r="O99" s="2963"/>
      <c r="P99" s="2972"/>
      <c r="Q99" s="2949"/>
      <c r="R99" s="2935"/>
      <c r="S99" s="2935"/>
      <c r="T99" s="2935"/>
      <c r="U99" s="2935"/>
      <c r="V99" s="2935"/>
      <c r="W99" s="2935"/>
      <c r="X99" s="2935"/>
      <c r="Y99" s="2935"/>
      <c r="Z99" s="2935"/>
      <c r="AA99" s="2935"/>
      <c r="AB99" s="2935"/>
      <c r="AC99" s="2935"/>
    </row>
    <row r="100" spans="1:29" ht="15.75" thickBot="1">
      <c r="A100" s="2101"/>
      <c r="B100" s="525"/>
      <c r="C100" s="526"/>
      <c r="D100" s="526"/>
      <c r="E100" s="526"/>
      <c r="F100" s="526"/>
      <c r="G100" s="547"/>
      <c r="H100" s="547"/>
      <c r="I100" s="547"/>
      <c r="J100" s="547"/>
      <c r="K100" s="547"/>
      <c r="L100" s="547"/>
      <c r="M100" s="548"/>
      <c r="N100" s="2964"/>
      <c r="O100" s="2964"/>
      <c r="P100" s="2972"/>
      <c r="Q100" s="2949"/>
      <c r="R100" s="2935"/>
      <c r="S100" s="2935"/>
      <c r="T100" s="2935"/>
      <c r="U100" s="2935"/>
      <c r="V100" s="2935"/>
      <c r="W100" s="2935"/>
      <c r="X100" s="2935"/>
      <c r="Y100" s="2935"/>
      <c r="Z100" s="2935"/>
      <c r="AA100" s="2935"/>
      <c r="AB100" s="2935"/>
      <c r="AC100" s="2935"/>
    </row>
    <row r="101" spans="1:29">
      <c r="A101" s="483" t="s">
        <v>2378</v>
      </c>
      <c r="B101" s="484" t="s">
        <v>2427</v>
      </c>
      <c r="C101" s="486"/>
      <c r="D101" s="486"/>
      <c r="E101" s="486"/>
      <c r="F101" s="486"/>
      <c r="G101" s="486"/>
      <c r="H101" s="486"/>
      <c r="I101" s="486"/>
      <c r="J101" s="486"/>
      <c r="K101" s="487"/>
      <c r="L101" s="488"/>
      <c r="M101" s="489"/>
      <c r="N101" s="2963"/>
      <c r="O101" s="2963"/>
      <c r="P101" s="2972"/>
      <c r="Q101" s="2949"/>
      <c r="R101" s="2935"/>
      <c r="S101" s="2935"/>
      <c r="T101" s="2935"/>
      <c r="U101" s="2935"/>
      <c r="V101" s="2935"/>
      <c r="W101" s="2935"/>
      <c r="X101" s="2935"/>
      <c r="Y101" s="2935"/>
      <c r="Z101" s="2935"/>
      <c r="AA101" s="2935"/>
      <c r="AB101" s="2935"/>
      <c r="AC101" s="2935"/>
    </row>
    <row r="102" spans="1:29" ht="15.75" thickBot="1">
      <c r="A102" s="490"/>
      <c r="B102" s="499"/>
      <c r="C102" s="500">
        <v>100</v>
      </c>
      <c r="D102" s="500">
        <f t="shared" ref="D102:M102" si="22">C102-$K33</f>
        <v>100</v>
      </c>
      <c r="E102" s="500">
        <f t="shared" si="22"/>
        <v>100</v>
      </c>
      <c r="F102" s="500">
        <f t="shared" si="22"/>
        <v>100</v>
      </c>
      <c r="G102" s="500">
        <f t="shared" si="22"/>
        <v>100</v>
      </c>
      <c r="H102" s="500">
        <f t="shared" si="22"/>
        <v>100</v>
      </c>
      <c r="I102" s="500">
        <f t="shared" si="22"/>
        <v>100</v>
      </c>
      <c r="J102" s="500">
        <f t="shared" si="22"/>
        <v>100</v>
      </c>
      <c r="K102" s="500">
        <f t="shared" si="22"/>
        <v>100</v>
      </c>
      <c r="L102" s="500">
        <f t="shared" si="22"/>
        <v>100</v>
      </c>
      <c r="M102" s="501">
        <f t="shared" si="22"/>
        <v>100</v>
      </c>
      <c r="N102" s="2964"/>
      <c r="O102" s="2964"/>
      <c r="P102" s="2972"/>
      <c r="Q102" s="2949"/>
      <c r="R102" s="2935"/>
      <c r="S102" s="2935"/>
      <c r="T102" s="2935"/>
      <c r="U102" s="2935"/>
      <c r="V102" s="2935"/>
      <c r="W102" s="2935"/>
      <c r="X102" s="2935"/>
      <c r="Y102" s="2935"/>
      <c r="Z102" s="2935"/>
      <c r="AA102" s="2935"/>
      <c r="AB102" s="2935"/>
      <c r="AC102" s="2935"/>
    </row>
    <row r="103" spans="1:29" ht="15.75" thickTop="1">
      <c r="A103" s="490"/>
      <c r="B103" s="494" t="s">
        <v>2428</v>
      </c>
      <c r="C103" s="534" t="str">
        <f>C104&amp;"(含)"&amp;"-"&amp;D104</f>
        <v>(含)-</v>
      </c>
      <c r="D103" s="534" t="str">
        <f t="shared" ref="D103:L103" si="23">D104&amp;"(含)"&amp;"-"&amp;E104</f>
        <v>(含)-</v>
      </c>
      <c r="E103" s="534" t="str">
        <f t="shared" si="23"/>
        <v>(含)-</v>
      </c>
      <c r="F103" s="534" t="str">
        <f t="shared" si="23"/>
        <v>(含)-</v>
      </c>
      <c r="G103" s="534" t="str">
        <f t="shared" si="23"/>
        <v>(含)-</v>
      </c>
      <c r="H103" s="534" t="str">
        <f t="shared" si="23"/>
        <v>(含)-</v>
      </c>
      <c r="I103" s="534" t="str">
        <f t="shared" si="23"/>
        <v>(含)-</v>
      </c>
      <c r="J103" s="534" t="str">
        <f t="shared" si="23"/>
        <v>(含)-</v>
      </c>
      <c r="K103" s="534" t="str">
        <f t="shared" si="23"/>
        <v>(含)-</v>
      </c>
      <c r="L103" s="534" t="str">
        <f t="shared" si="23"/>
        <v>(含)-</v>
      </c>
      <c r="M103" s="577" t="str">
        <f>M104&amp;"(含)"&amp;"-"&amp;P104</f>
        <v>(含)-</v>
      </c>
      <c r="N103" s="2962"/>
      <c r="O103" s="2962"/>
      <c r="P103" s="2972"/>
      <c r="Q103" s="2949"/>
      <c r="R103" s="2935"/>
      <c r="S103" s="2935"/>
      <c r="T103" s="2935"/>
      <c r="U103" s="2935"/>
      <c r="V103" s="2935"/>
      <c r="W103" s="2935"/>
      <c r="X103" s="2935"/>
      <c r="Y103" s="2935"/>
      <c r="Z103" s="2935"/>
      <c r="AA103" s="2935"/>
      <c r="AB103" s="2935"/>
      <c r="AC103" s="2935"/>
    </row>
    <row r="104" spans="1:29" s="429" customFormat="1">
      <c r="A104" s="549"/>
      <c r="B104" s="550"/>
      <c r="C104" s="551"/>
      <c r="D104" s="551"/>
      <c r="E104" s="551"/>
      <c r="F104" s="551"/>
      <c r="G104" s="551"/>
      <c r="H104" s="551"/>
      <c r="I104" s="551"/>
      <c r="J104" s="552"/>
      <c r="K104" s="552"/>
      <c r="L104" s="553"/>
      <c r="M104" s="554"/>
      <c r="N104" s="2965"/>
      <c r="O104" s="2965"/>
      <c r="P104" s="2973"/>
      <c r="Q104" s="2956"/>
      <c r="R104" s="2957"/>
      <c r="S104" s="2957"/>
      <c r="T104" s="2957"/>
      <c r="U104" s="2957"/>
      <c r="V104" s="2957"/>
      <c r="W104" s="2957"/>
      <c r="X104" s="2957"/>
      <c r="Y104" s="2957"/>
      <c r="Z104" s="2957"/>
      <c r="AA104" s="2957"/>
      <c r="AB104" s="2957"/>
      <c r="AC104" s="2957"/>
    </row>
    <row r="105" spans="1:29" s="429" customFormat="1" ht="15.75" thickBot="1">
      <c r="A105" s="509"/>
      <c r="B105" s="499"/>
      <c r="C105" s="516"/>
      <c r="D105" s="492"/>
      <c r="E105" s="492"/>
      <c r="F105" s="492"/>
      <c r="G105" s="492"/>
      <c r="H105" s="492"/>
      <c r="I105" s="492"/>
      <c r="J105" s="492"/>
      <c r="K105" s="492"/>
      <c r="L105" s="492"/>
      <c r="M105" s="493"/>
      <c r="N105" s="2964"/>
      <c r="O105" s="2964"/>
      <c r="P105" s="2973"/>
      <c r="Q105" s="2956"/>
      <c r="R105" s="2957"/>
      <c r="S105" s="2957"/>
      <c r="T105" s="2957"/>
      <c r="U105" s="2957"/>
      <c r="V105" s="2957"/>
      <c r="W105" s="2957"/>
      <c r="X105" s="2957"/>
      <c r="Y105" s="2957"/>
      <c r="Z105" s="2957"/>
      <c r="AA105" s="2957"/>
      <c r="AB105" s="2957"/>
      <c r="AC105" s="2957"/>
    </row>
    <row r="106" spans="1:29" ht="15" thickTop="1">
      <c r="A106" s="555"/>
      <c r="B106" s="494" t="s">
        <v>2429</v>
      </c>
      <c r="C106" s="510"/>
      <c r="D106" s="510"/>
      <c r="E106" s="539"/>
      <c r="F106" s="539"/>
      <c r="G106" s="539"/>
      <c r="H106" s="539"/>
      <c r="I106" s="539"/>
      <c r="J106" s="539"/>
      <c r="K106" s="540"/>
      <c r="L106" s="541"/>
      <c r="M106" s="542"/>
      <c r="N106" s="2963"/>
      <c r="O106" s="2963"/>
      <c r="P106" s="2972"/>
      <c r="Q106" s="2949"/>
      <c r="R106" s="2935"/>
      <c r="S106" s="2935"/>
      <c r="T106" s="2935"/>
      <c r="U106" s="2935"/>
      <c r="V106" s="2935"/>
      <c r="W106" s="2935"/>
      <c r="X106" s="2935"/>
      <c r="Y106" s="2935"/>
      <c r="Z106" s="2935"/>
      <c r="AA106" s="2935"/>
      <c r="AB106" s="2935"/>
      <c r="AC106" s="2935"/>
    </row>
    <row r="107" spans="1:29" ht="15.75" thickBot="1">
      <c r="A107" s="490"/>
      <c r="B107" s="499"/>
      <c r="C107" s="500">
        <v>100</v>
      </c>
      <c r="D107" s="500">
        <f t="shared" ref="D107:M107" si="24">C107-$K35</f>
        <v>100</v>
      </c>
      <c r="E107" s="500">
        <f t="shared" si="24"/>
        <v>100</v>
      </c>
      <c r="F107" s="500">
        <f t="shared" si="24"/>
        <v>100</v>
      </c>
      <c r="G107" s="500">
        <f t="shared" si="24"/>
        <v>100</v>
      </c>
      <c r="H107" s="500">
        <f t="shared" si="24"/>
        <v>100</v>
      </c>
      <c r="I107" s="500">
        <f t="shared" si="24"/>
        <v>100</v>
      </c>
      <c r="J107" s="500">
        <f t="shared" si="24"/>
        <v>100</v>
      </c>
      <c r="K107" s="500">
        <f t="shared" si="24"/>
        <v>100</v>
      </c>
      <c r="L107" s="500">
        <f t="shared" si="24"/>
        <v>100</v>
      </c>
      <c r="M107" s="501">
        <f t="shared" si="24"/>
        <v>100</v>
      </c>
      <c r="N107" s="2964"/>
      <c r="O107" s="2964"/>
      <c r="P107" s="2972"/>
      <c r="Q107" s="2949"/>
      <c r="R107" s="2935"/>
      <c r="S107" s="2935"/>
      <c r="T107" s="2935"/>
      <c r="U107" s="2935"/>
      <c r="V107" s="2935"/>
      <c r="W107" s="2935"/>
      <c r="X107" s="2935"/>
      <c r="Y107" s="2935"/>
      <c r="Z107" s="2935"/>
      <c r="AA107" s="2935"/>
      <c r="AB107" s="2935"/>
      <c r="AC107" s="2935"/>
    </row>
    <row r="108" spans="1:29" ht="15" thickTop="1">
      <c r="A108" s="555"/>
      <c r="B108" s="494" t="s">
        <v>2431</v>
      </c>
      <c r="C108" s="510"/>
      <c r="D108" s="510"/>
      <c r="E108" s="510"/>
      <c r="F108" s="539"/>
      <c r="G108" s="539"/>
      <c r="H108" s="539"/>
      <c r="I108" s="539"/>
      <c r="J108" s="539"/>
      <c r="K108" s="540"/>
      <c r="L108" s="541"/>
      <c r="M108" s="542"/>
      <c r="N108" s="2963"/>
      <c r="O108" s="2963"/>
      <c r="P108" s="2972"/>
      <c r="Q108" s="2949"/>
      <c r="R108" s="2935"/>
      <c r="S108" s="2935"/>
      <c r="T108" s="2935"/>
      <c r="U108" s="2935"/>
      <c r="V108" s="2935"/>
      <c r="W108" s="2935"/>
      <c r="X108" s="2935"/>
      <c r="Y108" s="2935"/>
      <c r="Z108" s="2935"/>
      <c r="AA108" s="2935"/>
      <c r="AB108" s="2935"/>
      <c r="AC108" s="2935"/>
    </row>
    <row r="109" spans="1:29" ht="15.75" thickBot="1">
      <c r="A109" s="490"/>
      <c r="B109" s="499"/>
      <c r="C109" s="500">
        <v>100</v>
      </c>
      <c r="D109" s="500">
        <f t="shared" ref="D109:M109" si="25">C109-$K36</f>
        <v>100</v>
      </c>
      <c r="E109" s="500">
        <f t="shared" si="25"/>
        <v>100</v>
      </c>
      <c r="F109" s="500">
        <f t="shared" si="25"/>
        <v>100</v>
      </c>
      <c r="G109" s="500">
        <f t="shared" si="25"/>
        <v>100</v>
      </c>
      <c r="H109" s="500">
        <f t="shared" si="25"/>
        <v>100</v>
      </c>
      <c r="I109" s="500">
        <f t="shared" si="25"/>
        <v>100</v>
      </c>
      <c r="J109" s="500">
        <f t="shared" si="25"/>
        <v>100</v>
      </c>
      <c r="K109" s="500">
        <f t="shared" si="25"/>
        <v>100</v>
      </c>
      <c r="L109" s="500">
        <f t="shared" si="25"/>
        <v>100</v>
      </c>
      <c r="M109" s="501">
        <f t="shared" si="25"/>
        <v>100</v>
      </c>
      <c r="N109" s="2964"/>
      <c r="O109" s="2964"/>
      <c r="P109" s="2972"/>
      <c r="Q109" s="2949"/>
      <c r="R109" s="2935"/>
      <c r="S109" s="2935"/>
      <c r="T109" s="2935"/>
      <c r="U109" s="2935"/>
      <c r="V109" s="2935"/>
      <c r="W109" s="2935"/>
      <c r="X109" s="2935"/>
      <c r="Y109" s="2935"/>
      <c r="Z109" s="2935"/>
      <c r="AA109" s="2935"/>
      <c r="AB109" s="2935"/>
      <c r="AC109" s="2935"/>
    </row>
    <row r="110" spans="1:29" ht="15" thickTop="1">
      <c r="A110" s="555"/>
      <c r="B110" s="494" t="s">
        <v>1874</v>
      </c>
      <c r="C110" s="534" t="str">
        <f>C111&amp;"(含)"&amp;"-"&amp;D111</f>
        <v>0.5(含)-0.6</v>
      </c>
      <c r="D110" s="534" t="str">
        <f>D111&amp;"(含)"&amp;"-"&amp;E111</f>
        <v>0.6(含)-0.7</v>
      </c>
      <c r="E110" s="534" t="str">
        <f>E111&amp;"(含)"&amp;"-"&amp;F111</f>
        <v>0.7(含)-0.8</v>
      </c>
      <c r="F110" s="534" t="str">
        <f>F111&amp;"(含)"&amp;"-"&amp;G111</f>
        <v>0.8(含)-0.9</v>
      </c>
      <c r="G110" s="534" t="str">
        <f>G111&amp;"(含)"&amp;"-"&amp;ROUND(H111,0)&amp;"(含)"</f>
        <v>0.9(含)-1(含)</v>
      </c>
      <c r="H110" s="534"/>
      <c r="I110" s="539"/>
      <c r="J110" s="539"/>
      <c r="K110" s="540"/>
      <c r="L110" s="541"/>
      <c r="M110" s="542"/>
      <c r="N110" s="2963"/>
      <c r="O110" s="2963"/>
      <c r="P110" s="2972"/>
      <c r="Q110" s="2949"/>
      <c r="R110" s="2935"/>
      <c r="S110" s="2935"/>
      <c r="T110" s="2935"/>
      <c r="U110" s="2935"/>
      <c r="V110" s="2935"/>
      <c r="W110" s="2935"/>
      <c r="X110" s="2935"/>
      <c r="Y110" s="2935"/>
      <c r="Z110" s="2935"/>
      <c r="AA110" s="2935"/>
      <c r="AB110" s="2935"/>
      <c r="AC110" s="2935"/>
    </row>
    <row r="111" spans="1:29">
      <c r="A111" s="555"/>
      <c r="B111" s="502"/>
      <c r="C111" s="559">
        <v>0.5</v>
      </c>
      <c r="D111" s="559">
        <v>0.6</v>
      </c>
      <c r="E111" s="559">
        <v>0.7</v>
      </c>
      <c r="F111" s="559">
        <v>0.8</v>
      </c>
      <c r="G111" s="559">
        <v>0.9</v>
      </c>
      <c r="H111" s="559">
        <v>1.0001</v>
      </c>
      <c r="I111" s="578"/>
      <c r="J111" s="578"/>
      <c r="K111" s="579"/>
      <c r="L111" s="580"/>
      <c r="M111" s="581"/>
      <c r="N111" s="2963"/>
      <c r="O111" s="2963"/>
      <c r="P111" s="2972"/>
      <c r="Q111" s="2949"/>
      <c r="R111" s="2935"/>
      <c r="S111" s="2935"/>
      <c r="T111" s="2935"/>
      <c r="U111" s="2935"/>
      <c r="V111" s="2935"/>
      <c r="W111" s="2935"/>
      <c r="X111" s="2935"/>
      <c r="Y111" s="2935"/>
      <c r="Z111" s="2935"/>
      <c r="AA111" s="2935"/>
      <c r="AB111" s="2935"/>
      <c r="AC111" s="2935"/>
    </row>
    <row r="112" spans="1:29" ht="15.75" thickBot="1">
      <c r="A112" s="490"/>
      <c r="B112" s="499"/>
      <c r="C112" s="538">
        <v>100</v>
      </c>
      <c r="D112" s="500">
        <f>C112+$K37</f>
        <v>100</v>
      </c>
      <c r="E112" s="500">
        <f t="shared" ref="E112:M112" si="26">D112+$K37</f>
        <v>100</v>
      </c>
      <c r="F112" s="500">
        <f t="shared" si="26"/>
        <v>100</v>
      </c>
      <c r="G112" s="500">
        <f t="shared" si="26"/>
        <v>100</v>
      </c>
      <c r="H112" s="500">
        <f t="shared" si="26"/>
        <v>100</v>
      </c>
      <c r="I112" s="500">
        <f t="shared" si="26"/>
        <v>100</v>
      </c>
      <c r="J112" s="500">
        <f t="shared" si="26"/>
        <v>100</v>
      </c>
      <c r="K112" s="500">
        <f t="shared" si="26"/>
        <v>100</v>
      </c>
      <c r="L112" s="500">
        <f t="shared" si="26"/>
        <v>100</v>
      </c>
      <c r="M112" s="500">
        <f t="shared" si="26"/>
        <v>100</v>
      </c>
      <c r="N112" s="2964"/>
      <c r="O112" s="2964"/>
      <c r="P112" s="2972"/>
      <c r="Q112" s="2949"/>
      <c r="R112" s="2935"/>
      <c r="S112" s="2935"/>
      <c r="T112" s="2935"/>
      <c r="U112" s="2935"/>
      <c r="V112" s="2935"/>
      <c r="W112" s="2935"/>
      <c r="X112" s="2935"/>
      <c r="Y112" s="2935"/>
      <c r="Z112" s="2935"/>
      <c r="AA112" s="2935"/>
      <c r="AB112" s="2935"/>
      <c r="AC112" s="2935"/>
    </row>
    <row r="113" spans="1:29" s="429" customFormat="1" ht="15" thickTop="1">
      <c r="A113" s="549"/>
      <c r="B113" s="494" t="s">
        <v>2515</v>
      </c>
      <c r="C113" s="510"/>
      <c r="D113" s="510"/>
      <c r="E113" s="510"/>
      <c r="F113" s="510"/>
      <c r="G113" s="510"/>
      <c r="H113" s="539"/>
      <c r="I113" s="539"/>
      <c r="J113" s="539"/>
      <c r="K113" s="540"/>
      <c r="L113" s="541"/>
      <c r="M113" s="542"/>
      <c r="N113" s="2965"/>
      <c r="O113" s="2965"/>
      <c r="P113" s="2973"/>
      <c r="Q113" s="2956"/>
      <c r="R113" s="2957"/>
      <c r="S113" s="2957"/>
      <c r="T113" s="2957"/>
      <c r="U113" s="2957"/>
      <c r="V113" s="2957"/>
      <c r="W113" s="2957"/>
      <c r="X113" s="2957"/>
      <c r="Y113" s="2957"/>
      <c r="Z113" s="2957"/>
      <c r="AA113" s="2957"/>
      <c r="AB113" s="2957"/>
      <c r="AC113" s="2957"/>
    </row>
    <row r="114" spans="1:29" s="429" customFormat="1" ht="15.75" thickBot="1">
      <c r="A114" s="509"/>
      <c r="B114" s="499"/>
      <c r="C114" s="500">
        <v>100</v>
      </c>
      <c r="D114" s="500">
        <f>C114-$K38</f>
        <v>100</v>
      </c>
      <c r="E114" s="500">
        <f t="shared" ref="E114:M114" si="27">D114-$K38</f>
        <v>100</v>
      </c>
      <c r="F114" s="500">
        <f t="shared" si="27"/>
        <v>100</v>
      </c>
      <c r="G114" s="500">
        <f t="shared" si="27"/>
        <v>100</v>
      </c>
      <c r="H114" s="500">
        <f t="shared" si="27"/>
        <v>100</v>
      </c>
      <c r="I114" s="500">
        <f t="shared" si="27"/>
        <v>100</v>
      </c>
      <c r="J114" s="500">
        <f t="shared" si="27"/>
        <v>100</v>
      </c>
      <c r="K114" s="500">
        <f t="shared" si="27"/>
        <v>100</v>
      </c>
      <c r="L114" s="500">
        <f t="shared" si="27"/>
        <v>100</v>
      </c>
      <c r="M114" s="500">
        <f t="shared" si="27"/>
        <v>100</v>
      </c>
      <c r="N114" s="2965"/>
      <c r="O114" s="2965"/>
      <c r="P114" s="2973"/>
      <c r="Q114" s="2956"/>
      <c r="R114" s="2957"/>
      <c r="S114" s="2957"/>
      <c r="T114" s="2957"/>
      <c r="U114" s="2957"/>
      <c r="V114" s="2957"/>
      <c r="W114" s="2957"/>
      <c r="X114" s="2957"/>
      <c r="Y114" s="2957"/>
      <c r="Z114" s="2957"/>
      <c r="AA114" s="2957"/>
      <c r="AB114" s="2957"/>
      <c r="AC114" s="2957"/>
    </row>
    <row r="115" spans="1:29" ht="15" thickTop="1">
      <c r="A115" s="555"/>
      <c r="B115" s="494" t="s">
        <v>2432</v>
      </c>
      <c r="C115" s="510"/>
      <c r="D115" s="510"/>
      <c r="E115" s="539"/>
      <c r="F115" s="539"/>
      <c r="G115" s="539"/>
      <c r="H115" s="539"/>
      <c r="I115" s="539"/>
      <c r="J115" s="539"/>
      <c r="K115" s="540"/>
      <c r="L115" s="541"/>
      <c r="M115" s="542"/>
      <c r="N115" s="2963"/>
      <c r="O115" s="2963"/>
      <c r="P115" s="2972"/>
      <c r="Q115" s="2949"/>
      <c r="R115" s="2935"/>
      <c r="S115" s="2935"/>
      <c r="T115" s="2935"/>
      <c r="U115" s="2935"/>
      <c r="V115" s="2935"/>
      <c r="W115" s="2935"/>
      <c r="X115" s="2935"/>
      <c r="Y115" s="2935"/>
      <c r="Z115" s="2935"/>
      <c r="AA115" s="2935"/>
      <c r="AB115" s="2935"/>
      <c r="AC115" s="2935"/>
    </row>
    <row r="116" spans="1:29" ht="15.75" thickBot="1">
      <c r="A116" s="490"/>
      <c r="B116" s="499"/>
      <c r="C116" s="500">
        <v>100</v>
      </c>
      <c r="D116" s="500">
        <f t="shared" ref="D116:M116" si="28">C116-$K39</f>
        <v>100</v>
      </c>
      <c r="E116" s="500">
        <f t="shared" si="28"/>
        <v>100</v>
      </c>
      <c r="F116" s="500">
        <f t="shared" si="28"/>
        <v>100</v>
      </c>
      <c r="G116" s="500">
        <f t="shared" si="28"/>
        <v>100</v>
      </c>
      <c r="H116" s="500">
        <f t="shared" si="28"/>
        <v>100</v>
      </c>
      <c r="I116" s="500">
        <f t="shared" si="28"/>
        <v>100</v>
      </c>
      <c r="J116" s="500">
        <f t="shared" si="28"/>
        <v>100</v>
      </c>
      <c r="K116" s="500">
        <f t="shared" si="28"/>
        <v>100</v>
      </c>
      <c r="L116" s="500">
        <f t="shared" si="28"/>
        <v>100</v>
      </c>
      <c r="M116" s="501">
        <f t="shared" si="28"/>
        <v>100</v>
      </c>
      <c r="N116" s="2964"/>
      <c r="O116" s="2964"/>
      <c r="P116" s="2972"/>
      <c r="Q116" s="2949"/>
      <c r="R116" s="2935"/>
      <c r="S116" s="2935"/>
      <c r="T116" s="2935"/>
      <c r="U116" s="2935"/>
      <c r="V116" s="2935"/>
      <c r="W116" s="2935"/>
      <c r="X116" s="2935"/>
      <c r="Y116" s="2935"/>
      <c r="Z116" s="2935"/>
      <c r="AA116" s="2935"/>
      <c r="AB116" s="2935"/>
      <c r="AC116" s="2935"/>
    </row>
    <row r="117" spans="1:29" ht="15" thickTop="1">
      <c r="A117" s="555"/>
      <c r="B117" s="494" t="s">
        <v>2433</v>
      </c>
      <c r="C117" s="510"/>
      <c r="D117" s="510"/>
      <c r="E117" s="510"/>
      <c r="F117" s="510"/>
      <c r="G117" s="510"/>
      <c r="H117" s="539"/>
      <c r="I117" s="539"/>
      <c r="J117" s="539"/>
      <c r="K117" s="540"/>
      <c r="L117" s="541"/>
      <c r="M117" s="542"/>
      <c r="N117" s="2963"/>
      <c r="O117" s="2963"/>
      <c r="P117" s="2972"/>
      <c r="Q117" s="2949"/>
      <c r="R117" s="2935"/>
      <c r="S117" s="2935"/>
      <c r="T117" s="2935"/>
      <c r="U117" s="2935"/>
      <c r="V117" s="2935"/>
      <c r="W117" s="2935"/>
      <c r="X117" s="2935"/>
      <c r="Y117" s="2935"/>
      <c r="Z117" s="2935"/>
      <c r="AA117" s="2935"/>
      <c r="AB117" s="2935"/>
      <c r="AC117" s="2935"/>
    </row>
    <row r="118" spans="1:29" ht="15.75" thickBot="1">
      <c r="A118" s="490"/>
      <c r="B118" s="499"/>
      <c r="C118" s="500">
        <v>100</v>
      </c>
      <c r="D118" s="500">
        <f>C118-$K40</f>
        <v>100</v>
      </c>
      <c r="E118" s="500">
        <f>D118-$K40</f>
        <v>100</v>
      </c>
      <c r="F118" s="500">
        <f>E118-$K40</f>
        <v>100</v>
      </c>
      <c r="G118" s="500">
        <f>F118-$K40</f>
        <v>100</v>
      </c>
      <c r="H118" s="500"/>
      <c r="I118" s="500"/>
      <c r="J118" s="500"/>
      <c r="K118" s="500"/>
      <c r="L118" s="500"/>
      <c r="M118" s="501"/>
      <c r="N118" s="2964"/>
      <c r="O118" s="2964"/>
      <c r="P118" s="2972"/>
      <c r="Q118" s="2949"/>
      <c r="R118" s="2935"/>
      <c r="S118" s="2935"/>
      <c r="T118" s="2935"/>
      <c r="U118" s="2935"/>
      <c r="V118" s="2935"/>
      <c r="W118" s="2935"/>
      <c r="X118" s="2935"/>
      <c r="Y118" s="2935"/>
      <c r="Z118" s="2935"/>
      <c r="AA118" s="2935"/>
      <c r="AB118" s="2935"/>
      <c r="AC118" s="2935"/>
    </row>
    <row r="119" spans="1:29" ht="15" thickTop="1">
      <c r="A119" s="555"/>
      <c r="B119" s="591" t="s">
        <v>2516</v>
      </c>
      <c r="C119" s="539"/>
      <c r="D119" s="539"/>
      <c r="E119" s="539"/>
      <c r="F119" s="539"/>
      <c r="G119" s="539"/>
      <c r="H119" s="539"/>
      <c r="I119" s="539"/>
      <c r="J119" s="539"/>
      <c r="K119" s="539"/>
      <c r="L119" s="2141"/>
      <c r="M119" s="2142"/>
      <c r="N119" s="2964"/>
      <c r="O119" s="2964"/>
      <c r="P119" s="2977"/>
      <c r="Q119" s="2978"/>
      <c r="R119" s="2935"/>
      <c r="S119" s="2935"/>
      <c r="T119" s="2935"/>
      <c r="U119" s="2935"/>
      <c r="V119" s="2935"/>
      <c r="W119" s="2935"/>
      <c r="X119" s="2935"/>
      <c r="Y119" s="2935"/>
      <c r="Z119" s="2935"/>
      <c r="AA119" s="2935"/>
      <c r="AB119" s="2935"/>
      <c r="AC119" s="2935"/>
    </row>
    <row r="120" spans="1:29" ht="15.75" thickBot="1">
      <c r="A120" s="490"/>
      <c r="B120" s="499"/>
      <c r="C120" s="538">
        <v>100</v>
      </c>
      <c r="D120" s="500">
        <f>C120-$K41</f>
        <v>100</v>
      </c>
      <c r="E120" s="500">
        <f t="shared" ref="E120:M120" si="29">D120-$K41</f>
        <v>100</v>
      </c>
      <c r="F120" s="500">
        <f t="shared" si="29"/>
        <v>100</v>
      </c>
      <c r="G120" s="500">
        <f t="shared" si="29"/>
        <v>100</v>
      </c>
      <c r="H120" s="500">
        <f t="shared" si="29"/>
        <v>100</v>
      </c>
      <c r="I120" s="500">
        <f t="shared" si="29"/>
        <v>100</v>
      </c>
      <c r="J120" s="500">
        <f t="shared" si="29"/>
        <v>100</v>
      </c>
      <c r="K120" s="500">
        <f t="shared" si="29"/>
        <v>100</v>
      </c>
      <c r="L120" s="500">
        <f t="shared" si="29"/>
        <v>100</v>
      </c>
      <c r="M120" s="500">
        <f t="shared" si="29"/>
        <v>100</v>
      </c>
      <c r="N120" s="2964"/>
      <c r="O120" s="2964"/>
      <c r="P120" s="2972"/>
      <c r="Q120" s="2949"/>
      <c r="R120" s="2935"/>
      <c r="S120" s="2935"/>
      <c r="T120" s="2935"/>
      <c r="U120" s="2935"/>
      <c r="V120" s="2935"/>
      <c r="W120" s="2935"/>
      <c r="X120" s="2935"/>
      <c r="Y120" s="2935"/>
      <c r="Z120" s="2935"/>
      <c r="AA120" s="2935"/>
      <c r="AB120" s="2935"/>
      <c r="AC120" s="2935"/>
    </row>
    <row r="121" spans="1:29" s="429" customFormat="1" ht="15" thickTop="1">
      <c r="A121" s="549"/>
      <c r="B121" s="494" t="s">
        <v>2499</v>
      </c>
      <c r="C121" s="510"/>
      <c r="D121" s="510"/>
      <c r="E121" s="510"/>
      <c r="F121" s="539"/>
      <c r="G121" s="511"/>
      <c r="H121" s="511"/>
      <c r="I121" s="511"/>
      <c r="J121" s="511"/>
      <c r="K121" s="511"/>
      <c r="L121" s="512"/>
      <c r="M121" s="513"/>
      <c r="N121" s="2965"/>
      <c r="O121" s="2965"/>
      <c r="P121" s="2973"/>
      <c r="Q121" s="2956"/>
      <c r="R121" s="2957"/>
      <c r="S121" s="2957"/>
      <c r="T121" s="2957"/>
      <c r="U121" s="2957"/>
      <c r="V121" s="2957"/>
      <c r="W121" s="2957"/>
      <c r="X121" s="2957"/>
      <c r="Y121" s="2957"/>
      <c r="Z121" s="2957"/>
      <c r="AA121" s="2957"/>
      <c r="AB121" s="2957"/>
      <c r="AC121" s="2957"/>
    </row>
    <row r="122" spans="1:29" s="429" customFormat="1" ht="15.75" thickBot="1">
      <c r="A122" s="509"/>
      <c r="B122" s="491"/>
      <c r="C122" s="516"/>
      <c r="D122" s="516"/>
      <c r="E122" s="516"/>
      <c r="F122" s="516"/>
      <c r="G122" s="516"/>
      <c r="H122" s="516"/>
      <c r="I122" s="516"/>
      <c r="J122" s="516"/>
      <c r="K122" s="516"/>
      <c r="L122" s="516"/>
      <c r="M122" s="516"/>
      <c r="N122" s="2965"/>
      <c r="O122" s="2965"/>
      <c r="P122" s="2973"/>
      <c r="Q122" s="2956"/>
      <c r="R122" s="2957"/>
      <c r="S122" s="2957"/>
      <c r="T122" s="2957"/>
      <c r="U122" s="2957"/>
      <c r="V122" s="2957"/>
      <c r="W122" s="2957"/>
      <c r="X122" s="2957"/>
      <c r="Y122" s="2957"/>
      <c r="Z122" s="2957"/>
      <c r="AA122" s="2957"/>
      <c r="AB122" s="2957"/>
      <c r="AC122" s="2957"/>
    </row>
    <row r="123" spans="1:29" ht="15" thickTop="1">
      <c r="A123" s="555"/>
      <c r="B123" s="494" t="s">
        <v>2435</v>
      </c>
      <c r="C123" s="510"/>
      <c r="D123" s="510"/>
      <c r="E123" s="510"/>
      <c r="F123" s="539"/>
      <c r="G123" s="539"/>
      <c r="H123" s="539"/>
      <c r="I123" s="539"/>
      <c r="J123" s="539"/>
      <c r="K123" s="540"/>
      <c r="L123" s="541"/>
      <c r="M123" s="542"/>
      <c r="N123" s="2963"/>
      <c r="O123" s="2963"/>
      <c r="P123" s="2972"/>
      <c r="Q123" s="2949"/>
      <c r="R123" s="2935"/>
      <c r="S123" s="2935"/>
      <c r="T123" s="2935"/>
      <c r="U123" s="2935"/>
      <c r="V123" s="2935"/>
      <c r="W123" s="2935"/>
      <c r="X123" s="2935"/>
      <c r="Y123" s="2935"/>
      <c r="Z123" s="2935"/>
      <c r="AA123" s="2935"/>
      <c r="AB123" s="2935"/>
      <c r="AC123" s="2935"/>
    </row>
    <row r="124" spans="1:29" ht="15.75" thickBot="1">
      <c r="A124" s="490"/>
      <c r="B124" s="499"/>
      <c r="C124" s="500">
        <v>100</v>
      </c>
      <c r="D124" s="500">
        <f t="shared" ref="D124:M124" si="30">C124-$K43</f>
        <v>100</v>
      </c>
      <c r="E124" s="500">
        <f t="shared" si="30"/>
        <v>100</v>
      </c>
      <c r="F124" s="500">
        <f t="shared" si="30"/>
        <v>100</v>
      </c>
      <c r="G124" s="500">
        <f t="shared" si="30"/>
        <v>100</v>
      </c>
      <c r="H124" s="500">
        <f t="shared" si="30"/>
        <v>100</v>
      </c>
      <c r="I124" s="500">
        <f t="shared" si="30"/>
        <v>100</v>
      </c>
      <c r="J124" s="500">
        <f t="shared" si="30"/>
        <v>100</v>
      </c>
      <c r="K124" s="500">
        <f t="shared" si="30"/>
        <v>100</v>
      </c>
      <c r="L124" s="500">
        <f t="shared" si="30"/>
        <v>100</v>
      </c>
      <c r="M124" s="501">
        <f t="shared" si="30"/>
        <v>100</v>
      </c>
      <c r="N124" s="2964"/>
      <c r="O124" s="2964"/>
      <c r="P124" s="2972"/>
      <c r="Q124" s="2949"/>
      <c r="R124" s="2935"/>
      <c r="S124" s="2935"/>
      <c r="T124" s="2935"/>
      <c r="U124" s="2935"/>
      <c r="V124" s="2935"/>
      <c r="W124" s="2935"/>
      <c r="X124" s="2935"/>
      <c r="Y124" s="2935"/>
      <c r="Z124" s="2935"/>
      <c r="AA124" s="2935"/>
      <c r="AB124" s="2935"/>
      <c r="AC124" s="2935"/>
    </row>
    <row r="125" spans="1:29" ht="15" thickTop="1">
      <c r="A125" s="555"/>
      <c r="B125" s="494" t="s">
        <v>2436</v>
      </c>
      <c r="C125" s="534" t="s">
        <v>2412</v>
      </c>
      <c r="D125" s="534" t="s">
        <v>2413</v>
      </c>
      <c r="E125" s="534" t="s">
        <v>2414</v>
      </c>
      <c r="F125" s="534" t="s">
        <v>2415</v>
      </c>
      <c r="G125" s="534" t="s">
        <v>2416</v>
      </c>
      <c r="H125" s="495"/>
      <c r="I125" s="495"/>
      <c r="J125" s="495"/>
      <c r="K125" s="496"/>
      <c r="L125" s="497"/>
      <c r="M125" s="498"/>
      <c r="N125" s="2963"/>
      <c r="O125" s="2963"/>
      <c r="P125" s="2973"/>
      <c r="Q125" s="2949"/>
      <c r="R125" s="2935"/>
      <c r="S125" s="2935"/>
      <c r="T125" s="2935"/>
      <c r="U125" s="2935"/>
      <c r="V125" s="2935"/>
      <c r="W125" s="2935"/>
      <c r="X125" s="2935"/>
      <c r="Y125" s="2935"/>
      <c r="Z125" s="2935"/>
      <c r="AA125" s="2935"/>
      <c r="AB125" s="2935"/>
      <c r="AC125" s="2935"/>
    </row>
    <row r="126" spans="1:29" ht="15.75" thickBot="1">
      <c r="A126" s="490"/>
      <c r="B126" s="499"/>
      <c r="C126" s="500">
        <v>100</v>
      </c>
      <c r="D126" s="500">
        <f>C126-$K44</f>
        <v>100</v>
      </c>
      <c r="E126" s="500">
        <f>D126-$K44</f>
        <v>100</v>
      </c>
      <c r="F126" s="500">
        <f>E126-$K44</f>
        <v>100</v>
      </c>
      <c r="G126" s="500">
        <f>F126-$K44</f>
        <v>100</v>
      </c>
      <c r="H126" s="500"/>
      <c r="I126" s="500"/>
      <c r="J126" s="500"/>
      <c r="K126" s="500"/>
      <c r="L126" s="500"/>
      <c r="M126" s="501"/>
      <c r="N126" s="2964"/>
      <c r="O126" s="2964"/>
      <c r="P126" s="2972"/>
      <c r="Q126" s="2949"/>
      <c r="R126" s="2935"/>
      <c r="S126" s="2935"/>
      <c r="T126" s="2935"/>
      <c r="U126" s="2935"/>
      <c r="V126" s="2935"/>
      <c r="W126" s="2935"/>
      <c r="X126" s="2935"/>
      <c r="Y126" s="2935"/>
      <c r="Z126" s="2935"/>
      <c r="AA126" s="2935"/>
      <c r="AB126" s="2935"/>
      <c r="AC126" s="2935"/>
    </row>
    <row r="127" spans="1:29" s="429" customFormat="1" ht="15" thickTop="1">
      <c r="A127" s="549"/>
      <c r="B127" s="494">
        <f>B45</f>
        <v>111</v>
      </c>
      <c r="C127" s="510"/>
      <c r="D127" s="510"/>
      <c r="E127" s="510"/>
      <c r="F127" s="510"/>
      <c r="G127" s="510"/>
      <c r="H127" s="511"/>
      <c r="I127" s="511"/>
      <c r="J127" s="511"/>
      <c r="K127" s="511"/>
      <c r="L127" s="512"/>
      <c r="M127" s="513"/>
      <c r="N127" s="2965"/>
      <c r="O127" s="2965"/>
      <c r="P127" s="2973"/>
      <c r="Q127" s="2956"/>
      <c r="R127" s="2957"/>
      <c r="S127" s="2957"/>
      <c r="T127" s="2957"/>
      <c r="U127" s="2957"/>
      <c r="V127" s="2957"/>
      <c r="W127" s="2957"/>
      <c r="X127" s="2957"/>
      <c r="Y127" s="2957"/>
      <c r="Z127" s="2957"/>
      <c r="AA127" s="2957"/>
      <c r="AB127" s="2957"/>
      <c r="AC127" s="2957"/>
    </row>
    <row r="128" spans="1:29" s="429" customFormat="1" ht="15.75" thickBot="1">
      <c r="A128" s="509"/>
      <c r="B128" s="499"/>
      <c r="C128" s="516"/>
      <c r="D128" s="492"/>
      <c r="E128" s="492"/>
      <c r="F128" s="492"/>
      <c r="G128" s="516"/>
      <c r="H128" s="518"/>
      <c r="I128" s="518"/>
      <c r="J128" s="518"/>
      <c r="K128" s="518"/>
      <c r="L128" s="518"/>
      <c r="M128" s="519"/>
      <c r="N128" s="2965"/>
      <c r="O128" s="2965"/>
      <c r="P128" s="2973"/>
      <c r="Q128" s="2956"/>
      <c r="R128" s="2957"/>
      <c r="S128" s="2957"/>
      <c r="T128" s="2957"/>
      <c r="U128" s="2957"/>
      <c r="V128" s="2957"/>
      <c r="W128" s="2957"/>
      <c r="X128" s="2957"/>
      <c r="Y128" s="2957"/>
      <c r="Z128" s="2957"/>
      <c r="AA128" s="2957"/>
      <c r="AB128" s="2957"/>
      <c r="AC128" s="2957"/>
    </row>
    <row r="129" spans="1:29" ht="15" thickTop="1">
      <c r="A129" s="555"/>
      <c r="B129" s="494">
        <f>B46</f>
        <v>111</v>
      </c>
      <c r="C129" s="510"/>
      <c r="D129" s="510"/>
      <c r="E129" s="510"/>
      <c r="F129" s="510"/>
      <c r="G129" s="539"/>
      <c r="H129" s="539"/>
      <c r="I129" s="539"/>
      <c r="J129" s="539"/>
      <c r="K129" s="540"/>
      <c r="L129" s="541"/>
      <c r="M129" s="542"/>
      <c r="N129" s="2963"/>
      <c r="O129" s="2963"/>
      <c r="P129" s="2972"/>
      <c r="Q129" s="2949"/>
      <c r="R129" s="2935"/>
      <c r="S129" s="2935"/>
      <c r="T129" s="2935"/>
      <c r="U129" s="2935"/>
      <c r="V129" s="2935"/>
      <c r="W129" s="2935"/>
      <c r="X129" s="2935"/>
      <c r="Y129" s="2935"/>
      <c r="Z129" s="2935"/>
      <c r="AA129" s="2935"/>
      <c r="AB129" s="2935"/>
      <c r="AC129" s="2935"/>
    </row>
    <row r="130" spans="1:29" ht="15.75" thickBot="1">
      <c r="A130" s="490"/>
      <c r="B130" s="499"/>
      <c r="C130" s="516"/>
      <c r="D130" s="516"/>
      <c r="E130" s="516"/>
      <c r="F130" s="516"/>
      <c r="G130" s="492"/>
      <c r="H130" s="492"/>
      <c r="I130" s="492"/>
      <c r="J130" s="492"/>
      <c r="K130" s="492"/>
      <c r="L130" s="492"/>
      <c r="M130" s="493"/>
      <c r="N130" s="2964"/>
      <c r="O130" s="2964"/>
      <c r="P130" s="2972"/>
      <c r="Q130" s="2949"/>
      <c r="R130" s="2935"/>
      <c r="S130" s="2935"/>
      <c r="T130" s="2935"/>
      <c r="U130" s="2935"/>
      <c r="V130" s="2935"/>
      <c r="W130" s="2935"/>
      <c r="X130" s="2935"/>
      <c r="Y130" s="2935"/>
      <c r="Z130" s="2935"/>
      <c r="AA130" s="2935"/>
      <c r="AB130" s="2935"/>
      <c r="AC130" s="2935"/>
    </row>
    <row r="131" spans="1:29" ht="15" thickTop="1">
      <c r="A131" s="555"/>
      <c r="B131" s="502">
        <f>B47</f>
        <v>111</v>
      </c>
      <c r="C131" s="479"/>
      <c r="D131" s="479"/>
      <c r="E131" s="479"/>
      <c r="F131" s="479"/>
      <c r="G131" s="543"/>
      <c r="H131" s="543"/>
      <c r="I131" s="543"/>
      <c r="J131" s="543"/>
      <c r="K131" s="479"/>
      <c r="L131" s="480"/>
      <c r="M131" s="546"/>
      <c r="N131" s="2963"/>
      <c r="O131" s="2963"/>
      <c r="P131" s="2972"/>
      <c r="Q131" s="2949"/>
      <c r="R131" s="2935"/>
      <c r="S131" s="2935"/>
      <c r="T131" s="2935"/>
      <c r="U131" s="2935"/>
      <c r="V131" s="2935"/>
      <c r="W131" s="2935"/>
      <c r="X131" s="2935"/>
      <c r="Y131" s="2935"/>
      <c r="Z131" s="2935"/>
      <c r="AA131" s="2935"/>
      <c r="AB131" s="2935"/>
      <c r="AC131" s="2935"/>
    </row>
    <row r="132" spans="1:29" ht="15.75" thickBot="1">
      <c r="A132" s="2101"/>
      <c r="B132" s="525"/>
      <c r="C132" s="526"/>
      <c r="D132" s="526"/>
      <c r="E132" s="526"/>
      <c r="F132" s="526"/>
      <c r="G132" s="547"/>
      <c r="H132" s="547"/>
      <c r="I132" s="547"/>
      <c r="J132" s="547"/>
      <c r="K132" s="547"/>
      <c r="L132" s="547"/>
      <c r="M132" s="548"/>
      <c r="N132" s="2964"/>
      <c r="O132" s="2964"/>
      <c r="P132" s="2972"/>
      <c r="Q132" s="2949"/>
      <c r="R132" s="2935"/>
      <c r="S132" s="2935"/>
      <c r="T132" s="2935"/>
      <c r="U132" s="2935"/>
      <c r="V132" s="2935"/>
      <c r="W132" s="2935"/>
      <c r="X132" s="2935"/>
      <c r="Y132" s="2935"/>
      <c r="Z132" s="2935"/>
      <c r="AA132" s="2935"/>
      <c r="AB132" s="2935"/>
      <c r="AC132" s="2935"/>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2"/>
    <mergeCell ref="Y15:Y32"/>
    <mergeCell ref="P33:P47"/>
    <mergeCell ref="Y33:Y47"/>
    <mergeCell ref="P48:Q48"/>
    <mergeCell ref="R48:S48"/>
    <mergeCell ref="T48:U48"/>
    <mergeCell ref="V48:W48"/>
    <mergeCell ref="P49:Q49"/>
    <mergeCell ref="R49:S49"/>
    <mergeCell ref="T49:U49"/>
    <mergeCell ref="V49:W49"/>
    <mergeCell ref="P50:Q50"/>
    <mergeCell ref="R50:W50"/>
  </mergeCells>
  <phoneticPr fontId="32" type="noConversion"/>
  <conditionalFormatting sqref="F53 H53">
    <cfRule type="containsText" dxfId="94" priority="20" stopIfTrue="1" operator="containsText" text="超过">
      <formula>NOT(ISERROR(SEARCH("超过",F53)))</formula>
    </cfRule>
  </conditionalFormatting>
  <conditionalFormatting sqref="H55">
    <cfRule type="containsText" dxfId="93" priority="19" stopIfTrue="1" operator="containsText" text="超过">
      <formula>NOT(ISERROR(SEARCH("超过",H55)))</formula>
    </cfRule>
  </conditionalFormatting>
  <conditionalFormatting sqref="F55">
    <cfRule type="containsText" dxfId="92" priority="18" stopIfTrue="1" operator="containsText" text="超过">
      <formula>NOT(ISERROR(SEARCH("超过",F55)))</formula>
    </cfRule>
  </conditionalFormatting>
  <conditionalFormatting sqref="F54 H54">
    <cfRule type="containsText" dxfId="91" priority="17" stopIfTrue="1" operator="containsText" text="超过">
      <formula>NOT(ISERROR(SEARCH("超过",F54)))</formula>
    </cfRule>
  </conditionalFormatting>
  <conditionalFormatting sqref="E53">
    <cfRule type="expression" dxfId="90" priority="16" stopIfTrue="1">
      <formula>$F$53="超过30%"</formula>
    </cfRule>
  </conditionalFormatting>
  <conditionalFormatting sqref="E54">
    <cfRule type="expression" dxfId="89" priority="15" stopIfTrue="1">
      <formula>$F$54="超过20%"</formula>
    </cfRule>
  </conditionalFormatting>
  <conditionalFormatting sqref="E55">
    <cfRule type="expression" dxfId="88" priority="14" stopIfTrue="1">
      <formula>$F$55="超过30%"</formula>
    </cfRule>
  </conditionalFormatting>
  <conditionalFormatting sqref="G55">
    <cfRule type="expression" dxfId="87" priority="13" stopIfTrue="1">
      <formula>$H$55="超过30%"</formula>
    </cfRule>
  </conditionalFormatting>
  <conditionalFormatting sqref="G53">
    <cfRule type="expression" dxfId="86" priority="12" stopIfTrue="1">
      <formula>$H$53="超过30%"</formula>
    </cfRule>
  </conditionalFormatting>
  <conditionalFormatting sqref="G54">
    <cfRule type="expression" dxfId="85" priority="11" stopIfTrue="1">
      <formula>$H$54="超过20%"</formula>
    </cfRule>
  </conditionalFormatting>
  <conditionalFormatting sqref="J53">
    <cfRule type="containsText" dxfId="84" priority="10" stopIfTrue="1" operator="containsText" text="超过">
      <formula>NOT(ISERROR(SEARCH("超过",J53)))</formula>
    </cfRule>
  </conditionalFormatting>
  <conditionalFormatting sqref="J55">
    <cfRule type="containsText" dxfId="83" priority="9" stopIfTrue="1" operator="containsText" text="超过">
      <formula>NOT(ISERROR(SEARCH("超过",J55)))</formula>
    </cfRule>
  </conditionalFormatting>
  <conditionalFormatting sqref="J54">
    <cfRule type="containsText" dxfId="82" priority="8" stopIfTrue="1" operator="containsText" text="超过">
      <formula>NOT(ISERROR(SEARCH("超过",J54)))</formula>
    </cfRule>
  </conditionalFormatting>
  <conditionalFormatting sqref="I53">
    <cfRule type="expression" dxfId="81" priority="7" stopIfTrue="1">
      <formula>$J$53="超过30%"</formula>
    </cfRule>
  </conditionalFormatting>
  <conditionalFormatting sqref="I54">
    <cfRule type="expression" dxfId="80" priority="6" stopIfTrue="1">
      <formula>$J$53+$J$54="超过20%"</formula>
    </cfRule>
  </conditionalFormatting>
  <conditionalFormatting sqref="I55">
    <cfRule type="expression" dxfId="79" priority="5" stopIfTrue="1">
      <formula>$J$55="超过30%"</formula>
    </cfRule>
  </conditionalFormatting>
  <conditionalFormatting sqref="F49">
    <cfRule type="expression" dxfId="78" priority="4">
      <formula>$D$49="简单平均"</formula>
    </cfRule>
  </conditionalFormatting>
  <conditionalFormatting sqref="H49">
    <cfRule type="expression" dxfId="77" priority="3">
      <formula>$D$49="简单平均"</formula>
    </cfRule>
  </conditionalFormatting>
  <conditionalFormatting sqref="J49">
    <cfRule type="expression" dxfId="76" priority="2">
      <formula>$D$49="简单平均"</formula>
    </cfRule>
  </conditionalFormatting>
  <conditionalFormatting sqref="F7:F47 H7:H47 J7:J47">
    <cfRule type="cellIs" dxfId="75"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I20 G20 C20">
      <formula1>公共配套设施</formula1>
    </dataValidation>
    <dataValidation type="list" allowBlank="1" showInputMessage="1" showErrorMessage="1" sqref="C44 E44 G44 I44">
      <formula1>内部装修维护情况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9">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topLeftCell="A4" zoomScale="60" zoomScaleNormal="60" workbookViewId="0">
      <selection activeCell="F7" sqref="F7:F47"/>
    </sheetView>
  </sheetViews>
  <sheetFormatPr defaultColWidth="9" defaultRowHeight="14.25"/>
  <cols>
    <col min="1" max="1" width="10.5" style="362" customWidth="1"/>
    <col min="2" max="2" width="15.75" style="362" customWidth="1"/>
    <col min="3" max="3" width="14.375" style="362" customWidth="1"/>
    <col min="4" max="4" width="12.25" style="362" customWidth="1"/>
    <col min="5" max="5" width="14.375" style="362" customWidth="1"/>
    <col min="6" max="6" width="12.25" style="362" customWidth="1"/>
    <col min="7" max="7" width="14.5" style="362" customWidth="1"/>
    <col min="8" max="8" width="12.25" style="362" customWidth="1"/>
    <col min="9" max="9" width="14.5" style="362" customWidth="1"/>
    <col min="10" max="10" width="12.25" style="362" customWidth="1"/>
    <col min="11" max="11" width="12.25" style="451" customWidth="1"/>
    <col min="12" max="12" width="12.25" style="452" customWidth="1"/>
    <col min="13" max="15" width="12.25" style="362" customWidth="1"/>
    <col min="16" max="16" width="4.75" style="362" customWidth="1"/>
    <col min="17" max="17" width="19.5" style="362" customWidth="1"/>
    <col min="18" max="22" width="6.125" style="362" customWidth="1"/>
    <col min="23" max="23" width="5.75" style="362" customWidth="1"/>
    <col min="24" max="24" width="4.25" style="362" customWidth="1"/>
    <col min="25" max="25" width="3.5" style="362" customWidth="1"/>
    <col min="26" max="26" width="19.75" style="362" customWidth="1"/>
    <col min="27" max="28" width="9.375" style="362" customWidth="1"/>
    <col min="29" max="16384" width="9" style="362"/>
  </cols>
  <sheetData>
    <row r="1" spans="1:29" s="1389" customFormat="1" ht="28.5" customHeight="1" thickBot="1">
      <c r="A1" s="1378" t="s">
        <v>2343</v>
      </c>
      <c r="B1" s="2130" t="s">
        <v>2517</v>
      </c>
      <c r="C1" s="1380" t="s">
        <v>2345</v>
      </c>
      <c r="D1" s="1381"/>
      <c r="E1" s="1390"/>
      <c r="F1" s="2052"/>
      <c r="G1" s="1391" t="s">
        <v>2458</v>
      </c>
      <c r="H1" s="1390"/>
      <c r="I1" s="1390"/>
      <c r="J1" s="1390"/>
      <c r="K1" s="1392"/>
      <c r="L1" s="1393"/>
      <c r="M1" s="1394"/>
      <c r="N1" s="1394"/>
      <c r="O1" s="1394"/>
      <c r="P1" s="1380"/>
      <c r="Q1" s="1380"/>
      <c r="R1" s="1380"/>
      <c r="S1" s="1380"/>
      <c r="T1" s="1380"/>
      <c r="U1" s="1380"/>
      <c r="V1" s="1380"/>
      <c r="W1" s="1380"/>
      <c r="X1" s="1380"/>
      <c r="Y1" s="1380"/>
      <c r="Z1" s="1380"/>
      <c r="AA1" s="1380"/>
      <c r="AB1" s="1380"/>
      <c r="AC1" s="1388"/>
    </row>
    <row r="2" spans="1:29" s="357" customFormat="1" ht="28.5" customHeight="1" thickTop="1">
      <c r="A2" s="1377" t="s">
        <v>2147</v>
      </c>
      <c r="B2" s="1315" t="e">
        <f ca="1">IF(C2="——",ROUND(C43*D3/10000,0),ROUND(C43*D3/10000,0)-D2)</f>
        <v>#DIV/0!</v>
      </c>
      <c r="C2" s="2054"/>
      <c r="D2" s="1030" t="e">
        <f ca="1">SUMIF(INDIRECT("'"&amp;F2&amp;"'"&amp;"!A:A"),"承租人权益价值",INDIRECT("'"&amp;F2&amp;"'"&amp;"!c:c"))</f>
        <v>#REF!</v>
      </c>
      <c r="E2" s="2055" t="s">
        <v>2148</v>
      </c>
      <c r="F2" s="2056"/>
      <c r="G2" s="1031"/>
      <c r="H2" s="1031"/>
      <c r="I2" s="1031"/>
      <c r="J2" s="1031"/>
      <c r="K2" s="1031"/>
      <c r="L2" s="1034"/>
      <c r="M2" s="1035"/>
      <c r="N2" s="1035"/>
      <c r="O2" s="1035"/>
      <c r="P2" s="706"/>
      <c r="Q2" s="706"/>
      <c r="R2" s="706"/>
      <c r="S2" s="706"/>
      <c r="T2" s="706"/>
      <c r="U2" s="706"/>
      <c r="V2" s="706"/>
      <c r="W2" s="706"/>
      <c r="X2" s="706"/>
      <c r="Y2" s="706"/>
      <c r="Z2" s="706"/>
      <c r="AA2" s="706"/>
      <c r="AB2" s="706"/>
      <c r="AC2" s="720"/>
    </row>
    <row r="3" spans="1:29" s="357" customFormat="1" ht="28.5" customHeight="1" thickBot="1">
      <c r="A3" s="209" t="s">
        <v>2149</v>
      </c>
      <c r="B3" s="565" t="e">
        <f ca="1">IF(C2="——",C43,ROUND(B2*10000/D3,0))</f>
        <v>#DIV/0!</v>
      </c>
      <c r="C3" s="359" t="s">
        <v>2459</v>
      </c>
      <c r="D3" s="358">
        <f>IF(D1="",'数据-汇总表'!E3,SUMIF('数据-汇总表'!$C19:$C33,D1,'数据-汇总表'!$E19:$E33))</f>
        <v>29932.760000000009</v>
      </c>
      <c r="E3" s="1031"/>
      <c r="F3" s="1032"/>
      <c r="G3" s="1031"/>
      <c r="H3" s="1031"/>
      <c r="I3" s="1031"/>
      <c r="J3" s="1031"/>
      <c r="K3" s="1033"/>
      <c r="L3" s="1034"/>
      <c r="M3" s="1035"/>
      <c r="N3" s="1035"/>
      <c r="O3" s="1035"/>
      <c r="P3" s="706"/>
      <c r="Q3" s="706"/>
      <c r="R3" s="706"/>
      <c r="S3" s="706"/>
      <c r="T3" s="706"/>
      <c r="U3" s="706"/>
      <c r="V3" s="706"/>
      <c r="W3" s="706"/>
      <c r="X3" s="706"/>
      <c r="Y3" s="706"/>
      <c r="Z3" s="706"/>
      <c r="AA3" s="706"/>
      <c r="AB3" s="723"/>
      <c r="AC3" s="720"/>
    </row>
    <row r="4" spans="1:29" ht="15">
      <c r="A4" s="360" t="s">
        <v>2460</v>
      </c>
      <c r="B4" s="361"/>
      <c r="C4" s="3357" t="s">
        <v>2461</v>
      </c>
      <c r="D4" s="3370"/>
      <c r="E4" s="3371" t="s">
        <v>2462</v>
      </c>
      <c r="F4" s="3372"/>
      <c r="G4" s="3357" t="s">
        <v>2463</v>
      </c>
      <c r="H4" s="3370"/>
      <c r="I4" s="3357" t="s">
        <v>2464</v>
      </c>
      <c r="J4" s="3370"/>
      <c r="K4" s="566" t="s">
        <v>2465</v>
      </c>
      <c r="L4" s="1036"/>
      <c r="M4" s="1037"/>
      <c r="N4" s="1037"/>
      <c r="O4" s="1037"/>
      <c r="P4" s="3373" t="s">
        <v>2466</v>
      </c>
      <c r="Q4" s="3374"/>
      <c r="R4" s="3379" t="s">
        <v>2462</v>
      </c>
      <c r="S4" s="3380"/>
      <c r="T4" s="3379" t="s">
        <v>2463</v>
      </c>
      <c r="U4" s="3380"/>
      <c r="V4" s="3366" t="s">
        <v>2464</v>
      </c>
      <c r="W4" s="3366"/>
      <c r="X4" s="1529"/>
      <c r="Y4" s="3379" t="s">
        <v>2466</v>
      </c>
      <c r="Z4" s="3380"/>
      <c r="AA4" s="3367" t="s">
        <v>2462</v>
      </c>
      <c r="AB4" s="3368" t="s">
        <v>2463</v>
      </c>
      <c r="AC4" s="3367" t="s">
        <v>2464</v>
      </c>
    </row>
    <row r="5" spans="1:29" ht="15">
      <c r="A5" s="363"/>
      <c r="B5" s="364"/>
      <c r="C5" s="3387" t="s">
        <v>2357</v>
      </c>
      <c r="D5" s="3388"/>
      <c r="E5" s="3394" t="s">
        <v>2358</v>
      </c>
      <c r="F5" s="3395"/>
      <c r="G5" s="3387" t="s">
        <v>2359</v>
      </c>
      <c r="H5" s="3388"/>
      <c r="I5" s="3387" t="s">
        <v>2360</v>
      </c>
      <c r="J5" s="3388"/>
      <c r="K5" s="566"/>
      <c r="L5" s="1036"/>
      <c r="M5" s="1037"/>
      <c r="N5" s="1037"/>
      <c r="O5" s="1037"/>
      <c r="P5" s="3375"/>
      <c r="Q5" s="3376"/>
      <c r="R5" s="3381"/>
      <c r="S5" s="3382"/>
      <c r="T5" s="3381"/>
      <c r="U5" s="3382"/>
      <c r="V5" s="3366"/>
      <c r="W5" s="3366"/>
      <c r="X5" s="1529"/>
      <c r="Y5" s="3381"/>
      <c r="Z5" s="3382"/>
      <c r="AA5" s="3368"/>
      <c r="AB5" s="3368"/>
      <c r="AC5" s="3368"/>
    </row>
    <row r="6" spans="1:29" ht="15.75" thickBot="1">
      <c r="A6" s="365"/>
      <c r="B6" s="366"/>
      <c r="C6" s="3385" t="s">
        <v>2361</v>
      </c>
      <c r="D6" s="3386"/>
      <c r="E6" s="3392" t="s">
        <v>2361</v>
      </c>
      <c r="F6" s="3393"/>
      <c r="G6" s="3385" t="s">
        <v>2361</v>
      </c>
      <c r="H6" s="3386"/>
      <c r="I6" s="3385" t="s">
        <v>2361</v>
      </c>
      <c r="J6" s="3386"/>
      <c r="K6" s="566" t="s">
        <v>2362</v>
      </c>
      <c r="L6" s="1036"/>
      <c r="M6" s="1037"/>
      <c r="N6" s="1037"/>
      <c r="O6" s="1037"/>
      <c r="P6" s="3377"/>
      <c r="Q6" s="3378"/>
      <c r="R6" s="3381"/>
      <c r="S6" s="3382"/>
      <c r="T6" s="3383"/>
      <c r="U6" s="3384"/>
      <c r="V6" s="3366"/>
      <c r="W6" s="3366"/>
      <c r="X6" s="1529"/>
      <c r="Y6" s="3383"/>
      <c r="Z6" s="3384"/>
      <c r="AA6" s="3369"/>
      <c r="AB6" s="3369"/>
      <c r="AC6" s="3369"/>
    </row>
    <row r="7" spans="1:29" s="113" customFormat="1" ht="15.75" thickBot="1">
      <c r="A7" s="367" t="s">
        <v>2363</v>
      </c>
      <c r="B7" s="368"/>
      <c r="C7" s="369">
        <f>'数据-取费表'!B2</f>
        <v>44280</v>
      </c>
      <c r="D7" s="370">
        <v>100</v>
      </c>
      <c r="E7" s="371"/>
      <c r="F7" s="372">
        <f>SUMIF(52:52,YEAR(E7)&amp;"-"&amp;MONTH(E7),53:53)</f>
        <v>0</v>
      </c>
      <c r="G7" s="371"/>
      <c r="H7" s="370">
        <f>SUMIF(52:52,YEAR(G7)&amp;"-"&amp;MONTH(G7),53:53)</f>
        <v>0</v>
      </c>
      <c r="I7" s="371"/>
      <c r="J7" s="370">
        <f>SUMIF(52:52,YEAR(I7)&amp;"-"&amp;MONTH(I7),53:53)</f>
        <v>0</v>
      </c>
      <c r="K7" s="567"/>
      <c r="L7" s="1038"/>
      <c r="M7" s="1039"/>
      <c r="N7" s="1039"/>
      <c r="O7" s="1039"/>
      <c r="P7" s="3389" t="s">
        <v>2364</v>
      </c>
      <c r="Q7" s="3391"/>
      <c r="R7" s="708" t="s">
        <v>17</v>
      </c>
      <c r="S7" s="709">
        <f t="shared" ref="S7:S15" si="0">F7</f>
        <v>0</v>
      </c>
      <c r="T7" s="708" t="s">
        <v>17</v>
      </c>
      <c r="U7" s="709">
        <f t="shared" ref="U7:U15" si="1">H7</f>
        <v>0</v>
      </c>
      <c r="V7" s="708" t="s">
        <v>17</v>
      </c>
      <c r="W7" s="709">
        <f t="shared" ref="W7:W15" si="2">J7</f>
        <v>0</v>
      </c>
      <c r="X7" s="710"/>
      <c r="Y7" s="3389" t="s">
        <v>2364</v>
      </c>
      <c r="Z7" s="3390"/>
      <c r="AA7" s="711" t="e">
        <f>D7/F7</f>
        <v>#DIV/0!</v>
      </c>
      <c r="AB7" s="711" t="e">
        <f>D7/H7</f>
        <v>#DIV/0!</v>
      </c>
      <c r="AC7" s="711" t="e">
        <f>D7/J7</f>
        <v>#DIV/0!</v>
      </c>
    </row>
    <row r="8" spans="1:29" s="113" customFormat="1" ht="15.75" thickBot="1">
      <c r="A8" s="367" t="s">
        <v>2365</v>
      </c>
      <c r="B8" s="368"/>
      <c r="C8" s="373" t="s">
        <v>2366</v>
      </c>
      <c r="D8" s="370">
        <v>100</v>
      </c>
      <c r="E8" s="373"/>
      <c r="F8" s="372">
        <f>SUMIF(55:55,E8,56:56)-SUMIF(55:55,C8,56:56)+100</f>
        <v>0</v>
      </c>
      <c r="G8" s="373"/>
      <c r="H8" s="370">
        <f>SUMIF(55:55,G8,56:56)-SUMIF(55:55,C8,56:56)+100</f>
        <v>0</v>
      </c>
      <c r="I8" s="373"/>
      <c r="J8" s="370">
        <f>SUMIF(55:55,I8,56:56)-SUMIF(55:55,C8,56:56)+100</f>
        <v>0</v>
      </c>
      <c r="K8" s="567"/>
      <c r="L8" s="1038"/>
      <c r="M8" s="1039"/>
      <c r="N8" s="1039"/>
      <c r="O8" s="1039"/>
      <c r="P8" s="3389" t="s">
        <v>2367</v>
      </c>
      <c r="Q8" s="3390"/>
      <c r="R8" s="708" t="s">
        <v>17</v>
      </c>
      <c r="S8" s="709">
        <f t="shared" si="0"/>
        <v>0</v>
      </c>
      <c r="T8" s="708" t="s">
        <v>17</v>
      </c>
      <c r="U8" s="709">
        <f t="shared" si="1"/>
        <v>0</v>
      </c>
      <c r="V8" s="708" t="s">
        <v>17</v>
      </c>
      <c r="W8" s="709">
        <f t="shared" si="2"/>
        <v>0</v>
      </c>
      <c r="X8" s="710"/>
      <c r="Y8" s="3389" t="s">
        <v>2367</v>
      </c>
      <c r="Z8" s="3390"/>
      <c r="AA8" s="711" t="e">
        <f t="shared" ref="AA8:AA40" si="3">D8/F8</f>
        <v>#DIV/0!</v>
      </c>
      <c r="AB8" s="711" t="e">
        <f t="shared" ref="AB8:AB40" si="4">D8/H8</f>
        <v>#DIV/0!</v>
      </c>
      <c r="AC8" s="711" t="e">
        <f t="shared" ref="AC8:AC40" si="5">D8/J8</f>
        <v>#DIV/0!</v>
      </c>
    </row>
    <row r="9" spans="1:29" s="113" customFormat="1">
      <c r="A9" s="374" t="s">
        <v>2368</v>
      </c>
      <c r="B9" s="67" t="s">
        <v>2369</v>
      </c>
      <c r="C9" s="375"/>
      <c r="D9" s="131">
        <v>100</v>
      </c>
      <c r="E9" s="378"/>
      <c r="F9" s="131">
        <f>SUMIF(57:57,E9,58:58)-SUMIF(57:57,C9,58:58)+100</f>
        <v>100</v>
      </c>
      <c r="G9" s="376"/>
      <c r="H9" s="131">
        <f>SUMIF(57:57,G9,58:58)-SUMIF(57:57,C9,58:58)+100</f>
        <v>100</v>
      </c>
      <c r="I9" s="376"/>
      <c r="J9" s="131">
        <f>SUMIF(57:57,I9,58:58)-SUMIF(57:57,C9,58:58)+100</f>
        <v>100</v>
      </c>
      <c r="K9" s="567"/>
      <c r="L9" s="1038"/>
      <c r="M9" s="1039"/>
      <c r="N9" s="1039"/>
      <c r="O9" s="1040"/>
      <c r="P9" s="3360" t="s">
        <v>2370</v>
      </c>
      <c r="Q9" s="1517" t="str">
        <f t="shared" ref="Q9:Q15" si="6">B9</f>
        <v>用途</v>
      </c>
      <c r="R9" s="708" t="s">
        <v>17</v>
      </c>
      <c r="S9" s="709">
        <f t="shared" si="0"/>
        <v>100</v>
      </c>
      <c r="T9" s="708" t="s">
        <v>17</v>
      </c>
      <c r="U9" s="709">
        <f t="shared" si="1"/>
        <v>100</v>
      </c>
      <c r="V9" s="708" t="s">
        <v>17</v>
      </c>
      <c r="W9" s="709">
        <f t="shared" si="2"/>
        <v>100</v>
      </c>
      <c r="X9" s="710"/>
      <c r="Y9" s="3257" t="s">
        <v>2371</v>
      </c>
      <c r="Z9" s="55" t="str">
        <f t="shared" ref="Z9:Z15" si="7">Q9</f>
        <v>用途</v>
      </c>
      <c r="AA9" s="711">
        <f t="shared" si="3"/>
        <v>1</v>
      </c>
      <c r="AB9" s="711">
        <f t="shared" si="4"/>
        <v>1</v>
      </c>
      <c r="AC9" s="711">
        <f t="shared" si="5"/>
        <v>1</v>
      </c>
    </row>
    <row r="10" spans="1:29" s="385" customFormat="1" ht="27">
      <c r="A10" s="379"/>
      <c r="B10" s="380" t="s">
        <v>2372</v>
      </c>
      <c r="C10" s="381"/>
      <c r="D10" s="132">
        <v>100</v>
      </c>
      <c r="E10" s="381"/>
      <c r="F10" s="132">
        <f>SUMIF(59:59,E10,60:60)-SUMIF(59:59,C10,60:60)+100</f>
        <v>100</v>
      </c>
      <c r="G10" s="382"/>
      <c r="H10" s="132">
        <f>SUMIF(59:59,G10,60:60)-SUMIF(59:59,C10,60:60)+100</f>
        <v>100</v>
      </c>
      <c r="I10" s="381"/>
      <c r="J10" s="132">
        <f>SUMIF(59:59,I10,60:60)-SUMIF(59:59,C10,60:60)+100</f>
        <v>100</v>
      </c>
      <c r="K10" s="568"/>
      <c r="L10" s="1041"/>
      <c r="M10" s="1042"/>
      <c r="N10" s="1042"/>
      <c r="O10" s="1043"/>
      <c r="P10" s="3360"/>
      <c r="Q10" s="1517" t="str">
        <f t="shared" si="6"/>
        <v>土地使用年限（年）</v>
      </c>
      <c r="R10" s="708" t="s">
        <v>17</v>
      </c>
      <c r="S10" s="709">
        <f t="shared" si="0"/>
        <v>100</v>
      </c>
      <c r="T10" s="708" t="s">
        <v>17</v>
      </c>
      <c r="U10" s="709">
        <f t="shared" si="1"/>
        <v>100</v>
      </c>
      <c r="V10" s="708" t="s">
        <v>17</v>
      </c>
      <c r="W10" s="709">
        <f t="shared" si="2"/>
        <v>100</v>
      </c>
      <c r="X10" s="710"/>
      <c r="Y10" s="3257"/>
      <c r="Z10" s="55" t="str">
        <f t="shared" si="7"/>
        <v>土地使用年限（年）</v>
      </c>
      <c r="AA10" s="711">
        <f t="shared" si="3"/>
        <v>1</v>
      </c>
      <c r="AB10" s="711">
        <f t="shared" si="4"/>
        <v>1</v>
      </c>
      <c r="AC10" s="711">
        <f t="shared" si="5"/>
        <v>1</v>
      </c>
    </row>
    <row r="11" spans="1:29" ht="15">
      <c r="A11" s="386"/>
      <c r="B11" s="380" t="s">
        <v>2373</v>
      </c>
      <c r="C11" s="387"/>
      <c r="D11" s="132">
        <v>100</v>
      </c>
      <c r="E11" s="387"/>
      <c r="F11" s="132" t="e">
        <f>LOOKUP(E11,62:62,63:63)-LOOKUP(C11,62:62,63:63)+100</f>
        <v>#N/A</v>
      </c>
      <c r="G11" s="388"/>
      <c r="H11" s="132" t="e">
        <f>LOOKUP(G11,62:62,63:63)-LOOKUP(C11,62:62,63:63)+100</f>
        <v>#N/A</v>
      </c>
      <c r="I11" s="387"/>
      <c r="J11" s="132" t="e">
        <f>LOOKUP(I11,62:62,63:63)-LOOKUP(C11,62:62,63:63)+100</f>
        <v>#N/A</v>
      </c>
      <c r="K11" s="568"/>
      <c r="L11" s="1044"/>
      <c r="M11" s="1037"/>
      <c r="N11" s="1037"/>
      <c r="O11" s="1045"/>
      <c r="P11" s="3360"/>
      <c r="Q11" s="1517" t="str">
        <f t="shared" si="6"/>
        <v>容积率</v>
      </c>
      <c r="R11" s="708" t="s">
        <v>17</v>
      </c>
      <c r="S11" s="709" t="e">
        <f t="shared" si="0"/>
        <v>#N/A</v>
      </c>
      <c r="T11" s="708" t="s">
        <v>17</v>
      </c>
      <c r="U11" s="709" t="e">
        <f t="shared" si="1"/>
        <v>#N/A</v>
      </c>
      <c r="V11" s="708" t="s">
        <v>17</v>
      </c>
      <c r="W11" s="709" t="e">
        <f t="shared" si="2"/>
        <v>#N/A</v>
      </c>
      <c r="X11" s="710"/>
      <c r="Y11" s="3257"/>
      <c r="Z11" s="55" t="str">
        <f t="shared" si="7"/>
        <v>容积率</v>
      </c>
      <c r="AA11" s="711" t="e">
        <f t="shared" si="3"/>
        <v>#N/A</v>
      </c>
      <c r="AB11" s="711" t="e">
        <f t="shared" si="4"/>
        <v>#N/A</v>
      </c>
      <c r="AC11" s="711" t="e">
        <f t="shared" si="5"/>
        <v>#N/A</v>
      </c>
    </row>
    <row r="12" spans="1:29" s="113" customFormat="1" ht="15">
      <c r="A12" s="389"/>
      <c r="B12" s="2066">
        <v>111</v>
      </c>
      <c r="C12" s="390"/>
      <c r="D12" s="391">
        <v>100</v>
      </c>
      <c r="E12" s="392"/>
      <c r="F12" s="132">
        <f>SUMIF(64:64,E12,65:65)-SUMIF(64:64,C12,65:65)+100</f>
        <v>100</v>
      </c>
      <c r="G12" s="2143"/>
      <c r="H12" s="132">
        <f>SUMIF(64:64,G12,65:65)-SUMIF(64:64,C12,65:65)+100</f>
        <v>100</v>
      </c>
      <c r="I12" s="427"/>
      <c r="J12" s="132">
        <f>SUMIF(64:64,I12,65:65)-SUMIF(64:64,C12,65:65)+100</f>
        <v>100</v>
      </c>
      <c r="K12" s="569"/>
      <c r="L12" s="1038"/>
      <c r="M12" s="1039"/>
      <c r="N12" s="1039"/>
      <c r="O12" s="1040"/>
      <c r="P12" s="3360"/>
      <c r="Q12" s="1517">
        <f t="shared" si="6"/>
        <v>111</v>
      </c>
      <c r="R12" s="708" t="s">
        <v>17</v>
      </c>
      <c r="S12" s="709">
        <f t="shared" si="0"/>
        <v>100</v>
      </c>
      <c r="T12" s="708" t="s">
        <v>17</v>
      </c>
      <c r="U12" s="709">
        <f t="shared" si="1"/>
        <v>100</v>
      </c>
      <c r="V12" s="708" t="s">
        <v>17</v>
      </c>
      <c r="W12" s="709">
        <f t="shared" si="2"/>
        <v>100</v>
      </c>
      <c r="X12" s="710"/>
      <c r="Y12" s="3257"/>
      <c r="Z12" s="55">
        <f t="shared" si="7"/>
        <v>111</v>
      </c>
      <c r="AA12" s="711">
        <f>D12/F12</f>
        <v>1</v>
      </c>
      <c r="AB12" s="711">
        <f>D12/H12</f>
        <v>1</v>
      </c>
      <c r="AC12" s="711">
        <f>D12/J12</f>
        <v>1</v>
      </c>
    </row>
    <row r="13" spans="1:29" ht="15">
      <c r="A13" s="386"/>
      <c r="B13" s="2066">
        <v>111</v>
      </c>
      <c r="C13" s="392"/>
      <c r="D13" s="393">
        <v>100</v>
      </c>
      <c r="E13" s="392"/>
      <c r="F13" s="132">
        <f>SUMIF(66:66,E13,67:67)-SUMIF(66:66,C13,67:67)+100</f>
        <v>100</v>
      </c>
      <c r="G13" s="2143"/>
      <c r="H13" s="393">
        <f>SUMIF(66:66,G13,67:67)-SUMIF(66:66,C13,67:67)+100</f>
        <v>100</v>
      </c>
      <c r="I13" s="427"/>
      <c r="J13" s="393">
        <f>SUMIF(66:66,I13,67:67)-SUMIF(66:66,C13,67:67)+100</f>
        <v>100</v>
      </c>
      <c r="K13" s="569"/>
      <c r="L13" s="1046"/>
      <c r="M13" s="1037"/>
      <c r="N13" s="1037"/>
      <c r="O13" s="1045"/>
      <c r="P13" s="3360"/>
      <c r="Q13" s="1517">
        <f t="shared" si="6"/>
        <v>111</v>
      </c>
      <c r="R13" s="708" t="s">
        <v>17</v>
      </c>
      <c r="S13" s="709">
        <f t="shared" si="0"/>
        <v>100</v>
      </c>
      <c r="T13" s="708" t="s">
        <v>17</v>
      </c>
      <c r="U13" s="709">
        <f t="shared" si="1"/>
        <v>100</v>
      </c>
      <c r="V13" s="708" t="s">
        <v>17</v>
      </c>
      <c r="W13" s="709">
        <f t="shared" si="2"/>
        <v>100</v>
      </c>
      <c r="X13" s="710"/>
      <c r="Y13" s="3257"/>
      <c r="Z13" s="55">
        <f t="shared" si="7"/>
        <v>111</v>
      </c>
      <c r="AA13" s="711">
        <f t="shared" si="3"/>
        <v>1</v>
      </c>
      <c r="AB13" s="711">
        <f t="shared" si="4"/>
        <v>1</v>
      </c>
      <c r="AC13" s="711">
        <f t="shared" si="5"/>
        <v>1</v>
      </c>
    </row>
    <row r="14" spans="1:29" ht="15.75" thickBot="1">
      <c r="A14" s="394"/>
      <c r="B14" s="2068">
        <v>111</v>
      </c>
      <c r="C14" s="395"/>
      <c r="D14" s="396">
        <v>100</v>
      </c>
      <c r="E14" s="395"/>
      <c r="F14" s="396">
        <f>SUMIF(68:68,E14,69:69)-SUMIF(68:68,C14,69:69)+100</f>
        <v>100</v>
      </c>
      <c r="G14" s="2143"/>
      <c r="H14" s="396">
        <f>SUMIF(68:68,G14,69:69)-SUMIF(68:68,C14,69:69)+100</f>
        <v>100</v>
      </c>
      <c r="I14" s="427"/>
      <c r="J14" s="396">
        <f>SUMIF(68:68,I14,69:69)-SUMIF(68:68,C14,69:69)+100</f>
        <v>100</v>
      </c>
      <c r="K14" s="569"/>
      <c r="L14" s="1046"/>
      <c r="M14" s="1037"/>
      <c r="N14" s="1037"/>
      <c r="O14" s="1045"/>
      <c r="P14" s="3360"/>
      <c r="Q14" s="1517">
        <f t="shared" si="6"/>
        <v>111</v>
      </c>
      <c r="R14" s="708" t="s">
        <v>17</v>
      </c>
      <c r="S14" s="709">
        <f t="shared" si="0"/>
        <v>100</v>
      </c>
      <c r="T14" s="708" t="s">
        <v>17</v>
      </c>
      <c r="U14" s="709">
        <f t="shared" si="1"/>
        <v>100</v>
      </c>
      <c r="V14" s="708" t="s">
        <v>17</v>
      </c>
      <c r="W14" s="709">
        <f t="shared" si="2"/>
        <v>100</v>
      </c>
      <c r="X14" s="710"/>
      <c r="Y14" s="3257"/>
      <c r="Z14" s="55">
        <f t="shared" si="7"/>
        <v>111</v>
      </c>
      <c r="AA14" s="711">
        <f t="shared" si="3"/>
        <v>1</v>
      </c>
      <c r="AB14" s="711">
        <f t="shared" si="4"/>
        <v>1</v>
      </c>
      <c r="AC14" s="711">
        <f t="shared" si="5"/>
        <v>1</v>
      </c>
    </row>
    <row r="15" spans="1:29" ht="57">
      <c r="A15" s="398" t="s">
        <v>2374</v>
      </c>
      <c r="B15" s="65" t="s">
        <v>2518</v>
      </c>
      <c r="C15" s="2144" t="str">
        <f>估价对象房地状况!G3</f>
        <v>估价对象位于XX开发区，园区建设成熟度XX，产业集聚程度XX</v>
      </c>
      <c r="D15" s="399">
        <v>100</v>
      </c>
      <c r="E15" s="400"/>
      <c r="F15" s="401">
        <f>SUMIF(70:70,E16,71:71)-SUMIF(70:70,C16,71:71)+100</f>
        <v>100</v>
      </c>
      <c r="G15" s="402"/>
      <c r="H15" s="399">
        <f>SUMIF(70:70,G16,71:71)-SUMIF(70:70,C16,71:71)+100</f>
        <v>100</v>
      </c>
      <c r="I15" s="400"/>
      <c r="J15" s="399">
        <f>SUMIF(70:70,I16,71:71)-SUMIF(70:70,C16,71:71)+100</f>
        <v>100</v>
      </c>
      <c r="K15" s="570"/>
      <c r="L15" s="1046"/>
      <c r="M15" s="1037"/>
      <c r="N15" s="1037"/>
      <c r="O15" s="1045"/>
      <c r="P15" s="3362" t="s">
        <v>2375</v>
      </c>
      <c r="Q15" s="1526" t="str">
        <f t="shared" si="6"/>
        <v>产业集聚程度</v>
      </c>
      <c r="R15" s="712" t="s">
        <v>17</v>
      </c>
      <c r="S15" s="713">
        <f t="shared" si="0"/>
        <v>100</v>
      </c>
      <c r="T15" s="712" t="s">
        <v>17</v>
      </c>
      <c r="U15" s="713">
        <f t="shared" si="1"/>
        <v>100</v>
      </c>
      <c r="V15" s="712" t="s">
        <v>17</v>
      </c>
      <c r="W15" s="713">
        <f t="shared" si="2"/>
        <v>100</v>
      </c>
      <c r="X15" s="1529"/>
      <c r="Y15" s="3362" t="s">
        <v>2375</v>
      </c>
      <c r="Z15" s="1530" t="str">
        <f t="shared" si="7"/>
        <v>产业集聚程度</v>
      </c>
      <c r="AA15" s="1527">
        <f t="shared" si="3"/>
        <v>1</v>
      </c>
      <c r="AB15" s="1527">
        <f t="shared" si="4"/>
        <v>1</v>
      </c>
      <c r="AC15" s="1527">
        <f t="shared" si="5"/>
        <v>1</v>
      </c>
    </row>
    <row r="16" spans="1:29" ht="15">
      <c r="A16" s="386"/>
      <c r="B16" s="404"/>
      <c r="C16" s="405"/>
      <c r="D16" s="406"/>
      <c r="E16" s="405"/>
      <c r="F16" s="407"/>
      <c r="G16" s="405"/>
      <c r="H16" s="408"/>
      <c r="I16" s="405"/>
      <c r="J16" s="406"/>
      <c r="K16" s="571"/>
      <c r="L16" s="1046"/>
      <c r="M16" s="1037"/>
      <c r="N16" s="1037"/>
      <c r="O16" s="1045"/>
      <c r="P16" s="3363"/>
      <c r="Q16" s="1526"/>
      <c r="R16" s="712"/>
      <c r="S16" s="713"/>
      <c r="T16" s="712"/>
      <c r="U16" s="713"/>
      <c r="V16" s="712"/>
      <c r="W16" s="713"/>
      <c r="X16" s="1529"/>
      <c r="Y16" s="3363"/>
      <c r="Z16" s="1530"/>
      <c r="AA16" s="1527">
        <v>1</v>
      </c>
      <c r="AB16" s="1527">
        <v>1</v>
      </c>
      <c r="AC16" s="1527">
        <v>1</v>
      </c>
    </row>
    <row r="17" spans="1:29" ht="85.5">
      <c r="A17" s="386"/>
      <c r="B17" s="409" t="s">
        <v>1944</v>
      </c>
      <c r="C17" s="2073" t="str">
        <f>估价对象房地状况!G4</f>
        <v>估价对象周边道路状况、公共交通通达情况、停车便捷程度，综合评价交通便捷度较好</v>
      </c>
      <c r="D17" s="408">
        <v>100</v>
      </c>
      <c r="E17" s="410"/>
      <c r="F17" s="411">
        <f>SUMIF(72:72,E18,73:73)-SUMIF(72:72,C18,73:73)+100</f>
        <v>100</v>
      </c>
      <c r="G17" s="412"/>
      <c r="H17" s="413">
        <f>SUMIF(72:72,G18,73:73)-SUMIF(72:72,C18,73:73)+100</f>
        <v>100</v>
      </c>
      <c r="I17" s="410"/>
      <c r="J17" s="413">
        <f>SUMIF(72:72,I18,73:73)-SUMIF(72:72,C18,73:73)+100</f>
        <v>100</v>
      </c>
      <c r="K17" s="570"/>
      <c r="L17" s="1046"/>
      <c r="M17" s="1037"/>
      <c r="N17" s="1037"/>
      <c r="O17" s="1045"/>
      <c r="P17" s="3363"/>
      <c r="Q17" s="1526" t="str">
        <f>B17</f>
        <v>交通便捷度</v>
      </c>
      <c r="R17" s="712" t="s">
        <v>17</v>
      </c>
      <c r="S17" s="713">
        <f>F17</f>
        <v>100</v>
      </c>
      <c r="T17" s="712" t="s">
        <v>17</v>
      </c>
      <c r="U17" s="713">
        <f>H17</f>
        <v>100</v>
      </c>
      <c r="V17" s="712" t="s">
        <v>17</v>
      </c>
      <c r="W17" s="713">
        <f>J17</f>
        <v>100</v>
      </c>
      <c r="X17" s="1529"/>
      <c r="Y17" s="3363"/>
      <c r="Z17" s="1530" t="str">
        <f>Q17</f>
        <v>交通便捷度</v>
      </c>
      <c r="AA17" s="1527">
        <f t="shared" si="3"/>
        <v>1</v>
      </c>
      <c r="AB17" s="1527">
        <f t="shared" si="4"/>
        <v>1</v>
      </c>
      <c r="AC17" s="1527">
        <f t="shared" si="5"/>
        <v>1</v>
      </c>
    </row>
    <row r="18" spans="1:29" ht="15">
      <c r="A18" s="386"/>
      <c r="B18" s="414"/>
      <c r="C18" s="2074"/>
      <c r="D18" s="408"/>
      <c r="E18" s="2076"/>
      <c r="F18" s="411"/>
      <c r="G18" s="2075"/>
      <c r="H18" s="406"/>
      <c r="I18" s="2076"/>
      <c r="J18" s="406"/>
      <c r="K18" s="571"/>
      <c r="L18" s="1046"/>
      <c r="M18" s="1037"/>
      <c r="N18" s="1037"/>
      <c r="O18" s="1045"/>
      <c r="P18" s="3363"/>
      <c r="Q18" s="1526"/>
      <c r="R18" s="712"/>
      <c r="S18" s="713"/>
      <c r="T18" s="712"/>
      <c r="U18" s="713"/>
      <c r="V18" s="712"/>
      <c r="W18" s="713"/>
      <c r="X18" s="1529"/>
      <c r="Y18" s="3363"/>
      <c r="Z18" s="1530"/>
      <c r="AA18" s="1527">
        <v>1</v>
      </c>
      <c r="AB18" s="1527">
        <v>1</v>
      </c>
      <c r="AC18" s="1527">
        <v>1</v>
      </c>
    </row>
    <row r="19" spans="1:29" ht="42.75">
      <c r="A19" s="386"/>
      <c r="B19" s="409" t="s">
        <v>2503</v>
      </c>
      <c r="C19" s="2073" t="str">
        <f>估价对象房地状况!G5</f>
        <v>估价对象所在区域公共配套设施齐备情况</v>
      </c>
      <c r="D19" s="413">
        <v>100</v>
      </c>
      <c r="E19" s="415"/>
      <c r="F19" s="416">
        <f>SUMIF(74:74,E20,75:75)-SUMIF(74:74,C20,75:75)+100</f>
        <v>100</v>
      </c>
      <c r="G19" s="417"/>
      <c r="H19" s="408">
        <f>SUMIF(74:74,G20,75:75)-SUMIF(74:74,C20,75:75)+100</f>
        <v>100</v>
      </c>
      <c r="I19" s="415"/>
      <c r="J19" s="408">
        <f>SUMIF(74:74,I20,75:75)-SUMIF(74:74,C20,75:75)+100</f>
        <v>100</v>
      </c>
      <c r="K19" s="570"/>
      <c r="L19" s="1046"/>
      <c r="M19" s="1037"/>
      <c r="N19" s="1037"/>
      <c r="O19" s="1045"/>
      <c r="P19" s="3363"/>
      <c r="Q19" s="1526" t="str">
        <f>B19</f>
        <v>公共配套设施</v>
      </c>
      <c r="R19" s="712" t="s">
        <v>17</v>
      </c>
      <c r="S19" s="713">
        <f>F19</f>
        <v>100</v>
      </c>
      <c r="T19" s="712" t="s">
        <v>17</v>
      </c>
      <c r="U19" s="713">
        <f>H19</f>
        <v>100</v>
      </c>
      <c r="V19" s="712" t="s">
        <v>17</v>
      </c>
      <c r="W19" s="713">
        <f>J19</f>
        <v>100</v>
      </c>
      <c r="X19" s="1529"/>
      <c r="Y19" s="3363"/>
      <c r="Z19" s="1530" t="str">
        <f>Q19</f>
        <v>公共配套设施</v>
      </c>
      <c r="AA19" s="1527">
        <f t="shared" si="3"/>
        <v>1</v>
      </c>
      <c r="AB19" s="1527">
        <f t="shared" si="4"/>
        <v>1</v>
      </c>
      <c r="AC19" s="1527">
        <f t="shared" si="5"/>
        <v>1</v>
      </c>
    </row>
    <row r="20" spans="1:29" ht="15">
      <c r="A20" s="386"/>
      <c r="B20" s="414"/>
      <c r="C20" s="405"/>
      <c r="D20" s="406"/>
      <c r="E20" s="2071"/>
      <c r="F20" s="407"/>
      <c r="G20" s="2070"/>
      <c r="H20" s="406"/>
      <c r="I20" s="2071"/>
      <c r="J20" s="406"/>
      <c r="K20" s="571"/>
      <c r="L20" s="1046"/>
      <c r="M20" s="1037"/>
      <c r="N20" s="1037"/>
      <c r="O20" s="1045"/>
      <c r="P20" s="3363"/>
      <c r="Q20" s="1526"/>
      <c r="R20" s="712"/>
      <c r="S20" s="713"/>
      <c r="T20" s="712"/>
      <c r="U20" s="713"/>
      <c r="V20" s="712"/>
      <c r="W20" s="713"/>
      <c r="X20" s="1529"/>
      <c r="Y20" s="3363"/>
      <c r="Z20" s="1530"/>
      <c r="AA20" s="1527">
        <v>1</v>
      </c>
      <c r="AB20" s="1527">
        <v>1</v>
      </c>
      <c r="AC20" s="1527">
        <v>1</v>
      </c>
    </row>
    <row r="21" spans="1:29" ht="28.5">
      <c r="A21" s="386"/>
      <c r="B21" s="1284" t="s">
        <v>2504</v>
      </c>
      <c r="C21" s="2073" t="str">
        <f>估价对象房地状况!G6</f>
        <v>估价对象所在区域基础设施水平</v>
      </c>
      <c r="D21" s="408">
        <v>100</v>
      </c>
      <c r="E21" s="415"/>
      <c r="F21" s="416">
        <f>SUMIF(76:76,E22,77:77)-SUMIF(76:76,C22,77:77)+100</f>
        <v>100</v>
      </c>
      <c r="G21" s="417"/>
      <c r="H21" s="408">
        <f>SUMIF(76:76,G22,77:77)-SUMIF(76:76,C22,77:77)+100</f>
        <v>100</v>
      </c>
      <c r="I21" s="415"/>
      <c r="J21" s="408">
        <f>SUMIF(76:76,I22,77:77)-SUMIF(76:76,C22,77:77)+100</f>
        <v>100</v>
      </c>
      <c r="K21" s="570"/>
      <c r="L21" s="1046"/>
      <c r="M21" s="1037"/>
      <c r="N21" s="1037"/>
      <c r="O21" s="1045"/>
      <c r="P21" s="3363"/>
      <c r="Q21" s="1526" t="str">
        <f>B21</f>
        <v>基础设施水平</v>
      </c>
      <c r="R21" s="712" t="s">
        <v>17</v>
      </c>
      <c r="S21" s="713">
        <f>F21</f>
        <v>100</v>
      </c>
      <c r="T21" s="712" t="s">
        <v>17</v>
      </c>
      <c r="U21" s="713">
        <f>H21</f>
        <v>100</v>
      </c>
      <c r="V21" s="712" t="s">
        <v>17</v>
      </c>
      <c r="W21" s="713">
        <f>J21</f>
        <v>100</v>
      </c>
      <c r="X21" s="1529"/>
      <c r="Y21" s="3363"/>
      <c r="Z21" s="1530" t="str">
        <f>Q21</f>
        <v>基础设施水平</v>
      </c>
      <c r="AA21" s="1527">
        <f t="shared" ref="AA21" si="8">D21/F21</f>
        <v>1</v>
      </c>
      <c r="AB21" s="1527">
        <f t="shared" ref="AB21" si="9">D21/H21</f>
        <v>1</v>
      </c>
      <c r="AC21" s="1527">
        <f t="shared" ref="AC21" si="10">D21/J21</f>
        <v>1</v>
      </c>
    </row>
    <row r="22" spans="1:29" ht="15">
      <c r="A22" s="386"/>
      <c r="B22" s="1284"/>
      <c r="C22" s="2074"/>
      <c r="D22" s="406"/>
      <c r="E22" s="405"/>
      <c r="F22" s="407"/>
      <c r="G22" s="405"/>
      <c r="H22" s="406"/>
      <c r="I22" s="405"/>
      <c r="J22" s="406"/>
      <c r="K22" s="1283"/>
      <c r="L22" s="1046"/>
      <c r="M22" s="1037"/>
      <c r="N22" s="1037"/>
      <c r="O22" s="1045"/>
      <c r="P22" s="3363"/>
      <c r="Q22" s="1526"/>
      <c r="R22" s="712"/>
      <c r="S22" s="713"/>
      <c r="T22" s="712"/>
      <c r="U22" s="713"/>
      <c r="V22" s="712"/>
      <c r="W22" s="713"/>
      <c r="X22" s="1529"/>
      <c r="Y22" s="3363"/>
      <c r="Z22" s="1530"/>
      <c r="AA22" s="1527">
        <v>1</v>
      </c>
      <c r="AB22" s="1527">
        <v>1</v>
      </c>
      <c r="AC22" s="1527">
        <v>1</v>
      </c>
    </row>
    <row r="23" spans="1:29" ht="71.25">
      <c r="A23" s="386"/>
      <c r="B23" s="409" t="s">
        <v>2505</v>
      </c>
      <c r="C23" s="2073" t="str">
        <f>估价对象房地状况!G7</f>
        <v>该园区内是否有污染型企业，绿化情况，卫生条件，整体环境状况判断</v>
      </c>
      <c r="D23" s="408">
        <v>100</v>
      </c>
      <c r="E23" s="410"/>
      <c r="F23" s="411">
        <f>SUMIF(78:78,E24,79:79)-SUMIF(78:78,C24,79:79)+100</f>
        <v>100</v>
      </c>
      <c r="G23" s="412"/>
      <c r="H23" s="408">
        <f>SUMIF(78:78,G24,79:79)-SUMIF(78:78,C24,79:79)+100</f>
        <v>100</v>
      </c>
      <c r="I23" s="410"/>
      <c r="J23" s="408">
        <f>SUMIF(78:78,I24,79:79)-SUMIF(78:78,C24,79:79)+100</f>
        <v>100</v>
      </c>
      <c r="K23" s="570"/>
      <c r="L23" s="1046"/>
      <c r="M23" s="1037"/>
      <c r="N23" s="1037"/>
      <c r="O23" s="1045"/>
      <c r="P23" s="3363"/>
      <c r="Q23" s="1526" t="str">
        <f>B23</f>
        <v>环境质量</v>
      </c>
      <c r="R23" s="712" t="s">
        <v>17</v>
      </c>
      <c r="S23" s="713">
        <f>F23</f>
        <v>100</v>
      </c>
      <c r="T23" s="712" t="s">
        <v>17</v>
      </c>
      <c r="U23" s="713">
        <f>H23</f>
        <v>100</v>
      </c>
      <c r="V23" s="712" t="s">
        <v>17</v>
      </c>
      <c r="W23" s="713">
        <f>J23</f>
        <v>100</v>
      </c>
      <c r="X23" s="1529"/>
      <c r="Y23" s="3363"/>
      <c r="Z23" s="1530" t="str">
        <f>Q23</f>
        <v>环境质量</v>
      </c>
      <c r="AA23" s="1527">
        <f t="shared" si="3"/>
        <v>1</v>
      </c>
      <c r="AB23" s="1527">
        <f t="shared" si="4"/>
        <v>1</v>
      </c>
      <c r="AC23" s="1527">
        <f t="shared" si="5"/>
        <v>1</v>
      </c>
    </row>
    <row r="24" spans="1:29" ht="15">
      <c r="A24" s="386"/>
      <c r="B24" s="1284"/>
      <c r="C24" s="405"/>
      <c r="D24" s="406"/>
      <c r="E24" s="2071"/>
      <c r="F24" s="407"/>
      <c r="G24" s="2070"/>
      <c r="H24" s="406"/>
      <c r="I24" s="2071"/>
      <c r="J24" s="406"/>
      <c r="K24" s="571"/>
      <c r="L24" s="1046"/>
      <c r="M24" s="1037"/>
      <c r="N24" s="1037"/>
      <c r="O24" s="1045"/>
      <c r="P24" s="3363"/>
      <c r="Q24" s="1526"/>
      <c r="R24" s="712"/>
      <c r="S24" s="713"/>
      <c r="T24" s="712"/>
      <c r="U24" s="713"/>
      <c r="V24" s="712"/>
      <c r="W24" s="713"/>
      <c r="X24" s="1529"/>
      <c r="Y24" s="3363"/>
      <c r="Z24" s="1530"/>
      <c r="AA24" s="1527">
        <v>1</v>
      </c>
      <c r="AB24" s="1527">
        <v>1</v>
      </c>
      <c r="AC24" s="1527">
        <v>1</v>
      </c>
    </row>
    <row r="25" spans="1:29" ht="15">
      <c r="A25" s="363"/>
      <c r="B25" s="1286">
        <v>111</v>
      </c>
      <c r="C25" s="392">
        <v>111</v>
      </c>
      <c r="D25" s="393">
        <v>100</v>
      </c>
      <c r="E25" s="392"/>
      <c r="F25" s="419">
        <f>SUMIF(80:80,E25,81:81)-SUMIF(80:80,C25,81:81)+100</f>
        <v>100</v>
      </c>
      <c r="G25" s="392"/>
      <c r="H25" s="393">
        <f>SUMIF(80:80,G25,81:81)-SUMIF(80:80,C25,81:81)+100</f>
        <v>100</v>
      </c>
      <c r="I25" s="392"/>
      <c r="J25" s="393">
        <f>SUMIF(80:80,I25,81:81)-SUMIF(80:80,C25,81:81)+100</f>
        <v>100</v>
      </c>
      <c r="K25" s="569"/>
      <c r="L25" s="1046"/>
      <c r="M25" s="1037"/>
      <c r="N25" s="1037"/>
      <c r="O25" s="1045"/>
      <c r="P25" s="3363"/>
      <c r="Q25" s="1526">
        <f>B25</f>
        <v>111</v>
      </c>
      <c r="R25" s="712" t="s">
        <v>17</v>
      </c>
      <c r="S25" s="713">
        <f>F25</f>
        <v>100</v>
      </c>
      <c r="T25" s="712" t="s">
        <v>17</v>
      </c>
      <c r="U25" s="713">
        <f>H25</f>
        <v>100</v>
      </c>
      <c r="V25" s="712" t="s">
        <v>17</v>
      </c>
      <c r="W25" s="713">
        <f>J25</f>
        <v>100</v>
      </c>
      <c r="X25" s="1529"/>
      <c r="Y25" s="3363"/>
      <c r="Z25" s="1530">
        <f>Q25</f>
        <v>111</v>
      </c>
      <c r="AA25" s="1527">
        <f t="shared" si="3"/>
        <v>1</v>
      </c>
      <c r="AB25" s="1527">
        <f t="shared" si="4"/>
        <v>1</v>
      </c>
      <c r="AC25" s="1527">
        <f t="shared" si="5"/>
        <v>1</v>
      </c>
    </row>
    <row r="26" spans="1:29" ht="15">
      <c r="A26" s="386"/>
      <c r="B26" s="1286">
        <v>111</v>
      </c>
      <c r="C26" s="392">
        <v>111</v>
      </c>
      <c r="D26" s="393">
        <v>100</v>
      </c>
      <c r="E26" s="392"/>
      <c r="F26" s="419">
        <f>SUMIF(82:82,E26,83:83)-SUMIF(82:82,C26,83:83)+100</f>
        <v>100</v>
      </c>
      <c r="G26" s="392"/>
      <c r="H26" s="393">
        <f>SUMIF(82:82,G26,83:83)-SUMIF(82:82,C26,83:83)+100</f>
        <v>100</v>
      </c>
      <c r="I26" s="392"/>
      <c r="J26" s="393">
        <f>SUMIF(82:82,I26,83:83)-SUMIF(82:82,C26,83:83)+100</f>
        <v>100</v>
      </c>
      <c r="K26" s="569"/>
      <c r="L26" s="1046"/>
      <c r="M26" s="1037"/>
      <c r="N26" s="1037"/>
      <c r="O26" s="1045"/>
      <c r="P26" s="3363"/>
      <c r="Q26" s="1526">
        <f t="shared" ref="Q26:Q40" si="11">B26</f>
        <v>111</v>
      </c>
      <c r="R26" s="712" t="s">
        <v>17</v>
      </c>
      <c r="S26" s="713">
        <f>F26</f>
        <v>100</v>
      </c>
      <c r="T26" s="712" t="s">
        <v>17</v>
      </c>
      <c r="U26" s="713">
        <f>H26</f>
        <v>100</v>
      </c>
      <c r="V26" s="712" t="s">
        <v>17</v>
      </c>
      <c r="W26" s="713">
        <f>J26</f>
        <v>100</v>
      </c>
      <c r="X26" s="1529"/>
      <c r="Y26" s="3363"/>
      <c r="Z26" s="1530">
        <f>Q26</f>
        <v>111</v>
      </c>
      <c r="AA26" s="1527">
        <f t="shared" si="3"/>
        <v>1</v>
      </c>
      <c r="AB26" s="1527">
        <f t="shared" si="4"/>
        <v>1</v>
      </c>
      <c r="AC26" s="1527">
        <f t="shared" si="5"/>
        <v>1</v>
      </c>
    </row>
    <row r="27" spans="1:29" s="113" customFormat="1" ht="15">
      <c r="A27" s="389"/>
      <c r="B27" s="1286">
        <v>111</v>
      </c>
      <c r="C27" s="392">
        <v>111</v>
      </c>
      <c r="D27" s="420">
        <v>100</v>
      </c>
      <c r="E27" s="392"/>
      <c r="F27" s="422">
        <f>SUMIF(84:84,E27,85:85)-SUMIF(84:84,C27,85:85)+100</f>
        <v>100</v>
      </c>
      <c r="G27" s="392"/>
      <c r="H27" s="420">
        <f>SUMIF(84:84,G27,85:85)-SUMIF(84:84,C27,85:85)+100</f>
        <v>100</v>
      </c>
      <c r="I27" s="392"/>
      <c r="J27" s="420">
        <f>SUMIF(84:84,I27,85:85)-SUMIF(84:84,C27,85:85)+100</f>
        <v>100</v>
      </c>
      <c r="K27" s="569"/>
      <c r="L27" s="1038"/>
      <c r="M27" s="1039"/>
      <c r="N27" s="1039"/>
      <c r="O27" s="1040"/>
      <c r="P27" s="3363"/>
      <c r="Q27" s="1517">
        <f t="shared" si="11"/>
        <v>111</v>
      </c>
      <c r="R27" s="708" t="s">
        <v>17</v>
      </c>
      <c r="S27" s="709">
        <f>F27</f>
        <v>100</v>
      </c>
      <c r="T27" s="708" t="s">
        <v>17</v>
      </c>
      <c r="U27" s="709">
        <f>H27</f>
        <v>100</v>
      </c>
      <c r="V27" s="708" t="s">
        <v>17</v>
      </c>
      <c r="W27" s="709">
        <f>J27</f>
        <v>100</v>
      </c>
      <c r="X27" s="710"/>
      <c r="Y27" s="3363"/>
      <c r="Z27" s="55">
        <f>Q27</f>
        <v>111</v>
      </c>
      <c r="AA27" s="1527">
        <f>D27/F27</f>
        <v>1</v>
      </c>
      <c r="AB27" s="1527">
        <f>D27/H27</f>
        <v>1</v>
      </c>
      <c r="AC27" s="1527">
        <f>D27/J27</f>
        <v>1</v>
      </c>
    </row>
    <row r="28" spans="1:29" ht="15.75" thickBot="1">
      <c r="A28" s="394"/>
      <c r="B28" s="1286">
        <v>111</v>
      </c>
      <c r="C28" s="395">
        <v>111</v>
      </c>
      <c r="D28" s="396">
        <v>100</v>
      </c>
      <c r="E28" s="392"/>
      <c r="F28" s="397">
        <f>SUMIF(86:86,E28,87:87)-SUMIF(86:86,C28,87:87)+100</f>
        <v>100</v>
      </c>
      <c r="G28" s="427"/>
      <c r="H28" s="396">
        <f>SUMIF(86:86,G28,87:87)-SUMIF(86:86,C28,87:87)+100</f>
        <v>100</v>
      </c>
      <c r="I28" s="427"/>
      <c r="J28" s="396">
        <f>SUMIF(86:86,I28,87:87)-SUMIF(86:86,C28,87:87)+100</f>
        <v>100</v>
      </c>
      <c r="K28" s="569"/>
      <c r="L28" s="1046"/>
      <c r="M28" s="1037"/>
      <c r="N28" s="1037"/>
      <c r="O28" s="1045"/>
      <c r="P28" s="3363"/>
      <c r="Q28" s="1526">
        <f t="shared" si="11"/>
        <v>111</v>
      </c>
      <c r="R28" s="712" t="s">
        <v>17</v>
      </c>
      <c r="S28" s="713">
        <f t="shared" ref="S28:S40" si="12">F28</f>
        <v>100</v>
      </c>
      <c r="T28" s="712" t="s">
        <v>17</v>
      </c>
      <c r="U28" s="713">
        <f t="shared" ref="U28:U40" si="13">H28</f>
        <v>100</v>
      </c>
      <c r="V28" s="712" t="s">
        <v>17</v>
      </c>
      <c r="W28" s="713">
        <f t="shared" ref="W28:W40" si="14">J28</f>
        <v>100</v>
      </c>
      <c r="X28" s="1529"/>
      <c r="Y28" s="3363"/>
      <c r="Z28" s="1530">
        <f t="shared" ref="Z28:Z40" si="15">Q28</f>
        <v>111</v>
      </c>
      <c r="AA28" s="1527">
        <f t="shared" si="3"/>
        <v>1</v>
      </c>
      <c r="AB28" s="1527">
        <f t="shared" si="4"/>
        <v>1</v>
      </c>
      <c r="AC28" s="1527">
        <f t="shared" si="5"/>
        <v>1</v>
      </c>
    </row>
    <row r="29" spans="1:29" ht="28.5">
      <c r="A29" s="424" t="s">
        <v>2378</v>
      </c>
      <c r="B29" s="67" t="s">
        <v>2508</v>
      </c>
      <c r="C29" s="2140"/>
      <c r="D29" s="425">
        <v>100</v>
      </c>
      <c r="E29" s="2140"/>
      <c r="F29" s="419">
        <f>SUMIF(88:88,E29,89:89)-SUMIF(88:88,C29,89:89)+100</f>
        <v>100</v>
      </c>
      <c r="G29" s="2140"/>
      <c r="H29" s="393">
        <f>SUMIF(88:88,G29,89:89)-SUMIF(88:88,C29,89:89)+100</f>
        <v>100</v>
      </c>
      <c r="I29" s="2140"/>
      <c r="J29" s="425">
        <f>SUMIF(88:88,I29,89:89)-SUMIF(88:88,C29,89:89)+100</f>
        <v>100</v>
      </c>
      <c r="K29" s="568"/>
      <c r="L29" s="1046"/>
      <c r="M29" s="1037"/>
      <c r="N29" s="1037"/>
      <c r="O29" s="1045"/>
      <c r="P29" s="3364" t="s">
        <v>2380</v>
      </c>
      <c r="Q29" s="1526" t="str">
        <f t="shared" si="11"/>
        <v>建筑类型</v>
      </c>
      <c r="R29" s="712" t="s">
        <v>17</v>
      </c>
      <c r="S29" s="713">
        <f t="shared" si="12"/>
        <v>100</v>
      </c>
      <c r="T29" s="712" t="s">
        <v>17</v>
      </c>
      <c r="U29" s="713">
        <f t="shared" si="13"/>
        <v>100</v>
      </c>
      <c r="V29" s="712" t="s">
        <v>17</v>
      </c>
      <c r="W29" s="713">
        <f t="shared" si="14"/>
        <v>100</v>
      </c>
      <c r="X29" s="1529"/>
      <c r="Y29" s="3365" t="s">
        <v>2380</v>
      </c>
      <c r="Z29" s="1530" t="str">
        <f t="shared" si="15"/>
        <v>建筑类型</v>
      </c>
      <c r="AA29" s="1527">
        <f t="shared" si="3"/>
        <v>1</v>
      </c>
      <c r="AB29" s="1527">
        <f t="shared" si="4"/>
        <v>1</v>
      </c>
      <c r="AC29" s="1527">
        <f t="shared" si="5"/>
        <v>1</v>
      </c>
    </row>
    <row r="30" spans="1:29" s="429" customFormat="1" ht="15">
      <c r="A30" s="426"/>
      <c r="B30" s="380" t="s">
        <v>2381</v>
      </c>
      <c r="C30" s="427"/>
      <c r="D30" s="132">
        <v>100</v>
      </c>
      <c r="E30" s="388"/>
      <c r="F30" s="383" t="e">
        <f>LOOKUP(E30,91:91,92:92)-LOOKUP(C30,91:91,92:92)+100</f>
        <v>#N/A</v>
      </c>
      <c r="G30" s="387"/>
      <c r="H30" s="132" t="e">
        <f>LOOKUP(G30,91:91,92:92)-LOOKUP(C30,91:91,92:92)+100</f>
        <v>#N/A</v>
      </c>
      <c r="I30" s="387"/>
      <c r="J30" s="132" t="e">
        <f>LOOKUP(I30,91:91,92:92)-LOOKUP(C30,91:91,92:92)+100</f>
        <v>#N/A</v>
      </c>
      <c r="K30" s="569"/>
      <c r="L30" s="1044"/>
      <c r="M30" s="1047"/>
      <c r="N30" s="1047"/>
      <c r="O30" s="1048"/>
      <c r="P30" s="3365"/>
      <c r="Q30" s="714" t="str">
        <f t="shared" si="11"/>
        <v>项目建筑规模</v>
      </c>
      <c r="R30" s="715" t="s">
        <v>17</v>
      </c>
      <c r="S30" s="716" t="e">
        <f t="shared" si="12"/>
        <v>#N/A</v>
      </c>
      <c r="T30" s="715" t="s">
        <v>17</v>
      </c>
      <c r="U30" s="716" t="e">
        <f t="shared" si="13"/>
        <v>#N/A</v>
      </c>
      <c r="V30" s="715" t="s">
        <v>17</v>
      </c>
      <c r="W30" s="716" t="e">
        <f t="shared" si="14"/>
        <v>#N/A</v>
      </c>
      <c r="X30" s="717"/>
      <c r="Y30" s="3365"/>
      <c r="Z30" s="718" t="str">
        <f t="shared" si="15"/>
        <v>项目建筑规模</v>
      </c>
      <c r="AA30" s="1527" t="e">
        <f t="shared" si="3"/>
        <v>#N/A</v>
      </c>
      <c r="AB30" s="1527" t="e">
        <f t="shared" si="4"/>
        <v>#N/A</v>
      </c>
      <c r="AC30" s="1527" t="e">
        <f t="shared" si="5"/>
        <v>#N/A</v>
      </c>
    </row>
    <row r="31" spans="1:29" ht="15">
      <c r="A31" s="430"/>
      <c r="B31" s="380" t="s">
        <v>2382</v>
      </c>
      <c r="C31" s="418"/>
      <c r="D31" s="393">
        <v>100</v>
      </c>
      <c r="E31" s="418"/>
      <c r="F31" s="419">
        <f>SUMIF(93:93,E31,94:94)-SUMIF(93:93,C31,94:94)+100</f>
        <v>100</v>
      </c>
      <c r="G31" s="418"/>
      <c r="H31" s="393">
        <f>SUMIF(93:93,G31,94:94)-SUMIF(93:93,C31,94:94)+100</f>
        <v>100</v>
      </c>
      <c r="I31" s="418"/>
      <c r="J31" s="393">
        <f>SUMIF(93:93,I31,94:94)-SUMIF(93:93,C31,94:94)+100</f>
        <v>100</v>
      </c>
      <c r="K31" s="568"/>
      <c r="L31" s="1046"/>
      <c r="M31" s="1037"/>
      <c r="N31" s="1037"/>
      <c r="O31" s="1045"/>
      <c r="P31" s="3365"/>
      <c r="Q31" s="1526" t="str">
        <f t="shared" si="11"/>
        <v>建筑结构</v>
      </c>
      <c r="R31" s="712" t="s">
        <v>17</v>
      </c>
      <c r="S31" s="713">
        <f t="shared" si="12"/>
        <v>100</v>
      </c>
      <c r="T31" s="712" t="s">
        <v>17</v>
      </c>
      <c r="U31" s="713">
        <f t="shared" si="13"/>
        <v>100</v>
      </c>
      <c r="V31" s="712" t="s">
        <v>17</v>
      </c>
      <c r="W31" s="713">
        <f t="shared" si="14"/>
        <v>100</v>
      </c>
      <c r="X31" s="1529"/>
      <c r="Y31" s="3365"/>
      <c r="Z31" s="1530" t="str">
        <f t="shared" si="15"/>
        <v>建筑结构</v>
      </c>
      <c r="AA31" s="1527">
        <f t="shared" si="3"/>
        <v>1</v>
      </c>
      <c r="AB31" s="1527">
        <f t="shared" si="4"/>
        <v>1</v>
      </c>
      <c r="AC31" s="1527">
        <f t="shared" si="5"/>
        <v>1</v>
      </c>
    </row>
    <row r="32" spans="1:29" ht="15">
      <c r="A32" s="430"/>
      <c r="B32" s="380" t="s">
        <v>2476</v>
      </c>
      <c r="C32" s="418"/>
      <c r="D32" s="393">
        <v>100</v>
      </c>
      <c r="E32" s="418"/>
      <c r="F32" s="419">
        <f>SUMIF(95:95,E32,96:96)-SUMIF(95:95,C32,96:96)+100</f>
        <v>100</v>
      </c>
      <c r="G32" s="418"/>
      <c r="H32" s="393">
        <f>SUMIF(95:95,G32,96:96)-SUMIF(95:95,C32,96:96)+100</f>
        <v>100</v>
      </c>
      <c r="I32" s="418"/>
      <c r="J32" s="393">
        <f>SUMIF(95:95,I32,96:96)-SUMIF(95:95,C32,96:96)+100</f>
        <v>100</v>
      </c>
      <c r="K32" s="568"/>
      <c r="L32" s="1046"/>
      <c r="M32" s="1037"/>
      <c r="N32" s="1037"/>
      <c r="O32" s="1045"/>
      <c r="P32" s="3365"/>
      <c r="Q32" s="1526" t="str">
        <f t="shared" si="11"/>
        <v>公共部分装修</v>
      </c>
      <c r="R32" s="712" t="s">
        <v>17</v>
      </c>
      <c r="S32" s="713">
        <f t="shared" si="12"/>
        <v>100</v>
      </c>
      <c r="T32" s="712" t="s">
        <v>17</v>
      </c>
      <c r="U32" s="713">
        <f t="shared" si="13"/>
        <v>100</v>
      </c>
      <c r="V32" s="712" t="s">
        <v>17</v>
      </c>
      <c r="W32" s="713">
        <f t="shared" si="14"/>
        <v>100</v>
      </c>
      <c r="X32" s="1529"/>
      <c r="Y32" s="3365"/>
      <c r="Z32" s="1530" t="str">
        <f t="shared" si="15"/>
        <v>公共部分装修</v>
      </c>
      <c r="AA32" s="1527">
        <f t="shared" si="3"/>
        <v>1</v>
      </c>
      <c r="AB32" s="1527">
        <f t="shared" si="4"/>
        <v>1</v>
      </c>
      <c r="AC32" s="1527">
        <f t="shared" si="5"/>
        <v>1</v>
      </c>
    </row>
    <row r="33" spans="1:29" ht="15">
      <c r="A33" s="430"/>
      <c r="B33" s="380" t="s">
        <v>2477</v>
      </c>
      <c r="C33" s="427"/>
      <c r="D33" s="393">
        <v>100</v>
      </c>
      <c r="E33" s="432"/>
      <c r="F33" s="419" t="e">
        <f>LOOKUP(E33,98:98,99:99)-LOOKUP(C33,98:98,99:99)+100</f>
        <v>#N/A</v>
      </c>
      <c r="G33" s="432"/>
      <c r="H33" s="419" t="e">
        <f>LOOKUP(G33,98:98,99:99)-LOOKUP(C33,98:98,99:99)+100</f>
        <v>#N/A</v>
      </c>
      <c r="I33" s="432"/>
      <c r="J33" s="393" t="e">
        <f>LOOKUP(I33,98:98,99:99)-LOOKUP(C33,98:98,99:99)+100</f>
        <v>#N/A</v>
      </c>
      <c r="K33" s="568"/>
      <c r="L33" s="1046"/>
      <c r="M33" s="1037"/>
      <c r="N33" s="1037"/>
      <c r="O33" s="1045"/>
      <c r="P33" s="3365"/>
      <c r="Q33" s="1526" t="str">
        <f t="shared" si="11"/>
        <v>成新度</v>
      </c>
      <c r="R33" s="712" t="s">
        <v>17</v>
      </c>
      <c r="S33" s="713" t="e">
        <f t="shared" si="12"/>
        <v>#N/A</v>
      </c>
      <c r="T33" s="712" t="s">
        <v>17</v>
      </c>
      <c r="U33" s="713" t="e">
        <f t="shared" si="13"/>
        <v>#N/A</v>
      </c>
      <c r="V33" s="712" t="s">
        <v>17</v>
      </c>
      <c r="W33" s="713" t="e">
        <f t="shared" si="14"/>
        <v>#N/A</v>
      </c>
      <c r="X33" s="1529"/>
      <c r="Y33" s="3365"/>
      <c r="Z33" s="1530" t="str">
        <f t="shared" si="15"/>
        <v>成新度</v>
      </c>
      <c r="AA33" s="1527" t="e">
        <f t="shared" si="3"/>
        <v>#N/A</v>
      </c>
      <c r="AB33" s="1527" t="e">
        <f t="shared" si="4"/>
        <v>#N/A</v>
      </c>
      <c r="AC33" s="1527" t="e">
        <f t="shared" si="5"/>
        <v>#N/A</v>
      </c>
    </row>
    <row r="34" spans="1:29" s="113" customFormat="1" ht="15">
      <c r="A34" s="431"/>
      <c r="B34" s="380" t="s">
        <v>2510</v>
      </c>
      <c r="C34" s="418"/>
      <c r="D34" s="132">
        <v>100</v>
      </c>
      <c r="E34" s="418"/>
      <c r="F34" s="419">
        <f>SUMIF(100:100,E34,101:101)-SUMIF(100:100,C34,101:101)+100</f>
        <v>100</v>
      </c>
      <c r="G34" s="418"/>
      <c r="H34" s="393">
        <f>SUMIF(100:100,G34,101:101)-SUMIF(100:100,C34,101:101)+100</f>
        <v>100</v>
      </c>
      <c r="I34" s="418"/>
      <c r="J34" s="393">
        <f>SUMIF(100:100,I34,101:101)-SUMIF(100:100,C34,101:101)+100</f>
        <v>100</v>
      </c>
      <c r="K34" s="568"/>
      <c r="L34" s="1038"/>
      <c r="M34" s="1039"/>
      <c r="N34" s="1039"/>
      <c r="O34" s="1040"/>
      <c r="P34" s="3365"/>
      <c r="Q34" s="1517" t="str">
        <f t="shared" si="11"/>
        <v>物业管理</v>
      </c>
      <c r="R34" s="708" t="s">
        <v>17</v>
      </c>
      <c r="S34" s="709">
        <f t="shared" si="12"/>
        <v>100</v>
      </c>
      <c r="T34" s="708" t="s">
        <v>17</v>
      </c>
      <c r="U34" s="709">
        <f t="shared" si="13"/>
        <v>100</v>
      </c>
      <c r="V34" s="708" t="s">
        <v>17</v>
      </c>
      <c r="W34" s="709">
        <f t="shared" si="14"/>
        <v>100</v>
      </c>
      <c r="X34" s="710"/>
      <c r="Y34" s="3365"/>
      <c r="Z34" s="55" t="str">
        <f t="shared" si="15"/>
        <v>物业管理</v>
      </c>
      <c r="AA34" s="711">
        <f t="shared" si="3"/>
        <v>1</v>
      </c>
      <c r="AB34" s="711">
        <f t="shared" si="4"/>
        <v>1</v>
      </c>
      <c r="AC34" s="711">
        <f t="shared" si="5"/>
        <v>1</v>
      </c>
    </row>
    <row r="35" spans="1:29" ht="15">
      <c r="A35" s="430"/>
      <c r="B35" s="380" t="s">
        <v>2478</v>
      </c>
      <c r="C35" s="418"/>
      <c r="D35" s="393">
        <v>100</v>
      </c>
      <c r="E35" s="418"/>
      <c r="F35" s="419">
        <f>SUMIF(102:102,E35,103:103)-SUMIF(102:102,C35,103:103)+100</f>
        <v>100</v>
      </c>
      <c r="G35" s="418"/>
      <c r="H35" s="393">
        <f>SUMIF(102:102,G35,103:103)-SUMIF(102:102,C35,103:103)+100</f>
        <v>100</v>
      </c>
      <c r="I35" s="418"/>
      <c r="J35" s="393">
        <f>SUMIF(102:102,I35,103:103)-SUMIF(102:102,C35,103:103)+100</f>
        <v>100</v>
      </c>
      <c r="K35" s="568"/>
      <c r="L35" s="1046"/>
      <c r="M35" s="1037"/>
      <c r="N35" s="1037"/>
      <c r="O35" s="1045"/>
      <c r="P35" s="3365" t="s">
        <v>2380</v>
      </c>
      <c r="Q35" s="1526" t="str">
        <f t="shared" si="11"/>
        <v>市政基础设施</v>
      </c>
      <c r="R35" s="712" t="s">
        <v>17</v>
      </c>
      <c r="S35" s="713">
        <f t="shared" si="12"/>
        <v>100</v>
      </c>
      <c r="T35" s="712" t="s">
        <v>17</v>
      </c>
      <c r="U35" s="713">
        <f t="shared" si="13"/>
        <v>100</v>
      </c>
      <c r="V35" s="712" t="s">
        <v>17</v>
      </c>
      <c r="W35" s="713">
        <f t="shared" si="14"/>
        <v>100</v>
      </c>
      <c r="X35" s="1529"/>
      <c r="Y35" s="3365" t="s">
        <v>2380</v>
      </c>
      <c r="Z35" s="1530" t="str">
        <f t="shared" si="15"/>
        <v>市政基础设施</v>
      </c>
      <c r="AA35" s="1527">
        <f t="shared" si="3"/>
        <v>1</v>
      </c>
      <c r="AB35" s="1527">
        <f t="shared" si="4"/>
        <v>1</v>
      </c>
      <c r="AC35" s="1527">
        <f t="shared" si="5"/>
        <v>1</v>
      </c>
    </row>
    <row r="36" spans="1:29" ht="15">
      <c r="A36" s="430"/>
      <c r="B36" s="380" t="s">
        <v>2483</v>
      </c>
      <c r="C36" s="418"/>
      <c r="D36" s="393">
        <v>100</v>
      </c>
      <c r="E36" s="418"/>
      <c r="F36" s="419">
        <f>SUMIF(104:104,E36,105:105)-SUMIF(104:104,C36,105:105)+100</f>
        <v>100</v>
      </c>
      <c r="G36" s="418"/>
      <c r="H36" s="393">
        <f>SUMIF(104:104,G36,105:105)-SUMIF(104:104,C36,105:105)+100</f>
        <v>100</v>
      </c>
      <c r="I36" s="418"/>
      <c r="J36" s="393">
        <f>SUMIF(104:104,I36,105:105)-SUMIF(104:104,C36,105:105)+100</f>
        <v>100</v>
      </c>
      <c r="K36" s="568"/>
      <c r="L36" s="1046"/>
      <c r="M36" s="1037"/>
      <c r="N36" s="1037"/>
      <c r="O36" s="1045"/>
      <c r="P36" s="3365"/>
      <c r="Q36" s="1526" t="str">
        <f t="shared" si="11"/>
        <v>内部装修</v>
      </c>
      <c r="R36" s="712" t="s">
        <v>17</v>
      </c>
      <c r="S36" s="713">
        <f t="shared" si="12"/>
        <v>100</v>
      </c>
      <c r="T36" s="712" t="s">
        <v>17</v>
      </c>
      <c r="U36" s="713">
        <f t="shared" si="13"/>
        <v>100</v>
      </c>
      <c r="V36" s="712" t="s">
        <v>17</v>
      </c>
      <c r="W36" s="713">
        <f t="shared" si="14"/>
        <v>100</v>
      </c>
      <c r="X36" s="1529"/>
      <c r="Y36" s="3365"/>
      <c r="Z36" s="1530" t="str">
        <f t="shared" si="15"/>
        <v>内部装修</v>
      </c>
      <c r="AA36" s="1527">
        <f t="shared" si="3"/>
        <v>1</v>
      </c>
      <c r="AB36" s="1527">
        <f t="shared" si="4"/>
        <v>1</v>
      </c>
      <c r="AC36" s="1527">
        <f t="shared" si="5"/>
        <v>1</v>
      </c>
    </row>
    <row r="37" spans="1:29" ht="15">
      <c r="A37" s="430"/>
      <c r="B37" s="380" t="s">
        <v>2519</v>
      </c>
      <c r="C37" s="572"/>
      <c r="D37" s="393">
        <v>100</v>
      </c>
      <c r="E37" s="572"/>
      <c r="F37" s="419">
        <f>SUMIF(106:106,E37,107:107)-SUMIF(106:106,C37,107:107)+100</f>
        <v>100</v>
      </c>
      <c r="G37" s="572"/>
      <c r="H37" s="393">
        <f>SUMIF(106:106,G37,107:107)-SUMIF(106:106,C37,107:107)+100</f>
        <v>100</v>
      </c>
      <c r="I37" s="572"/>
      <c r="J37" s="393">
        <f>SUMIF(106:106,I37,107:107)-SUMIF(106:106,C37,107:107)+100</f>
        <v>100</v>
      </c>
      <c r="K37" s="568"/>
      <c r="L37" s="1046"/>
      <c r="M37" s="1037"/>
      <c r="N37" s="1037"/>
      <c r="O37" s="1045"/>
      <c r="P37" s="3365"/>
      <c r="Q37" s="1526" t="str">
        <f t="shared" si="11"/>
        <v>内部装修状况</v>
      </c>
      <c r="R37" s="712" t="s">
        <v>17</v>
      </c>
      <c r="S37" s="713">
        <f t="shared" si="12"/>
        <v>100</v>
      </c>
      <c r="T37" s="712" t="s">
        <v>17</v>
      </c>
      <c r="U37" s="713">
        <f t="shared" si="13"/>
        <v>100</v>
      </c>
      <c r="V37" s="712" t="s">
        <v>17</v>
      </c>
      <c r="W37" s="713">
        <f t="shared" si="14"/>
        <v>100</v>
      </c>
      <c r="X37" s="1529"/>
      <c r="Y37" s="3365"/>
      <c r="Z37" s="1530" t="str">
        <f t="shared" si="15"/>
        <v>内部装修状况</v>
      </c>
      <c r="AA37" s="1527">
        <f t="shared" si="3"/>
        <v>1</v>
      </c>
      <c r="AB37" s="1527">
        <f t="shared" si="4"/>
        <v>1</v>
      </c>
      <c r="AC37" s="1527">
        <f t="shared" si="5"/>
        <v>1</v>
      </c>
    </row>
    <row r="38" spans="1:29" s="429" customFormat="1" ht="15">
      <c r="A38" s="426"/>
      <c r="B38" s="1286">
        <v>111</v>
      </c>
      <c r="C38" s="427"/>
      <c r="D38" s="393">
        <v>100</v>
      </c>
      <c r="E38" s="392"/>
      <c r="F38" s="419">
        <f>SUMIF(108:108,E38,109:109)-SUMIF(108:108,C38,109:109)+100</f>
        <v>100</v>
      </c>
      <c r="G38" s="427"/>
      <c r="H38" s="393">
        <f>SUMIF(108:108,G38,109:109)-SUMIF(108:108,C38,109:109)+100</f>
        <v>100</v>
      </c>
      <c r="I38" s="427"/>
      <c r="J38" s="393">
        <f>SUMIF(108:108,I38,109:1038)-SUMIF(108:108,C38,109:109)+100</f>
        <v>100</v>
      </c>
      <c r="K38" s="569"/>
      <c r="L38" s="1044"/>
      <c r="M38" s="1047"/>
      <c r="N38" s="1047"/>
      <c r="O38" s="1048"/>
      <c r="P38" s="3365"/>
      <c r="Q38" s="714">
        <f t="shared" si="11"/>
        <v>111</v>
      </c>
      <c r="R38" s="715" t="s">
        <v>17</v>
      </c>
      <c r="S38" s="716">
        <f t="shared" si="12"/>
        <v>100</v>
      </c>
      <c r="T38" s="715" t="s">
        <v>17</v>
      </c>
      <c r="U38" s="716">
        <f t="shared" si="13"/>
        <v>100</v>
      </c>
      <c r="V38" s="715" t="s">
        <v>17</v>
      </c>
      <c r="W38" s="716">
        <f t="shared" si="14"/>
        <v>100</v>
      </c>
      <c r="X38" s="717"/>
      <c r="Y38" s="3365"/>
      <c r="Z38" s="718">
        <f t="shared" si="15"/>
        <v>111</v>
      </c>
      <c r="AA38" s="1527">
        <f t="shared" si="3"/>
        <v>1</v>
      </c>
      <c r="AB38" s="1527">
        <f t="shared" si="4"/>
        <v>1</v>
      </c>
      <c r="AC38" s="1527">
        <f t="shared" si="5"/>
        <v>1</v>
      </c>
    </row>
    <row r="39" spans="1:29" ht="15">
      <c r="A39" s="430"/>
      <c r="B39" s="1286">
        <v>111</v>
      </c>
      <c r="C39" s="427"/>
      <c r="D39" s="393">
        <v>100</v>
      </c>
      <c r="E39" s="392"/>
      <c r="F39" s="419">
        <f>SUMIF(110:110,E39,111:111)-SUMIF(110:110,C39,111:111)+100</f>
        <v>100</v>
      </c>
      <c r="G39" s="427"/>
      <c r="H39" s="393">
        <f>SUMIF(110:110,G39,111:111)-SUMIF(110:110,C39,111:111)+100</f>
        <v>100</v>
      </c>
      <c r="I39" s="427"/>
      <c r="J39" s="393">
        <f>SUMIF(110:110,I39,111:111)-SUMIF(110:110,C39,111:111)+100</f>
        <v>100</v>
      </c>
      <c r="K39" s="569"/>
      <c r="L39" s="1046"/>
      <c r="M39" s="1037"/>
      <c r="N39" s="1037"/>
      <c r="O39" s="1045"/>
      <c r="P39" s="3365"/>
      <c r="Q39" s="1526">
        <f t="shared" si="11"/>
        <v>111</v>
      </c>
      <c r="R39" s="712" t="s">
        <v>17</v>
      </c>
      <c r="S39" s="713">
        <f t="shared" si="12"/>
        <v>100</v>
      </c>
      <c r="T39" s="712" t="s">
        <v>17</v>
      </c>
      <c r="U39" s="713">
        <f t="shared" si="13"/>
        <v>100</v>
      </c>
      <c r="V39" s="712" t="s">
        <v>17</v>
      </c>
      <c r="W39" s="713">
        <f t="shared" si="14"/>
        <v>100</v>
      </c>
      <c r="X39" s="1529"/>
      <c r="Y39" s="3365"/>
      <c r="Z39" s="1530">
        <f t="shared" si="15"/>
        <v>111</v>
      </c>
      <c r="AA39" s="1527">
        <f t="shared" si="3"/>
        <v>1</v>
      </c>
      <c r="AB39" s="1527">
        <f t="shared" si="4"/>
        <v>1</v>
      </c>
      <c r="AC39" s="1527">
        <f t="shared" si="5"/>
        <v>1</v>
      </c>
    </row>
    <row r="40" spans="1:29" ht="15.75" thickBot="1">
      <c r="A40" s="436"/>
      <c r="B40" s="2068">
        <v>111</v>
      </c>
      <c r="C40" s="395"/>
      <c r="D40" s="396">
        <v>100</v>
      </c>
      <c r="E40" s="392"/>
      <c r="F40" s="397">
        <f>SUMIF(112:112,E40,113:113)-SUMIF(112:112,C40,113:113)+100</f>
        <v>100</v>
      </c>
      <c r="G40" s="427"/>
      <c r="H40" s="396">
        <f>SUMIF(112:112,G40,113:113)-SUMIF(112:112,C40,113:113)+100</f>
        <v>100</v>
      </c>
      <c r="I40" s="427"/>
      <c r="J40" s="396">
        <f>SUMIF(112:112,I40,113:113)-SUMIF(112:112,C40,113:113)+100</f>
        <v>100</v>
      </c>
      <c r="K40" s="569"/>
      <c r="L40" s="1046"/>
      <c r="M40" s="1037"/>
      <c r="N40" s="1037"/>
      <c r="O40" s="1045"/>
      <c r="P40" s="3461"/>
      <c r="Q40" s="1526">
        <f t="shared" si="11"/>
        <v>111</v>
      </c>
      <c r="R40" s="712" t="s">
        <v>17</v>
      </c>
      <c r="S40" s="713">
        <f t="shared" si="12"/>
        <v>100</v>
      </c>
      <c r="T40" s="712" t="s">
        <v>17</v>
      </c>
      <c r="U40" s="713">
        <f t="shared" si="13"/>
        <v>100</v>
      </c>
      <c r="V40" s="712" t="s">
        <v>17</v>
      </c>
      <c r="W40" s="713">
        <f t="shared" si="14"/>
        <v>100</v>
      </c>
      <c r="X40" s="1529"/>
      <c r="Y40" s="3461"/>
      <c r="Z40" s="1530">
        <f t="shared" si="15"/>
        <v>111</v>
      </c>
      <c r="AA40" s="1527">
        <f t="shared" si="3"/>
        <v>1</v>
      </c>
      <c r="AB40" s="1527">
        <f t="shared" si="4"/>
        <v>1</v>
      </c>
      <c r="AC40" s="1527">
        <f t="shared" si="5"/>
        <v>1</v>
      </c>
    </row>
    <row r="41" spans="1:29" ht="15">
      <c r="A41" s="437" t="s">
        <v>2392</v>
      </c>
      <c r="B41" s="438"/>
      <c r="C41" s="1305" t="s">
        <v>1</v>
      </c>
      <c r="D41" s="1306"/>
      <c r="E41" s="1307"/>
      <c r="F41" s="1308"/>
      <c r="G41" s="1309"/>
      <c r="H41" s="1310"/>
      <c r="I41" s="1307"/>
      <c r="J41" s="1310"/>
      <c r="K41" s="721"/>
      <c r="L41" s="1049"/>
      <c r="M41" s="1050"/>
      <c r="N41" s="1037"/>
      <c r="O41" s="1050"/>
      <c r="P41" s="3360" t="str">
        <f>A41</f>
        <v>成交单价（元/平方米）</v>
      </c>
      <c r="Q41" s="3360"/>
      <c r="R41" s="3457">
        <f>E41</f>
        <v>0</v>
      </c>
      <c r="S41" s="3457"/>
      <c r="T41" s="3457">
        <f>G41</f>
        <v>0</v>
      </c>
      <c r="U41" s="3457"/>
      <c r="V41" s="3457">
        <f>I41</f>
        <v>0</v>
      </c>
      <c r="W41" s="3457"/>
      <c r="X41" s="697"/>
      <c r="Y41" s="719"/>
      <c r="Z41" s="697"/>
      <c r="AA41" s="697"/>
      <c r="AB41" s="697"/>
      <c r="AC41" s="697"/>
    </row>
    <row r="42" spans="1:29" ht="15.75" thickBot="1">
      <c r="A42" s="444" t="s">
        <v>2484</v>
      </c>
      <c r="B42" s="445"/>
      <c r="C42" s="1311" t="e">
        <f>R43</f>
        <v>#DIV/0!</v>
      </c>
      <c r="D42" s="2522" t="s">
        <v>2864</v>
      </c>
      <c r="E42" s="1312" t="e">
        <f>R42</f>
        <v>#DIV/0!</v>
      </c>
      <c r="F42" s="2523"/>
      <c r="G42" s="1311" t="e">
        <f>T42</f>
        <v>#DIV/0!</v>
      </c>
      <c r="H42" s="2523"/>
      <c r="I42" s="1312" t="e">
        <f>V42</f>
        <v>#DIV/0!</v>
      </c>
      <c r="J42" s="2523"/>
      <c r="K42" s="2525">
        <f>F42+H42+J42</f>
        <v>0</v>
      </c>
      <c r="L42" s="1049"/>
      <c r="M42" s="1050"/>
      <c r="N42" s="1037"/>
      <c r="O42" s="1050"/>
      <c r="P42" s="3360" t="str">
        <f>A42</f>
        <v>比较价值（元/平方米）</v>
      </c>
      <c r="Q42" s="3360"/>
      <c r="R42" s="3457" t="e">
        <f>IF(F1="售价",ROUND(PRODUCT(R41,AA7:AA40),0),ROUND(PRODUCT(R41,AA7:AA40),1))</f>
        <v>#DIV/0!</v>
      </c>
      <c r="S42" s="3457"/>
      <c r="T42" s="3457" t="e">
        <f>IF(F1="售价",ROUND(PRODUCT(T41,AB7:AB40),0),ROUND(PRODUCT(T41,AB7:AB40),1))</f>
        <v>#DIV/0!</v>
      </c>
      <c r="U42" s="3457"/>
      <c r="V42" s="3457" t="e">
        <f>IF(F1="售价",ROUND(PRODUCT(V41,AC7:AC40),0),ROUND(PRODUCT(V41,AC7:AC40),1))</f>
        <v>#DIV/0!</v>
      </c>
      <c r="W42" s="3457"/>
      <c r="X42" s="697"/>
      <c r="Y42" s="697"/>
      <c r="Z42" s="697"/>
      <c r="AA42" s="697"/>
      <c r="AB42" s="697"/>
      <c r="AC42" s="697"/>
    </row>
    <row r="43" spans="1:29" ht="15.75" thickBot="1">
      <c r="A43" s="448" t="s">
        <v>2485</v>
      </c>
      <c r="B43" s="449"/>
      <c r="C43" s="1314" t="e">
        <f>R43</f>
        <v>#DIV/0!</v>
      </c>
      <c r="D43" s="1314"/>
      <c r="E43" s="1314"/>
      <c r="F43" s="1314"/>
      <c r="G43" s="1314"/>
      <c r="H43" s="1314"/>
      <c r="I43" s="1314"/>
      <c r="J43" s="1314"/>
      <c r="K43" s="722"/>
      <c r="L43" s="1049"/>
      <c r="M43" s="1050"/>
      <c r="N43" s="1050"/>
      <c r="O43" s="1050"/>
      <c r="P43" s="3354" t="str">
        <f>A43</f>
        <v>估价对象XX用房的比较价值（楼面单价，元/平方米）</v>
      </c>
      <c r="Q43" s="3355"/>
      <c r="R43" s="3456" t="e">
        <f>IF(F1="售价",ROUND(IF(D42="简单平均",AVERAGE(R42:V42),R42*F42+T42*H42+V42*J42),0),ROUND(IF(D42="简单平均",AVERAGE(R42:V42),R42*F42+T42*H42+V42*J42),1))</f>
        <v>#DIV/0!</v>
      </c>
      <c r="S43" s="3456"/>
      <c r="T43" s="3456"/>
      <c r="U43" s="3456"/>
      <c r="V43" s="3456"/>
      <c r="W43" s="3456"/>
      <c r="X43" s="697"/>
      <c r="Y43" s="697"/>
      <c r="Z43" s="697"/>
      <c r="AA43" s="697"/>
      <c r="AB43" s="697"/>
      <c r="AC43" s="697"/>
    </row>
    <row r="44" spans="1:29">
      <c r="A44" s="2935"/>
      <c r="B44" s="2935"/>
      <c r="C44" s="2935"/>
      <c r="D44" s="2935"/>
      <c r="E44" s="2935"/>
      <c r="F44" s="2935"/>
      <c r="G44" s="2939"/>
      <c r="H44" s="2935"/>
      <c r="I44" s="2935"/>
      <c r="J44" s="2935"/>
      <c r="K44" s="2940"/>
      <c r="L44" s="1016"/>
      <c r="M44" s="1050"/>
      <c r="N44" s="1050"/>
      <c r="O44" s="1050"/>
    </row>
    <row r="45" spans="1:29">
      <c r="A45" s="2935"/>
      <c r="B45" s="2935"/>
      <c r="C45" s="2935"/>
      <c r="D45" s="2935"/>
      <c r="E45" s="2935"/>
      <c r="F45" s="2935"/>
      <c r="G45" s="2935"/>
      <c r="H45" s="2935"/>
      <c r="I45" s="2935"/>
      <c r="J45" s="2935"/>
      <c r="K45" s="2940"/>
      <c r="L45" s="1016"/>
      <c r="M45" s="1050"/>
      <c r="N45" s="1050"/>
      <c r="O45" s="1050"/>
    </row>
    <row r="46" spans="1:29" ht="13.5" customHeight="1">
      <c r="A46" s="2935"/>
      <c r="B46" s="2935"/>
      <c r="C46" s="453" t="s">
        <v>2486</v>
      </c>
      <c r="D46" s="454"/>
      <c r="E46" s="455" t="e">
        <f>IF(E41&lt;E42,E42/E41-1,E41/E42-1)</f>
        <v>#DIV/0!</v>
      </c>
      <c r="F46" s="456" t="e">
        <f>IF(OR(E46&gt;=0.3,E46&lt;=-0.3),"超过30%","")</f>
        <v>#DIV/0!</v>
      </c>
      <c r="G46" s="455" t="e">
        <f>IF(G41&lt;G42,G42/G41-1,G41/G42-1)</f>
        <v>#DIV/0!</v>
      </c>
      <c r="H46" s="456" t="e">
        <f>IF(OR(G46&gt;=0.3,G46&lt;=-0.3),"超过30%","")</f>
        <v>#DIV/0!</v>
      </c>
      <c r="I46" s="455" t="e">
        <f>IF(I41&lt;I42,I42/I41-1,I41/I42-1)</f>
        <v>#DIV/0!</v>
      </c>
      <c r="J46" s="456" t="e">
        <f>IF(OR(I46&gt;=0.3,I46&lt;=-0.3),"超过30%","")</f>
        <v>#DIV/0!</v>
      </c>
      <c r="K46" s="2940"/>
      <c r="L46" s="1016"/>
      <c r="M46" s="1050"/>
      <c r="N46" s="1050"/>
      <c r="O46" s="1050"/>
    </row>
    <row r="47" spans="1:29" ht="13.5" customHeight="1">
      <c r="A47" s="2935"/>
      <c r="B47" s="2935"/>
      <c r="C47" s="453" t="s">
        <v>2487</v>
      </c>
      <c r="D47" s="457"/>
      <c r="E47" s="455" t="e">
        <f>IF(E42&lt;G42,G42/E42-1,E42/G42-1)</f>
        <v>#DIV/0!</v>
      </c>
      <c r="F47" s="456" t="e">
        <f>IF(OR(E47&gt;=0.2,E47&lt;=-0.2),"超过20%","")</f>
        <v>#DIV/0!</v>
      </c>
      <c r="G47" s="455" t="e">
        <f>IF(G42&lt;I42,I42/G42-1,G42/I42-1)</f>
        <v>#DIV/0!</v>
      </c>
      <c r="H47" s="456" t="e">
        <f>IF(OR(G47&gt;=0.2,G47&lt;=-0.2),"超过20%","")</f>
        <v>#DIV/0!</v>
      </c>
      <c r="I47" s="455" t="e">
        <f>IF(I42&lt;E42,E42/I42-1,I42/E42-1)</f>
        <v>#DIV/0!</v>
      </c>
      <c r="J47" s="456" t="e">
        <f>IF(OR(I47&gt;=0.2,I47&lt;=-0.2),"超过20%","")</f>
        <v>#DIV/0!</v>
      </c>
      <c r="K47" s="2940"/>
      <c r="L47" s="1016"/>
      <c r="M47" s="1050"/>
      <c r="N47" s="1050"/>
      <c r="O47" s="1050"/>
    </row>
    <row r="48" spans="1:29" s="458" customFormat="1" ht="13.5" customHeight="1">
      <c r="A48" s="2938"/>
      <c r="B48" s="2938"/>
      <c r="C48" s="453" t="s">
        <v>2488</v>
      </c>
      <c r="D48" s="457"/>
      <c r="E48" s="455" t="e">
        <f>IF(E41&lt;G41,G41/E41-1,E41/G41-1)</f>
        <v>#DIV/0!</v>
      </c>
      <c r="F48" s="456" t="e">
        <f>IF(OR(E48&gt;=0.3,E48&lt;=-0.3),"超过30%","")</f>
        <v>#DIV/0!</v>
      </c>
      <c r="G48" s="455" t="e">
        <f>IF(G41&lt;I41,I41/G41-1,G41/I41-1)</f>
        <v>#DIV/0!</v>
      </c>
      <c r="H48" s="456" t="e">
        <f>IF(OR(G48&gt;=0.3,G48&lt;=-0.3),"超过30%","")</f>
        <v>#DIV/0!</v>
      </c>
      <c r="I48" s="455" t="e">
        <f>IF(I41&lt;E41,E41/I41-1,I41/E41-1)</f>
        <v>#DIV/0!</v>
      </c>
      <c r="J48" s="456" t="e">
        <f>IF(OR(I48&gt;=0.3,I48&lt;=-0.3),"超过30%","")</f>
        <v>#DIV/0!</v>
      </c>
      <c r="K48" s="2943"/>
      <c r="L48" s="1053"/>
      <c r="M48" s="1051"/>
      <c r="N48" s="1051"/>
      <c r="O48" s="1051"/>
    </row>
    <row r="49" spans="1:17" s="458" customFormat="1">
      <c r="A49" s="2938"/>
      <c r="B49" s="2941"/>
      <c r="C49" s="2942"/>
      <c r="D49" s="2938"/>
      <c r="E49" s="2938"/>
      <c r="F49" s="2938"/>
      <c r="G49" s="2938"/>
      <c r="H49" s="2938"/>
      <c r="I49" s="2938"/>
      <c r="J49" s="2938"/>
      <c r="K49" s="2943"/>
      <c r="L49" s="1053"/>
      <c r="M49" s="1051"/>
      <c r="N49" s="1051"/>
      <c r="O49" s="1051"/>
    </row>
    <row r="50" spans="1:17">
      <c r="A50" s="2935"/>
      <c r="B50" s="2941"/>
      <c r="C50" s="2942"/>
      <c r="D50" s="2935"/>
      <c r="E50" s="2935"/>
      <c r="F50" s="2935"/>
      <c r="G50" s="2935"/>
      <c r="H50" s="2935"/>
      <c r="I50" s="2935"/>
      <c r="J50" s="2935"/>
      <c r="K50" s="2940"/>
      <c r="L50" s="1016"/>
      <c r="M50" s="1050"/>
      <c r="N50" s="1050"/>
      <c r="O50" s="1050"/>
    </row>
    <row r="51" spans="1:17" ht="21.75" thickBot="1">
      <c r="A51" s="701" t="s">
        <v>2489</v>
      </c>
      <c r="B51" s="697"/>
      <c r="C51" s="702"/>
      <c r="D51" s="702"/>
      <c r="E51" s="702"/>
      <c r="F51" s="703"/>
      <c r="G51" s="703"/>
      <c r="H51" s="702"/>
      <c r="I51" s="702"/>
      <c r="J51" s="702"/>
      <c r="K51" s="1064"/>
      <c r="L51" s="1065"/>
      <c r="M51" s="1063"/>
      <c r="N51" s="1063"/>
      <c r="O51" s="1063"/>
      <c r="P51" s="459"/>
      <c r="Q51" s="460"/>
    </row>
    <row r="52" spans="1:17" s="464" customFormat="1" ht="15">
      <c r="A52" s="461" t="s">
        <v>2363</v>
      </c>
      <c r="B52" s="462"/>
      <c r="C52" s="1334" t="str">
        <f>YEAR(C7)&amp;"-"&amp;MONTH(C7)</f>
        <v>2021-3</v>
      </c>
      <c r="D52" s="1335">
        <f>EDATE(C52,-1)</f>
        <v>44228</v>
      </c>
      <c r="E52" s="1335">
        <f t="shared" ref="E52:O52" si="16">EDATE(D52,-1)</f>
        <v>44197</v>
      </c>
      <c r="F52" s="1335">
        <f t="shared" si="16"/>
        <v>44166</v>
      </c>
      <c r="G52" s="1335">
        <f t="shared" si="16"/>
        <v>44136</v>
      </c>
      <c r="H52" s="1335">
        <f t="shared" si="16"/>
        <v>44105</v>
      </c>
      <c r="I52" s="1335">
        <f t="shared" si="16"/>
        <v>44075</v>
      </c>
      <c r="J52" s="1335">
        <f t="shared" si="16"/>
        <v>44044</v>
      </c>
      <c r="K52" s="1335">
        <f t="shared" si="16"/>
        <v>44013</v>
      </c>
      <c r="L52" s="1335">
        <f t="shared" si="16"/>
        <v>43983</v>
      </c>
      <c r="M52" s="1335">
        <f t="shared" si="16"/>
        <v>43952</v>
      </c>
      <c r="N52" s="1335">
        <f t="shared" si="16"/>
        <v>43922</v>
      </c>
      <c r="O52" s="1335">
        <f t="shared" si="16"/>
        <v>43891</v>
      </c>
      <c r="P52" s="463"/>
    </row>
    <row r="53" spans="1:17" s="113" customFormat="1" ht="15">
      <c r="A53" s="465"/>
      <c r="B53" s="466"/>
      <c r="C53" s="1333">
        <v>100</v>
      </c>
      <c r="D53" s="468"/>
      <c r="E53" s="468"/>
      <c r="F53" s="468"/>
      <c r="G53" s="468"/>
      <c r="H53" s="468"/>
      <c r="I53" s="468"/>
      <c r="J53" s="468"/>
      <c r="K53" s="468"/>
      <c r="L53" s="468"/>
      <c r="M53" s="469"/>
      <c r="N53" s="468"/>
      <c r="O53" s="470"/>
      <c r="P53" s="460"/>
    </row>
    <row r="54" spans="1:17" s="113" customFormat="1" ht="15.75" thickBot="1">
      <c r="A54" s="471" t="s">
        <v>2400</v>
      </c>
      <c r="B54" s="472"/>
      <c r="C54" s="473"/>
      <c r="D54" s="474"/>
      <c r="E54" s="474"/>
      <c r="F54" s="474"/>
      <c r="G54" s="474"/>
      <c r="H54" s="474"/>
      <c r="I54" s="474"/>
      <c r="J54" s="474"/>
      <c r="K54" s="474"/>
      <c r="L54" s="474"/>
      <c r="M54" s="475"/>
      <c r="N54" s="2980"/>
      <c r="O54" s="2981"/>
      <c r="P54" s="460"/>
      <c r="Q54" s="460"/>
    </row>
    <row r="55" spans="1:17" s="113" customFormat="1" ht="15">
      <c r="A55" s="477" t="s">
        <v>2365</v>
      </c>
      <c r="B55" s="466"/>
      <c r="C55" s="478" t="s">
        <v>2467</v>
      </c>
      <c r="D55" s="479"/>
      <c r="E55" s="479"/>
      <c r="F55" s="479"/>
      <c r="G55" s="479"/>
      <c r="H55" s="479"/>
      <c r="I55" s="479"/>
      <c r="J55" s="479"/>
      <c r="K55" s="479"/>
      <c r="L55" s="480"/>
      <c r="M55" s="481"/>
      <c r="N55" s="1055"/>
      <c r="O55" s="1055"/>
      <c r="P55" s="482"/>
      <c r="Q55" s="460"/>
    </row>
    <row r="56" spans="1:17" s="113" customFormat="1" ht="15.75" thickBot="1">
      <c r="A56" s="477"/>
      <c r="B56" s="466"/>
      <c r="C56" s="594">
        <v>100</v>
      </c>
      <c r="D56" s="468"/>
      <c r="E56" s="468"/>
      <c r="F56" s="468"/>
      <c r="G56" s="468"/>
      <c r="H56" s="468"/>
      <c r="I56" s="468"/>
      <c r="J56" s="468"/>
      <c r="K56" s="468"/>
      <c r="L56" s="468"/>
      <c r="M56" s="470"/>
      <c r="N56" s="1055"/>
      <c r="O56" s="1055"/>
      <c r="P56" s="460"/>
      <c r="Q56" s="460"/>
    </row>
    <row r="57" spans="1:17">
      <c r="A57" s="483" t="s">
        <v>2403</v>
      </c>
      <c r="B57" s="484" t="s">
        <v>2369</v>
      </c>
      <c r="C57" s="485">
        <f>C9</f>
        <v>0</v>
      </c>
      <c r="D57" s="486"/>
      <c r="E57" s="486"/>
      <c r="F57" s="486"/>
      <c r="G57" s="486"/>
      <c r="H57" s="486"/>
      <c r="I57" s="486"/>
      <c r="J57" s="486"/>
      <c r="K57" s="487"/>
      <c r="L57" s="488"/>
      <c r="M57" s="489"/>
      <c r="N57" s="1056"/>
      <c r="O57" s="1056"/>
      <c r="P57" s="45"/>
      <c r="Q57" s="460"/>
    </row>
    <row r="58" spans="1:17" ht="15.75" thickBot="1">
      <c r="A58" s="490"/>
      <c r="B58" s="491"/>
      <c r="C58" s="492">
        <v>100</v>
      </c>
      <c r="D58" s="492"/>
      <c r="E58" s="492"/>
      <c r="F58" s="492"/>
      <c r="G58" s="492"/>
      <c r="H58" s="492"/>
      <c r="I58" s="492"/>
      <c r="J58" s="492"/>
      <c r="K58" s="492"/>
      <c r="L58" s="492"/>
      <c r="M58" s="493"/>
      <c r="N58" s="1057"/>
      <c r="O58" s="1057"/>
      <c r="P58" s="45"/>
      <c r="Q58" s="460"/>
    </row>
    <row r="59" spans="1:17" ht="27.75" thickTop="1">
      <c r="A59" s="490"/>
      <c r="B59" s="494" t="s">
        <v>2372</v>
      </c>
      <c r="C59" s="495" t="s">
        <v>2404</v>
      </c>
      <c r="D59" s="495" t="s">
        <v>2405</v>
      </c>
      <c r="E59" s="495" t="s">
        <v>2406</v>
      </c>
      <c r="F59" s="495" t="s">
        <v>2407</v>
      </c>
      <c r="G59" s="495" t="s">
        <v>2408</v>
      </c>
      <c r="H59" s="495" t="s">
        <v>2409</v>
      </c>
      <c r="I59" s="495" t="s">
        <v>2410</v>
      </c>
      <c r="J59" s="495"/>
      <c r="K59" s="496"/>
      <c r="L59" s="497"/>
      <c r="M59" s="498"/>
      <c r="N59" s="1056"/>
      <c r="O59" s="1056"/>
      <c r="P59" s="45"/>
      <c r="Q59" s="460"/>
    </row>
    <row r="60" spans="1:17" ht="15.75" thickBot="1">
      <c r="A60" s="490"/>
      <c r="B60" s="499"/>
      <c r="C60" s="500" t="s">
        <v>24</v>
      </c>
      <c r="D60" s="500" t="s">
        <v>25</v>
      </c>
      <c r="E60" s="500">
        <v>100</v>
      </c>
      <c r="F60" s="500">
        <f>E60-$K10</f>
        <v>100</v>
      </c>
      <c r="G60" s="500">
        <f>F60-$K10</f>
        <v>100</v>
      </c>
      <c r="H60" s="500">
        <f>G60-$K10</f>
        <v>100</v>
      </c>
      <c r="I60" s="500">
        <f>H60-$K10</f>
        <v>100</v>
      </c>
      <c r="J60" s="500"/>
      <c r="K60" s="500"/>
      <c r="L60" s="500"/>
      <c r="M60" s="501"/>
      <c r="N60" s="1057"/>
      <c r="O60" s="1057"/>
      <c r="P60" s="45"/>
      <c r="Q60" s="460"/>
    </row>
    <row r="61" spans="1:17" ht="15.75" thickTop="1">
      <c r="A61" s="490"/>
      <c r="B61" s="502" t="s">
        <v>2373</v>
      </c>
      <c r="C61" s="503" t="str">
        <f>C62&amp;"（含）"&amp;"-"&amp;D62</f>
        <v>（含）-</v>
      </c>
      <c r="D61" s="503" t="str">
        <f t="shared" ref="D61:L61" si="17">D62&amp;"（含）"&amp;"-"&amp;E62</f>
        <v>（含）-</v>
      </c>
      <c r="E61" s="503" t="str">
        <f t="shared" si="17"/>
        <v>（含）-</v>
      </c>
      <c r="F61" s="503" t="str">
        <f t="shared" si="17"/>
        <v>（含）-</v>
      </c>
      <c r="G61" s="503" t="str">
        <f t="shared" si="17"/>
        <v>（含）-</v>
      </c>
      <c r="H61" s="503" t="str">
        <f t="shared" si="17"/>
        <v>（含）-</v>
      </c>
      <c r="I61" s="503" t="str">
        <f t="shared" si="17"/>
        <v>（含）-</v>
      </c>
      <c r="J61" s="503" t="str">
        <f t="shared" si="17"/>
        <v>（含）-</v>
      </c>
      <c r="K61" s="503" t="str">
        <f t="shared" si="17"/>
        <v>（含）-</v>
      </c>
      <c r="L61" s="503" t="str">
        <f t="shared" si="17"/>
        <v>（含）-</v>
      </c>
      <c r="M61" s="406" t="str">
        <f>M62&amp;"（含）"&amp;"-"&amp;P62</f>
        <v>（含）-</v>
      </c>
      <c r="N61" s="1057"/>
      <c r="O61" s="1057"/>
      <c r="P61" s="45"/>
      <c r="Q61" s="460"/>
    </row>
    <row r="62" spans="1:17" ht="15">
      <c r="A62" s="490"/>
      <c r="B62" s="504"/>
      <c r="C62" s="505"/>
      <c r="D62" s="505"/>
      <c r="E62" s="505"/>
      <c r="F62" s="505"/>
      <c r="G62" s="505"/>
      <c r="H62" s="505"/>
      <c r="I62" s="505"/>
      <c r="J62" s="505"/>
      <c r="K62" s="506"/>
      <c r="L62" s="507"/>
      <c r="M62" s="508"/>
      <c r="N62" s="1056"/>
      <c r="O62" s="1056"/>
      <c r="P62" s="45"/>
      <c r="Q62" s="460"/>
    </row>
    <row r="63" spans="1:17" ht="15.75" thickBot="1">
      <c r="A63" s="490"/>
      <c r="B63" s="491"/>
      <c r="C63" s="500">
        <v>100</v>
      </c>
      <c r="D63" s="500">
        <f t="shared" ref="D63:M63" si="18">C63-$K11</f>
        <v>100</v>
      </c>
      <c r="E63" s="500">
        <f t="shared" si="18"/>
        <v>100</v>
      </c>
      <c r="F63" s="500">
        <f t="shared" si="18"/>
        <v>100</v>
      </c>
      <c r="G63" s="500">
        <f t="shared" si="18"/>
        <v>100</v>
      </c>
      <c r="H63" s="500">
        <f t="shared" si="18"/>
        <v>100</v>
      </c>
      <c r="I63" s="500">
        <f t="shared" si="18"/>
        <v>100</v>
      </c>
      <c r="J63" s="500">
        <f t="shared" si="18"/>
        <v>100</v>
      </c>
      <c r="K63" s="500">
        <f t="shared" si="18"/>
        <v>100</v>
      </c>
      <c r="L63" s="500">
        <f t="shared" si="18"/>
        <v>100</v>
      </c>
      <c r="M63" s="501">
        <f t="shared" si="18"/>
        <v>100</v>
      </c>
      <c r="N63" s="1057"/>
      <c r="O63" s="1057"/>
      <c r="P63" s="45"/>
      <c r="Q63" s="460"/>
    </row>
    <row r="64" spans="1:17" s="429" customFormat="1" ht="15.75" thickTop="1">
      <c r="A64" s="509"/>
      <c r="B64" s="494">
        <f>B12</f>
        <v>111</v>
      </c>
      <c r="C64" s="510"/>
      <c r="D64" s="510"/>
      <c r="E64" s="510"/>
      <c r="F64" s="510"/>
      <c r="G64" s="510"/>
      <c r="H64" s="511"/>
      <c r="I64" s="511"/>
      <c r="J64" s="511"/>
      <c r="K64" s="511"/>
      <c r="L64" s="512"/>
      <c r="M64" s="513"/>
      <c r="N64" s="1058"/>
      <c r="O64" s="1058"/>
      <c r="P64" s="514"/>
      <c r="Q64" s="515"/>
    </row>
    <row r="65" spans="1:17" s="429" customFormat="1" ht="15.75" thickBot="1">
      <c r="A65" s="509"/>
      <c r="B65" s="499"/>
      <c r="C65" s="516"/>
      <c r="D65" s="492"/>
      <c r="E65" s="492"/>
      <c r="F65" s="492"/>
      <c r="G65" s="492"/>
      <c r="H65" s="492"/>
      <c r="I65" s="492"/>
      <c r="J65" s="492"/>
      <c r="K65" s="492"/>
      <c r="L65" s="492"/>
      <c r="M65" s="493"/>
      <c r="N65" s="1057"/>
      <c r="O65" s="1057"/>
      <c r="P65" s="514"/>
      <c r="Q65" s="515"/>
    </row>
    <row r="66" spans="1:17" s="429" customFormat="1" ht="15.75" thickTop="1">
      <c r="A66" s="509"/>
      <c r="B66" s="494">
        <f>B13</f>
        <v>111</v>
      </c>
      <c r="C66" s="510"/>
      <c r="D66" s="510"/>
      <c r="E66" s="510"/>
      <c r="F66" s="510"/>
      <c r="G66" s="510"/>
      <c r="H66" s="511"/>
      <c r="I66" s="511"/>
      <c r="J66" s="511"/>
      <c r="K66" s="511"/>
      <c r="L66" s="512"/>
      <c r="M66" s="513"/>
      <c r="N66" s="1058"/>
      <c r="O66" s="1058"/>
      <c r="P66" s="428"/>
      <c r="Q66" s="517"/>
    </row>
    <row r="67" spans="1:17" s="429" customFormat="1" ht="15.75" thickBot="1">
      <c r="A67" s="509"/>
      <c r="B67" s="499"/>
      <c r="C67" s="516"/>
      <c r="D67" s="492"/>
      <c r="E67" s="492"/>
      <c r="F67" s="492"/>
      <c r="G67" s="516"/>
      <c r="H67" s="518"/>
      <c r="I67" s="518"/>
      <c r="J67" s="518"/>
      <c r="K67" s="518"/>
      <c r="L67" s="518"/>
      <c r="M67" s="519"/>
      <c r="N67" s="1058"/>
      <c r="O67" s="1058"/>
      <c r="P67" s="514"/>
      <c r="Q67" s="515"/>
    </row>
    <row r="68" spans="1:17" s="429" customFormat="1" ht="15.75" thickTop="1">
      <c r="A68" s="509"/>
      <c r="B68" s="502">
        <f>B14</f>
        <v>111</v>
      </c>
      <c r="C68" s="479"/>
      <c r="D68" s="479"/>
      <c r="E68" s="479"/>
      <c r="F68" s="479"/>
      <c r="G68" s="479"/>
      <c r="H68" s="520"/>
      <c r="I68" s="520"/>
      <c r="J68" s="520"/>
      <c r="K68" s="520"/>
      <c r="L68" s="521"/>
      <c r="M68" s="522"/>
      <c r="N68" s="1058"/>
      <c r="O68" s="1058"/>
      <c r="P68" s="523"/>
      <c r="Q68" s="515"/>
    </row>
    <row r="69" spans="1:17" s="429" customFormat="1" ht="15.75" thickBot="1">
      <c r="A69" s="524"/>
      <c r="B69" s="525"/>
      <c r="C69" s="526"/>
      <c r="D69" s="526"/>
      <c r="E69" s="526"/>
      <c r="F69" s="526"/>
      <c r="G69" s="526"/>
      <c r="H69" s="527"/>
      <c r="I69" s="527"/>
      <c r="J69" s="527"/>
      <c r="K69" s="527"/>
      <c r="L69" s="527"/>
      <c r="M69" s="528"/>
      <c r="N69" s="1058"/>
      <c r="O69" s="1058"/>
      <c r="P69" s="514"/>
      <c r="Q69" s="515"/>
    </row>
    <row r="70" spans="1:17">
      <c r="A70" s="483" t="s">
        <v>2374</v>
      </c>
      <c r="B70" s="484" t="s">
        <v>2520</v>
      </c>
      <c r="C70" s="529" t="s">
        <v>2412</v>
      </c>
      <c r="D70" s="529" t="s">
        <v>2413</v>
      </c>
      <c r="E70" s="529" t="s">
        <v>2414</v>
      </c>
      <c r="F70" s="529" t="s">
        <v>2415</v>
      </c>
      <c r="G70" s="529" t="s">
        <v>2416</v>
      </c>
      <c r="H70" s="485"/>
      <c r="I70" s="485"/>
      <c r="J70" s="485"/>
      <c r="K70" s="530"/>
      <c r="L70" s="531"/>
      <c r="M70" s="532"/>
      <c r="N70" s="1056"/>
      <c r="O70" s="1056"/>
      <c r="P70" s="533"/>
      <c r="Q70" s="460"/>
    </row>
    <row r="71" spans="1:17" ht="15.75" thickBot="1">
      <c r="A71" s="490"/>
      <c r="B71" s="499"/>
      <c r="C71" s="500">
        <v>100</v>
      </c>
      <c r="D71" s="500">
        <f>C71-$K15</f>
        <v>100</v>
      </c>
      <c r="E71" s="500">
        <f>D71-$K15</f>
        <v>100</v>
      </c>
      <c r="F71" s="500">
        <f>E71-$K15</f>
        <v>100</v>
      </c>
      <c r="G71" s="500">
        <f>F71-$K15</f>
        <v>100</v>
      </c>
      <c r="H71" s="500"/>
      <c r="I71" s="500"/>
      <c r="J71" s="500"/>
      <c r="K71" s="500"/>
      <c r="L71" s="500"/>
      <c r="M71" s="501"/>
      <c r="N71" s="1057"/>
      <c r="O71" s="1057"/>
      <c r="P71" s="45"/>
      <c r="Q71" s="460"/>
    </row>
    <row r="72" spans="1:17" ht="15.75" thickTop="1">
      <c r="A72" s="490"/>
      <c r="B72" s="494" t="s">
        <v>2417</v>
      </c>
      <c r="C72" s="534" t="s">
        <v>2412</v>
      </c>
      <c r="D72" s="534" t="s">
        <v>2413</v>
      </c>
      <c r="E72" s="534" t="s">
        <v>2414</v>
      </c>
      <c r="F72" s="534" t="s">
        <v>2415</v>
      </c>
      <c r="G72" s="534" t="s">
        <v>2416</v>
      </c>
      <c r="H72" s="495"/>
      <c r="I72" s="495"/>
      <c r="J72" s="495"/>
      <c r="K72" s="496"/>
      <c r="L72" s="497"/>
      <c r="M72" s="498"/>
      <c r="N72" s="1056"/>
      <c r="O72" s="1056"/>
      <c r="P72" s="45"/>
      <c r="Q72" s="460"/>
    </row>
    <row r="73" spans="1:17" ht="15.75" thickBot="1">
      <c r="A73" s="490"/>
      <c r="B73" s="499"/>
      <c r="C73" s="500">
        <v>100</v>
      </c>
      <c r="D73" s="500">
        <f>C73-$K17</f>
        <v>100</v>
      </c>
      <c r="E73" s="500">
        <f>D73-$K17</f>
        <v>100</v>
      </c>
      <c r="F73" s="500">
        <f>E73-$K17</f>
        <v>100</v>
      </c>
      <c r="G73" s="500">
        <f>F73-$K17</f>
        <v>100</v>
      </c>
      <c r="H73" s="500"/>
      <c r="I73" s="500"/>
      <c r="J73" s="500"/>
      <c r="K73" s="500"/>
      <c r="L73" s="500"/>
      <c r="M73" s="501"/>
      <c r="N73" s="1057"/>
      <c r="O73" s="1057"/>
      <c r="P73" s="45"/>
      <c r="Q73" s="460"/>
    </row>
    <row r="74" spans="1:17" ht="15.75" thickTop="1">
      <c r="A74" s="490"/>
      <c r="B74" s="494" t="s">
        <v>2418</v>
      </c>
      <c r="C74" s="534" t="s">
        <v>2412</v>
      </c>
      <c r="D74" s="534" t="s">
        <v>2413</v>
      </c>
      <c r="E74" s="534" t="s">
        <v>2414</v>
      </c>
      <c r="F74" s="534" t="s">
        <v>2415</v>
      </c>
      <c r="G74" s="534" t="s">
        <v>2416</v>
      </c>
      <c r="H74" s="495"/>
      <c r="I74" s="495"/>
      <c r="J74" s="495"/>
      <c r="K74" s="496"/>
      <c r="L74" s="497"/>
      <c r="M74" s="498"/>
      <c r="N74" s="1056"/>
      <c r="O74" s="1056"/>
      <c r="P74" s="45"/>
      <c r="Q74" s="460"/>
    </row>
    <row r="75" spans="1:17" ht="15.75" thickBot="1">
      <c r="A75" s="490"/>
      <c r="B75" s="499"/>
      <c r="C75" s="500">
        <v>100</v>
      </c>
      <c r="D75" s="500">
        <f>C75-$K19</f>
        <v>100</v>
      </c>
      <c r="E75" s="500">
        <f>D75-$K19</f>
        <v>100</v>
      </c>
      <c r="F75" s="500">
        <f>E75-$K19</f>
        <v>100</v>
      </c>
      <c r="G75" s="500">
        <f>F75-$K19</f>
        <v>100</v>
      </c>
      <c r="H75" s="500"/>
      <c r="I75" s="500"/>
      <c r="J75" s="500"/>
      <c r="K75" s="500"/>
      <c r="L75" s="500"/>
      <c r="M75" s="501"/>
      <c r="N75" s="1057"/>
      <c r="O75" s="1057"/>
      <c r="P75" s="45"/>
      <c r="Q75" s="460"/>
    </row>
    <row r="76" spans="1:17" ht="15.75" thickTop="1">
      <c r="A76" s="490"/>
      <c r="B76" s="502" t="s">
        <v>2504</v>
      </c>
      <c r="C76" s="615" t="s">
        <v>2490</v>
      </c>
      <c r="D76" s="615" t="s">
        <v>2491</v>
      </c>
      <c r="E76" s="615" t="s">
        <v>2492</v>
      </c>
      <c r="F76" s="615" t="s">
        <v>2493</v>
      </c>
      <c r="G76" s="615" t="s">
        <v>2494</v>
      </c>
      <c r="H76" s="495"/>
      <c r="I76" s="495"/>
      <c r="J76" s="495"/>
      <c r="K76" s="495"/>
      <c r="L76" s="495"/>
      <c r="M76" s="1282"/>
      <c r="N76" s="1057"/>
      <c r="O76" s="1057"/>
      <c r="P76" s="45"/>
      <c r="Q76" s="460"/>
    </row>
    <row r="77" spans="1:17" ht="15.75" thickBot="1">
      <c r="A77" s="490"/>
      <c r="B77" s="502"/>
      <c r="C77" s="500">
        <v>100</v>
      </c>
      <c r="D77" s="500">
        <f>C77-$K21</f>
        <v>100</v>
      </c>
      <c r="E77" s="500">
        <f>D77-$K21</f>
        <v>100</v>
      </c>
      <c r="F77" s="500">
        <f>E77-$K21</f>
        <v>100</v>
      </c>
      <c r="G77" s="500">
        <f>F77-$K21</f>
        <v>100</v>
      </c>
      <c r="H77" s="615"/>
      <c r="I77" s="615"/>
      <c r="J77" s="615"/>
      <c r="K77" s="615"/>
      <c r="L77" s="615"/>
      <c r="M77" s="408"/>
      <c r="N77" s="1057"/>
      <c r="O77" s="1057"/>
      <c r="P77" s="45"/>
      <c r="Q77" s="460"/>
    </row>
    <row r="78" spans="1:17" ht="15.75" thickTop="1">
      <c r="A78" s="490"/>
      <c r="B78" s="494" t="s">
        <v>2513</v>
      </c>
      <c r="C78" s="534" t="s">
        <v>2412</v>
      </c>
      <c r="D78" s="534" t="s">
        <v>2413</v>
      </c>
      <c r="E78" s="534" t="s">
        <v>2414</v>
      </c>
      <c r="F78" s="534" t="s">
        <v>2415</v>
      </c>
      <c r="G78" s="534" t="s">
        <v>2416</v>
      </c>
      <c r="H78" s="495"/>
      <c r="I78" s="495"/>
      <c r="J78" s="495"/>
      <c r="K78" s="496"/>
      <c r="L78" s="497"/>
      <c r="M78" s="498"/>
      <c r="N78" s="1056"/>
      <c r="O78" s="1056"/>
      <c r="P78" s="45"/>
      <c r="Q78" s="460"/>
    </row>
    <row r="79" spans="1:17" ht="15.75" thickBot="1">
      <c r="A79" s="490"/>
      <c r="B79" s="499"/>
      <c r="C79" s="500">
        <v>100</v>
      </c>
      <c r="D79" s="500">
        <f>C79-$K23</f>
        <v>100</v>
      </c>
      <c r="E79" s="500">
        <f>D79-$K23</f>
        <v>100</v>
      </c>
      <c r="F79" s="500">
        <f>E79-$K23</f>
        <v>100</v>
      </c>
      <c r="G79" s="500">
        <f>F79-$K23</f>
        <v>100</v>
      </c>
      <c r="H79" s="500"/>
      <c r="I79" s="500"/>
      <c r="J79" s="500"/>
      <c r="K79" s="500"/>
      <c r="L79" s="500"/>
      <c r="M79" s="501"/>
      <c r="N79" s="1057"/>
      <c r="O79" s="1057"/>
      <c r="P79" s="45"/>
      <c r="Q79" s="460"/>
    </row>
    <row r="80" spans="1:17" s="113" customFormat="1" ht="15.75" thickTop="1">
      <c r="A80" s="535"/>
      <c r="B80" s="494">
        <f>B25</f>
        <v>111</v>
      </c>
      <c r="C80" s="510"/>
      <c r="D80" s="510"/>
      <c r="E80" s="510"/>
      <c r="F80" s="510"/>
      <c r="G80" s="510"/>
      <c r="H80" s="510"/>
      <c r="I80" s="510"/>
      <c r="J80" s="510"/>
      <c r="K80" s="510"/>
      <c r="L80" s="536"/>
      <c r="M80" s="537"/>
      <c r="N80" s="1055"/>
      <c r="O80" s="1055"/>
      <c r="P80" s="45"/>
      <c r="Q80" s="460"/>
    </row>
    <row r="81" spans="1:17" s="113" customFormat="1" ht="15.75" thickBot="1">
      <c r="A81" s="535"/>
      <c r="B81" s="499"/>
      <c r="C81" s="516"/>
      <c r="D81" s="492"/>
      <c r="E81" s="492"/>
      <c r="F81" s="492"/>
      <c r="G81" s="492"/>
      <c r="H81" s="492"/>
      <c r="I81" s="492"/>
      <c r="J81" s="492"/>
      <c r="K81" s="492"/>
      <c r="L81" s="492"/>
      <c r="M81" s="493"/>
      <c r="N81" s="1057"/>
      <c r="O81" s="1057"/>
      <c r="P81" s="45"/>
      <c r="Q81" s="460"/>
    </row>
    <row r="82" spans="1:17" s="113" customFormat="1" ht="15.75" thickTop="1">
      <c r="A82" s="535"/>
      <c r="B82" s="494">
        <f>B26</f>
        <v>111</v>
      </c>
      <c r="C82" s="510"/>
      <c r="D82" s="510"/>
      <c r="E82" s="510"/>
      <c r="F82" s="510"/>
      <c r="G82" s="510"/>
      <c r="H82" s="510"/>
      <c r="I82" s="510"/>
      <c r="J82" s="510"/>
      <c r="K82" s="510"/>
      <c r="L82" s="536"/>
      <c r="M82" s="537"/>
      <c r="N82" s="1055"/>
      <c r="O82" s="1055"/>
      <c r="P82" s="45"/>
      <c r="Q82" s="460"/>
    </row>
    <row r="83" spans="1:17" s="113" customFormat="1" ht="15.75" thickBot="1">
      <c r="A83" s="535"/>
      <c r="B83" s="499"/>
      <c r="C83" s="516"/>
      <c r="D83" s="492"/>
      <c r="E83" s="492"/>
      <c r="F83" s="492"/>
      <c r="G83" s="492"/>
      <c r="H83" s="492"/>
      <c r="I83" s="492"/>
      <c r="J83" s="492"/>
      <c r="K83" s="492"/>
      <c r="L83" s="492"/>
      <c r="M83" s="493"/>
      <c r="N83" s="1057"/>
      <c r="O83" s="1057"/>
      <c r="P83" s="45"/>
      <c r="Q83" s="460"/>
    </row>
    <row r="84" spans="1:17" s="429" customFormat="1" ht="15.75" thickTop="1">
      <c r="A84" s="509"/>
      <c r="B84" s="494">
        <f>B27</f>
        <v>111</v>
      </c>
      <c r="C84" s="510"/>
      <c r="D84" s="510"/>
      <c r="E84" s="510"/>
      <c r="F84" s="510"/>
      <c r="G84" s="510"/>
      <c r="H84" s="510"/>
      <c r="I84" s="510"/>
      <c r="J84" s="510"/>
      <c r="K84" s="510"/>
      <c r="L84" s="536"/>
      <c r="M84" s="537"/>
      <c r="N84" s="1058"/>
      <c r="O84" s="1058"/>
      <c r="P84" s="514"/>
      <c r="Q84" s="515"/>
    </row>
    <row r="85" spans="1:17" s="429" customFormat="1" ht="15.75" thickBot="1">
      <c r="A85" s="509"/>
      <c r="B85" s="499"/>
      <c r="C85" s="516"/>
      <c r="D85" s="492"/>
      <c r="E85" s="492"/>
      <c r="F85" s="492"/>
      <c r="G85" s="492"/>
      <c r="H85" s="492"/>
      <c r="I85" s="492"/>
      <c r="J85" s="492"/>
      <c r="K85" s="492"/>
      <c r="L85" s="492"/>
      <c r="M85" s="493"/>
      <c r="N85" s="1058"/>
      <c r="O85" s="1058"/>
      <c r="P85" s="514"/>
      <c r="Q85" s="515"/>
    </row>
    <row r="86" spans="1:17" ht="15.75" thickTop="1">
      <c r="A86" s="490"/>
      <c r="B86" s="502">
        <f>B28</f>
        <v>111</v>
      </c>
      <c r="C86" s="479"/>
      <c r="D86" s="479"/>
      <c r="E86" s="479"/>
      <c r="F86" s="479"/>
      <c r="G86" s="543"/>
      <c r="H86" s="543"/>
      <c r="I86" s="543"/>
      <c r="J86" s="543"/>
      <c r="K86" s="544"/>
      <c r="L86" s="545"/>
      <c r="M86" s="546"/>
      <c r="N86" s="1056"/>
      <c r="O86" s="1056"/>
      <c r="P86" s="45"/>
      <c r="Q86" s="460"/>
    </row>
    <row r="87" spans="1:17" ht="15.75" thickBot="1">
      <c r="A87" s="2101"/>
      <c r="B87" s="525"/>
      <c r="C87" s="526"/>
      <c r="D87" s="526"/>
      <c r="E87" s="526"/>
      <c r="F87" s="526"/>
      <c r="G87" s="547"/>
      <c r="H87" s="547"/>
      <c r="I87" s="547"/>
      <c r="J87" s="547"/>
      <c r="K87" s="547"/>
      <c r="L87" s="547"/>
      <c r="M87" s="548"/>
      <c r="N87" s="1057"/>
      <c r="O87" s="1057"/>
      <c r="P87" s="45"/>
      <c r="Q87" s="460"/>
    </row>
    <row r="88" spans="1:17">
      <c r="A88" s="483" t="s">
        <v>2378</v>
      </c>
      <c r="B88" s="484" t="s">
        <v>2427</v>
      </c>
      <c r="C88" s="486"/>
      <c r="D88" s="486"/>
      <c r="E88" s="486"/>
      <c r="F88" s="486"/>
      <c r="G88" s="486"/>
      <c r="H88" s="486"/>
      <c r="I88" s="486"/>
      <c r="J88" s="486"/>
      <c r="K88" s="487"/>
      <c r="L88" s="488"/>
      <c r="M88" s="489"/>
      <c r="N88" s="1056"/>
      <c r="O88" s="1056"/>
      <c r="P88" s="45"/>
      <c r="Q88" s="460"/>
    </row>
    <row r="89" spans="1:17" ht="15.75" thickBot="1">
      <c r="A89" s="490"/>
      <c r="B89" s="499"/>
      <c r="C89" s="500">
        <v>100</v>
      </c>
      <c r="D89" s="500">
        <f t="shared" ref="D89:M89" si="19">C89-$K29</f>
        <v>100</v>
      </c>
      <c r="E89" s="500">
        <f t="shared" si="19"/>
        <v>100</v>
      </c>
      <c r="F89" s="500">
        <f t="shared" si="19"/>
        <v>100</v>
      </c>
      <c r="G89" s="500">
        <f t="shared" si="19"/>
        <v>100</v>
      </c>
      <c r="H89" s="500">
        <f t="shared" si="19"/>
        <v>100</v>
      </c>
      <c r="I89" s="500">
        <f t="shared" si="19"/>
        <v>100</v>
      </c>
      <c r="J89" s="500">
        <f t="shared" si="19"/>
        <v>100</v>
      </c>
      <c r="K89" s="500">
        <f t="shared" si="19"/>
        <v>100</v>
      </c>
      <c r="L89" s="500">
        <f t="shared" si="19"/>
        <v>100</v>
      </c>
      <c r="M89" s="501">
        <f t="shared" si="19"/>
        <v>100</v>
      </c>
      <c r="N89" s="1057"/>
      <c r="O89" s="1057"/>
      <c r="P89" s="45"/>
      <c r="Q89" s="460"/>
    </row>
    <row r="90" spans="1:17" ht="15.75" thickTop="1">
      <c r="A90" s="490"/>
      <c r="B90" s="494" t="s">
        <v>2428</v>
      </c>
      <c r="C90" s="534" t="str">
        <f>C91&amp;"(含)"&amp;"-"&amp;D91</f>
        <v>(含)-</v>
      </c>
      <c r="D90" s="534" t="str">
        <f t="shared" ref="D90:L90" si="20">D91&amp;"(含)"&amp;"-"&amp;E91</f>
        <v>(含)-</v>
      </c>
      <c r="E90" s="534" t="str">
        <f t="shared" si="20"/>
        <v>(含)-</v>
      </c>
      <c r="F90" s="534" t="str">
        <f t="shared" si="20"/>
        <v>(含)-</v>
      </c>
      <c r="G90" s="534" t="str">
        <f t="shared" si="20"/>
        <v>(含)-</v>
      </c>
      <c r="H90" s="534" t="str">
        <f t="shared" si="20"/>
        <v>(含)-</v>
      </c>
      <c r="I90" s="534" t="str">
        <f t="shared" si="20"/>
        <v>(含)-</v>
      </c>
      <c r="J90" s="534" t="str">
        <f t="shared" si="20"/>
        <v>(含)-</v>
      </c>
      <c r="K90" s="534" t="str">
        <f t="shared" si="20"/>
        <v>(含)-</v>
      </c>
      <c r="L90" s="534" t="str">
        <f t="shared" si="20"/>
        <v>(含)-</v>
      </c>
      <c r="M90" s="577" t="str">
        <f>M91&amp;"(含)"&amp;"-"&amp;P91</f>
        <v>(含)-</v>
      </c>
      <c r="N90" s="1055"/>
      <c r="O90" s="1055"/>
      <c r="P90" s="45"/>
      <c r="Q90" s="460"/>
    </row>
    <row r="91" spans="1:17" s="429" customFormat="1">
      <c r="A91" s="549"/>
      <c r="B91" s="550"/>
      <c r="C91" s="551"/>
      <c r="D91" s="551"/>
      <c r="E91" s="551"/>
      <c r="F91" s="551"/>
      <c r="G91" s="551"/>
      <c r="H91" s="551"/>
      <c r="I91" s="551"/>
      <c r="J91" s="552"/>
      <c r="K91" s="552"/>
      <c r="L91" s="553"/>
      <c r="M91" s="554"/>
      <c r="N91" s="1058"/>
      <c r="O91" s="1058"/>
      <c r="P91" s="514"/>
      <c r="Q91" s="515"/>
    </row>
    <row r="92" spans="1:17" s="429" customFormat="1" ht="15.75" thickBot="1">
      <c r="A92" s="509"/>
      <c r="B92" s="499"/>
      <c r="C92" s="516"/>
      <c r="D92" s="492"/>
      <c r="E92" s="492"/>
      <c r="F92" s="492"/>
      <c r="G92" s="492"/>
      <c r="H92" s="492"/>
      <c r="I92" s="492"/>
      <c r="J92" s="492"/>
      <c r="K92" s="492"/>
      <c r="L92" s="492"/>
      <c r="M92" s="493"/>
      <c r="N92" s="1057"/>
      <c r="O92" s="1057"/>
      <c r="P92" s="514"/>
      <c r="Q92" s="515"/>
    </row>
    <row r="93" spans="1:17" ht="15" thickTop="1">
      <c r="A93" s="555"/>
      <c r="B93" s="494" t="s">
        <v>2429</v>
      </c>
      <c r="C93" s="510"/>
      <c r="D93" s="510"/>
      <c r="E93" s="539"/>
      <c r="F93" s="539"/>
      <c r="G93" s="539"/>
      <c r="H93" s="539"/>
      <c r="I93" s="539"/>
      <c r="J93" s="539"/>
      <c r="K93" s="540"/>
      <c r="L93" s="541"/>
      <c r="M93" s="542"/>
      <c r="N93" s="1056"/>
      <c r="O93" s="1056"/>
      <c r="P93" s="45"/>
      <c r="Q93" s="460"/>
    </row>
    <row r="94" spans="1:17" ht="15.75" thickBot="1">
      <c r="A94" s="490"/>
      <c r="B94" s="499"/>
      <c r="C94" s="500">
        <v>100</v>
      </c>
      <c r="D94" s="500">
        <f t="shared" ref="D94:M94" si="21">C94-$K31</f>
        <v>100</v>
      </c>
      <c r="E94" s="500">
        <f t="shared" si="21"/>
        <v>100</v>
      </c>
      <c r="F94" s="500">
        <f t="shared" si="21"/>
        <v>100</v>
      </c>
      <c r="G94" s="500">
        <f t="shared" si="21"/>
        <v>100</v>
      </c>
      <c r="H94" s="500">
        <f t="shared" si="21"/>
        <v>100</v>
      </c>
      <c r="I94" s="500">
        <f t="shared" si="21"/>
        <v>100</v>
      </c>
      <c r="J94" s="500">
        <f t="shared" si="21"/>
        <v>100</v>
      </c>
      <c r="K94" s="500">
        <f t="shared" si="21"/>
        <v>100</v>
      </c>
      <c r="L94" s="500">
        <f t="shared" si="21"/>
        <v>100</v>
      </c>
      <c r="M94" s="501">
        <f t="shared" si="21"/>
        <v>100</v>
      </c>
      <c r="N94" s="1057"/>
      <c r="O94" s="1057"/>
      <c r="P94" s="45"/>
      <c r="Q94" s="460"/>
    </row>
    <row r="95" spans="1:17" ht="15" thickTop="1">
      <c r="A95" s="555"/>
      <c r="B95" s="494" t="s">
        <v>2431</v>
      </c>
      <c r="C95" s="510"/>
      <c r="D95" s="510"/>
      <c r="E95" s="510"/>
      <c r="F95" s="539"/>
      <c r="G95" s="539"/>
      <c r="H95" s="539"/>
      <c r="I95" s="539"/>
      <c r="J95" s="539"/>
      <c r="K95" s="540"/>
      <c r="L95" s="541"/>
      <c r="M95" s="542"/>
      <c r="N95" s="1056"/>
      <c r="O95" s="1056"/>
      <c r="P95" s="45"/>
      <c r="Q95" s="460"/>
    </row>
    <row r="96" spans="1:17" ht="15.75" thickBot="1">
      <c r="A96" s="490"/>
      <c r="B96" s="499"/>
      <c r="C96" s="500">
        <v>100</v>
      </c>
      <c r="D96" s="500">
        <f t="shared" ref="D96:M96" si="22">C96-$K32</f>
        <v>100</v>
      </c>
      <c r="E96" s="500">
        <f t="shared" si="22"/>
        <v>100</v>
      </c>
      <c r="F96" s="500">
        <f t="shared" si="22"/>
        <v>100</v>
      </c>
      <c r="G96" s="500">
        <f t="shared" si="22"/>
        <v>100</v>
      </c>
      <c r="H96" s="500">
        <f t="shared" si="22"/>
        <v>100</v>
      </c>
      <c r="I96" s="500">
        <f t="shared" si="22"/>
        <v>100</v>
      </c>
      <c r="J96" s="500">
        <f t="shared" si="22"/>
        <v>100</v>
      </c>
      <c r="K96" s="500">
        <f t="shared" si="22"/>
        <v>100</v>
      </c>
      <c r="L96" s="500">
        <f t="shared" si="22"/>
        <v>100</v>
      </c>
      <c r="M96" s="501">
        <f t="shared" si="22"/>
        <v>100</v>
      </c>
      <c r="N96" s="1057"/>
      <c r="O96" s="1057"/>
      <c r="P96" s="45"/>
      <c r="Q96" s="460"/>
    </row>
    <row r="97" spans="1:17" ht="15" thickTop="1">
      <c r="A97" s="555"/>
      <c r="B97" s="494" t="s">
        <v>1874</v>
      </c>
      <c r="C97" s="534" t="str">
        <f>C98&amp;"(含)"&amp;"-"&amp;D98</f>
        <v>0.5(含)-0.6</v>
      </c>
      <c r="D97" s="534" t="str">
        <f>D98&amp;"(含)"&amp;"-"&amp;E98</f>
        <v>0.6(含)-0.7</v>
      </c>
      <c r="E97" s="534" t="str">
        <f>E98&amp;"(含)"&amp;"-"&amp;F98</f>
        <v>0.7(含)-0.8</v>
      </c>
      <c r="F97" s="534" t="str">
        <f>F98&amp;"(含)"&amp;"-"&amp;G98</f>
        <v>0.8(含)-0.9</v>
      </c>
      <c r="G97" s="534" t="str">
        <f>G98&amp;"(含)"&amp;"-"&amp;ROUND(H98,0)&amp;"(含)"</f>
        <v>0.9(含)-1(含)</v>
      </c>
      <c r="H97" s="534"/>
      <c r="I97" s="539"/>
      <c r="J97" s="539"/>
      <c r="K97" s="540"/>
      <c r="L97" s="541"/>
      <c r="M97" s="542"/>
      <c r="N97" s="1056"/>
      <c r="O97" s="1056"/>
      <c r="P97" s="45"/>
      <c r="Q97" s="460"/>
    </row>
    <row r="98" spans="1:17">
      <c r="A98" s="555"/>
      <c r="B98" s="502"/>
      <c r="C98" s="559">
        <v>0.5</v>
      </c>
      <c r="D98" s="559">
        <v>0.6</v>
      </c>
      <c r="E98" s="559">
        <v>0.7</v>
      </c>
      <c r="F98" s="559">
        <v>0.8</v>
      </c>
      <c r="G98" s="559">
        <v>0.9</v>
      </c>
      <c r="H98" s="559">
        <v>1.0001</v>
      </c>
      <c r="I98" s="578"/>
      <c r="J98" s="578"/>
      <c r="K98" s="579"/>
      <c r="L98" s="580"/>
      <c r="M98" s="581"/>
      <c r="N98" s="1056"/>
      <c r="O98" s="1056"/>
      <c r="P98" s="45"/>
      <c r="Q98" s="460"/>
    </row>
    <row r="99" spans="1:17" ht="15.75" thickBot="1">
      <c r="A99" s="490"/>
      <c r="B99" s="499"/>
      <c r="C99" s="538">
        <v>100</v>
      </c>
      <c r="D99" s="500">
        <f>C99+$K33</f>
        <v>100</v>
      </c>
      <c r="E99" s="500">
        <f t="shared" ref="E99:M99" si="23">D99+$K33</f>
        <v>100</v>
      </c>
      <c r="F99" s="500">
        <f t="shared" si="23"/>
        <v>100</v>
      </c>
      <c r="G99" s="500">
        <f t="shared" si="23"/>
        <v>100</v>
      </c>
      <c r="H99" s="500">
        <f t="shared" si="23"/>
        <v>100</v>
      </c>
      <c r="I99" s="500">
        <f t="shared" si="23"/>
        <v>100</v>
      </c>
      <c r="J99" s="500">
        <f t="shared" si="23"/>
        <v>100</v>
      </c>
      <c r="K99" s="500">
        <f t="shared" si="23"/>
        <v>100</v>
      </c>
      <c r="L99" s="500">
        <f t="shared" si="23"/>
        <v>100</v>
      </c>
      <c r="M99" s="500">
        <f t="shared" si="23"/>
        <v>100</v>
      </c>
      <c r="N99" s="1057"/>
      <c r="O99" s="1057"/>
      <c r="P99" s="45"/>
      <c r="Q99" s="460"/>
    </row>
    <row r="100" spans="1:17" s="429" customFormat="1" ht="15" thickTop="1">
      <c r="A100" s="549"/>
      <c r="B100" s="494" t="s">
        <v>2432</v>
      </c>
      <c r="C100" s="510"/>
      <c r="D100" s="510"/>
      <c r="E100" s="510"/>
      <c r="F100" s="510"/>
      <c r="G100" s="510"/>
      <c r="H100" s="539"/>
      <c r="I100" s="539"/>
      <c r="J100" s="539"/>
      <c r="K100" s="540"/>
      <c r="L100" s="541"/>
      <c r="M100" s="542"/>
      <c r="N100" s="1058"/>
      <c r="O100" s="1058"/>
      <c r="P100" s="514"/>
      <c r="Q100" s="515"/>
    </row>
    <row r="101" spans="1:17" s="429" customFormat="1" ht="15.75" thickBot="1">
      <c r="A101" s="509"/>
      <c r="B101" s="499"/>
      <c r="C101" s="500">
        <v>100</v>
      </c>
      <c r="D101" s="500">
        <f>C101-$K34</f>
        <v>100</v>
      </c>
      <c r="E101" s="500">
        <f t="shared" ref="E101:M101" si="24">D101-$K34</f>
        <v>100</v>
      </c>
      <c r="F101" s="500">
        <f t="shared" si="24"/>
        <v>100</v>
      </c>
      <c r="G101" s="500">
        <f t="shared" si="24"/>
        <v>100</v>
      </c>
      <c r="H101" s="500">
        <f t="shared" si="24"/>
        <v>100</v>
      </c>
      <c r="I101" s="500">
        <f t="shared" si="24"/>
        <v>100</v>
      </c>
      <c r="J101" s="500">
        <f t="shared" si="24"/>
        <v>100</v>
      </c>
      <c r="K101" s="500">
        <f t="shared" si="24"/>
        <v>100</v>
      </c>
      <c r="L101" s="500">
        <f t="shared" si="24"/>
        <v>100</v>
      </c>
      <c r="M101" s="500">
        <f t="shared" si="24"/>
        <v>100</v>
      </c>
      <c r="N101" s="1058"/>
      <c r="O101" s="1058"/>
      <c r="P101" s="514"/>
      <c r="Q101" s="515"/>
    </row>
    <row r="102" spans="1:17" ht="15" thickTop="1">
      <c r="A102" s="555"/>
      <c r="B102" s="494" t="s">
        <v>2433</v>
      </c>
      <c r="C102" s="510"/>
      <c r="D102" s="510"/>
      <c r="E102" s="510"/>
      <c r="F102" s="510"/>
      <c r="G102" s="510"/>
      <c r="H102" s="539"/>
      <c r="I102" s="539"/>
      <c r="J102" s="539"/>
      <c r="K102" s="540"/>
      <c r="L102" s="541"/>
      <c r="M102" s="542"/>
      <c r="N102" s="1056"/>
      <c r="O102" s="1056"/>
      <c r="P102" s="45"/>
      <c r="Q102" s="460"/>
    </row>
    <row r="103" spans="1:17" ht="15.75" thickBot="1">
      <c r="A103" s="490"/>
      <c r="B103" s="499"/>
      <c r="C103" s="500">
        <v>100</v>
      </c>
      <c r="D103" s="500">
        <f t="shared" ref="D103:M103" si="25">C103-$K35</f>
        <v>100</v>
      </c>
      <c r="E103" s="500">
        <f t="shared" si="25"/>
        <v>100</v>
      </c>
      <c r="F103" s="500">
        <f t="shared" si="25"/>
        <v>100</v>
      </c>
      <c r="G103" s="500">
        <f t="shared" si="25"/>
        <v>100</v>
      </c>
      <c r="H103" s="500">
        <f t="shared" si="25"/>
        <v>100</v>
      </c>
      <c r="I103" s="500">
        <f t="shared" si="25"/>
        <v>100</v>
      </c>
      <c r="J103" s="500">
        <f t="shared" si="25"/>
        <v>100</v>
      </c>
      <c r="K103" s="500">
        <f t="shared" si="25"/>
        <v>100</v>
      </c>
      <c r="L103" s="500">
        <f t="shared" si="25"/>
        <v>100</v>
      </c>
      <c r="M103" s="501">
        <f t="shared" si="25"/>
        <v>100</v>
      </c>
      <c r="N103" s="1057"/>
      <c r="O103" s="1057"/>
      <c r="P103" s="45"/>
      <c r="Q103" s="460"/>
    </row>
    <row r="104" spans="1:17" ht="15" thickTop="1">
      <c r="A104" s="555"/>
      <c r="B104" s="494" t="s">
        <v>2435</v>
      </c>
      <c r="C104" s="510"/>
      <c r="D104" s="510"/>
      <c r="E104" s="510"/>
      <c r="F104" s="510"/>
      <c r="G104" s="510"/>
      <c r="H104" s="539"/>
      <c r="I104" s="539"/>
      <c r="J104" s="539"/>
      <c r="K104" s="540"/>
      <c r="L104" s="541"/>
      <c r="M104" s="542"/>
      <c r="N104" s="1056"/>
      <c r="O104" s="1056"/>
      <c r="P104" s="45"/>
      <c r="Q104" s="460"/>
    </row>
    <row r="105" spans="1:17" ht="15.75" thickBot="1">
      <c r="A105" s="490"/>
      <c r="B105" s="499"/>
      <c r="C105" s="500">
        <v>100</v>
      </c>
      <c r="D105" s="500">
        <f>C105-$K36</f>
        <v>100</v>
      </c>
      <c r="E105" s="500">
        <f>D105-$K36</f>
        <v>100</v>
      </c>
      <c r="F105" s="500">
        <f>E105-$K36</f>
        <v>100</v>
      </c>
      <c r="G105" s="500">
        <f>F105-$K36</f>
        <v>100</v>
      </c>
      <c r="H105" s="500"/>
      <c r="I105" s="500"/>
      <c r="J105" s="500"/>
      <c r="K105" s="500"/>
      <c r="L105" s="500"/>
      <c r="M105" s="501"/>
      <c r="N105" s="1057"/>
      <c r="O105" s="1057"/>
      <c r="P105" s="45"/>
      <c r="Q105" s="460"/>
    </row>
    <row r="106" spans="1:17" ht="15" thickTop="1">
      <c r="A106" s="555"/>
      <c r="B106" s="591" t="s">
        <v>2521</v>
      </c>
      <c r="C106" s="534" t="s">
        <v>2412</v>
      </c>
      <c r="D106" s="534" t="s">
        <v>2413</v>
      </c>
      <c r="E106" s="534" t="s">
        <v>2414</v>
      </c>
      <c r="F106" s="534" t="s">
        <v>2415</v>
      </c>
      <c r="G106" s="534" t="s">
        <v>2416</v>
      </c>
      <c r="H106" s="495"/>
      <c r="I106" s="495"/>
      <c r="J106" s="495"/>
      <c r="K106" s="496"/>
      <c r="L106" s="497"/>
      <c r="M106" s="498"/>
      <c r="N106" s="1057"/>
      <c r="O106" s="1057"/>
      <c r="P106" s="592"/>
      <c r="Q106" s="593"/>
    </row>
    <row r="107" spans="1:17" ht="15.75" thickBot="1">
      <c r="A107" s="490"/>
      <c r="B107" s="499"/>
      <c r="C107" s="538">
        <v>100</v>
      </c>
      <c r="D107" s="500">
        <f t="shared" ref="D107:M107" si="26">C107-$K37</f>
        <v>100</v>
      </c>
      <c r="E107" s="500">
        <f t="shared" si="26"/>
        <v>100</v>
      </c>
      <c r="F107" s="500">
        <f t="shared" si="26"/>
        <v>100</v>
      </c>
      <c r="G107" s="500">
        <f t="shared" si="26"/>
        <v>100</v>
      </c>
      <c r="H107" s="500">
        <f t="shared" si="26"/>
        <v>100</v>
      </c>
      <c r="I107" s="500">
        <f t="shared" si="26"/>
        <v>100</v>
      </c>
      <c r="J107" s="500">
        <f t="shared" si="26"/>
        <v>100</v>
      </c>
      <c r="K107" s="500">
        <f t="shared" si="26"/>
        <v>100</v>
      </c>
      <c r="L107" s="500">
        <f t="shared" si="26"/>
        <v>100</v>
      </c>
      <c r="M107" s="500">
        <f t="shared" si="26"/>
        <v>100</v>
      </c>
      <c r="N107" s="1057"/>
      <c r="O107" s="1057"/>
      <c r="P107" s="45"/>
      <c r="Q107" s="460"/>
    </row>
    <row r="108" spans="1:17" s="429" customFormat="1" ht="15" thickTop="1">
      <c r="A108" s="549"/>
      <c r="B108" s="494">
        <f>B38</f>
        <v>111</v>
      </c>
      <c r="C108" s="510"/>
      <c r="D108" s="510"/>
      <c r="E108" s="510"/>
      <c r="F108" s="510"/>
      <c r="G108" s="510"/>
      <c r="H108" s="511"/>
      <c r="I108" s="511"/>
      <c r="J108" s="511"/>
      <c r="K108" s="511"/>
      <c r="L108" s="512"/>
      <c r="M108" s="513"/>
      <c r="N108" s="1058"/>
      <c r="O108" s="1058"/>
      <c r="P108" s="514"/>
      <c r="Q108" s="515"/>
    </row>
    <row r="109" spans="1:17" s="429" customFormat="1" ht="15.75" thickBot="1">
      <c r="A109" s="509"/>
      <c r="B109" s="491"/>
      <c r="C109" s="516"/>
      <c r="D109" s="492"/>
      <c r="E109" s="492"/>
      <c r="F109" s="492"/>
      <c r="G109" s="516"/>
      <c r="H109" s="518"/>
      <c r="I109" s="518"/>
      <c r="J109" s="518"/>
      <c r="K109" s="518"/>
      <c r="L109" s="518"/>
      <c r="M109" s="519"/>
      <c r="N109" s="1058"/>
      <c r="O109" s="1058"/>
      <c r="P109" s="514"/>
      <c r="Q109" s="515"/>
    </row>
    <row r="110" spans="1:17" ht="15" thickTop="1">
      <c r="A110" s="555"/>
      <c r="B110" s="494">
        <f>B39</f>
        <v>111</v>
      </c>
      <c r="C110" s="510"/>
      <c r="D110" s="510"/>
      <c r="E110" s="510"/>
      <c r="F110" s="510"/>
      <c r="G110" s="510"/>
      <c r="H110" s="511"/>
      <c r="I110" s="511"/>
      <c r="J110" s="511"/>
      <c r="K110" s="511"/>
      <c r="L110" s="512"/>
      <c r="M110" s="513"/>
      <c r="N110" s="1056"/>
      <c r="O110" s="1056"/>
      <c r="P110" s="45"/>
      <c r="Q110" s="460"/>
    </row>
    <row r="111" spans="1:17" ht="15.75" thickBot="1">
      <c r="A111" s="490"/>
      <c r="B111" s="499"/>
      <c r="C111" s="516"/>
      <c r="D111" s="492"/>
      <c r="E111" s="492"/>
      <c r="F111" s="492"/>
      <c r="G111" s="516"/>
      <c r="H111" s="518"/>
      <c r="I111" s="518"/>
      <c r="J111" s="518"/>
      <c r="K111" s="518"/>
      <c r="L111" s="518"/>
      <c r="M111" s="519"/>
      <c r="N111" s="1057"/>
      <c r="O111" s="1057"/>
      <c r="P111" s="45"/>
      <c r="Q111" s="460"/>
    </row>
    <row r="112" spans="1:17" ht="15" thickTop="1">
      <c r="A112" s="555"/>
      <c r="B112" s="502">
        <f>B40</f>
        <v>111</v>
      </c>
      <c r="C112" s="479"/>
      <c r="D112" s="479"/>
      <c r="E112" s="479"/>
      <c r="F112" s="479"/>
      <c r="G112" s="543"/>
      <c r="H112" s="543"/>
      <c r="I112" s="543"/>
      <c r="J112" s="543"/>
      <c r="K112" s="479"/>
      <c r="L112" s="480"/>
      <c r="M112" s="546"/>
      <c r="N112" s="1056"/>
      <c r="O112" s="1056"/>
      <c r="P112" s="45"/>
      <c r="Q112" s="460"/>
    </row>
    <row r="113" spans="1:17" ht="15.75" thickBot="1">
      <c r="A113" s="2101"/>
      <c r="B113" s="525"/>
      <c r="C113" s="526"/>
      <c r="D113" s="526"/>
      <c r="E113" s="526"/>
      <c r="F113" s="526"/>
      <c r="G113" s="547"/>
      <c r="H113" s="547"/>
      <c r="I113" s="547"/>
      <c r="J113" s="547"/>
      <c r="K113" s="547"/>
      <c r="L113" s="547"/>
      <c r="M113" s="548"/>
      <c r="N113" s="1057"/>
      <c r="O113" s="1057"/>
      <c r="P113" s="45"/>
      <c r="Q113" s="460"/>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28"/>
    <mergeCell ref="Y15:Y28"/>
    <mergeCell ref="P29:P40"/>
    <mergeCell ref="Y29:Y40"/>
    <mergeCell ref="P41:Q41"/>
    <mergeCell ref="R41:S41"/>
    <mergeCell ref="T41:U41"/>
    <mergeCell ref="V41:W41"/>
    <mergeCell ref="P42:Q42"/>
    <mergeCell ref="R42:S42"/>
    <mergeCell ref="T42:U42"/>
    <mergeCell ref="V42:W42"/>
    <mergeCell ref="P43:Q43"/>
    <mergeCell ref="R43:W43"/>
  </mergeCells>
  <phoneticPr fontId="32" type="noConversion"/>
  <conditionalFormatting sqref="F46 H46">
    <cfRule type="containsText" dxfId="74" priority="20" stopIfTrue="1" operator="containsText" text="超过">
      <formula>NOT(ISERROR(SEARCH("超过",F46)))</formula>
    </cfRule>
  </conditionalFormatting>
  <conditionalFormatting sqref="H48">
    <cfRule type="containsText" dxfId="73" priority="19" stopIfTrue="1" operator="containsText" text="超过">
      <formula>NOT(ISERROR(SEARCH("超过",H48)))</formula>
    </cfRule>
  </conditionalFormatting>
  <conditionalFormatting sqref="F48">
    <cfRule type="containsText" dxfId="72" priority="18" stopIfTrue="1" operator="containsText" text="超过">
      <formula>NOT(ISERROR(SEARCH("超过",F48)))</formula>
    </cfRule>
  </conditionalFormatting>
  <conditionalFormatting sqref="F47 H47">
    <cfRule type="containsText" dxfId="71" priority="17" stopIfTrue="1" operator="containsText" text="超过">
      <formula>NOT(ISERROR(SEARCH("超过",F47)))</formula>
    </cfRule>
  </conditionalFormatting>
  <conditionalFormatting sqref="E46">
    <cfRule type="expression" dxfId="70" priority="16" stopIfTrue="1">
      <formula>$F$46="超过30%"</formula>
    </cfRule>
  </conditionalFormatting>
  <conditionalFormatting sqref="E47">
    <cfRule type="expression" dxfId="69" priority="15" stopIfTrue="1">
      <formula>$F$47="超过20%"</formula>
    </cfRule>
  </conditionalFormatting>
  <conditionalFormatting sqref="E48">
    <cfRule type="expression" dxfId="68" priority="14" stopIfTrue="1">
      <formula>$F$48="超过30%"</formula>
    </cfRule>
  </conditionalFormatting>
  <conditionalFormatting sqref="G48">
    <cfRule type="expression" dxfId="67" priority="13" stopIfTrue="1">
      <formula>$H$48="超过30%"</formula>
    </cfRule>
  </conditionalFormatting>
  <conditionalFormatting sqref="G46">
    <cfRule type="expression" dxfId="66" priority="12" stopIfTrue="1">
      <formula>$H$46="超过30%"</formula>
    </cfRule>
  </conditionalFormatting>
  <conditionalFormatting sqref="G47">
    <cfRule type="expression" dxfId="65" priority="11" stopIfTrue="1">
      <formula>$H$47="超过20%"</formula>
    </cfRule>
  </conditionalFormatting>
  <conditionalFormatting sqref="J46">
    <cfRule type="containsText" dxfId="64" priority="10" stopIfTrue="1" operator="containsText" text="超过">
      <formula>NOT(ISERROR(SEARCH("超过",J46)))</formula>
    </cfRule>
  </conditionalFormatting>
  <conditionalFormatting sqref="J48">
    <cfRule type="containsText" dxfId="63" priority="9" stopIfTrue="1" operator="containsText" text="超过">
      <formula>NOT(ISERROR(SEARCH("超过",J48)))</formula>
    </cfRule>
  </conditionalFormatting>
  <conditionalFormatting sqref="J47">
    <cfRule type="containsText" dxfId="62" priority="8" stopIfTrue="1" operator="containsText" text="超过">
      <formula>NOT(ISERROR(SEARCH("超过",J47)))</formula>
    </cfRule>
  </conditionalFormatting>
  <conditionalFormatting sqref="I46">
    <cfRule type="expression" dxfId="61" priority="7" stopIfTrue="1">
      <formula>$J$46="超过30%"</formula>
    </cfRule>
  </conditionalFormatting>
  <conditionalFormatting sqref="I47">
    <cfRule type="expression" dxfId="60" priority="6" stopIfTrue="1">
      <formula>$J$47="超过20%"</formula>
    </cfRule>
  </conditionalFormatting>
  <conditionalFormatting sqref="I48">
    <cfRule type="expression" dxfId="59" priority="5" stopIfTrue="1">
      <formula>$J$48="超过30%"</formula>
    </cfRule>
  </conditionalFormatting>
  <conditionalFormatting sqref="F42">
    <cfRule type="expression" dxfId="58" priority="4">
      <formula>$D$42="简单平均"</formula>
    </cfRule>
  </conditionalFormatting>
  <conditionalFormatting sqref="H42">
    <cfRule type="expression" dxfId="57" priority="3">
      <formula>$D$42="简单平均"</formula>
    </cfRule>
  </conditionalFormatting>
  <conditionalFormatting sqref="J42">
    <cfRule type="expression" dxfId="56" priority="2">
      <formula>$D$42="简单平均"</formula>
    </cfRule>
  </conditionalFormatting>
  <conditionalFormatting sqref="F7:F40 H7:H40 J7:J40">
    <cfRule type="cellIs" dxfId="55"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20 G20 E20 I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topLeftCell="A5" zoomScale="60" zoomScaleNormal="60" workbookViewId="0">
      <selection activeCell="F7" sqref="F7:F47"/>
    </sheetView>
  </sheetViews>
  <sheetFormatPr defaultColWidth="9" defaultRowHeight="14.25"/>
  <cols>
    <col min="1" max="1" width="10.5" style="362" customWidth="1"/>
    <col min="2" max="2" width="15.75" style="362" customWidth="1"/>
    <col min="3" max="3" width="14.375" style="362" customWidth="1"/>
    <col min="4" max="4" width="12.25" style="362" customWidth="1"/>
    <col min="5" max="5" width="14.375" style="362" customWidth="1"/>
    <col min="6" max="6" width="12.25" style="362" customWidth="1"/>
    <col min="7" max="7" width="14.5" style="362" customWidth="1"/>
    <col min="8" max="8" width="12.25" style="362" customWidth="1"/>
    <col min="9" max="9" width="15.5" style="362" customWidth="1"/>
    <col min="10" max="10" width="12.25" style="362" customWidth="1"/>
    <col min="11" max="11" width="12.25" style="451" customWidth="1"/>
    <col min="12" max="12" width="12.25" style="452" customWidth="1"/>
    <col min="13" max="15" width="12.25" style="362" customWidth="1"/>
    <col min="16" max="16" width="4.75" style="1029" customWidth="1"/>
    <col min="17" max="17" width="19.5" style="362" customWidth="1"/>
    <col min="18" max="22" width="6.125" style="362" customWidth="1"/>
    <col min="23" max="23" width="5.75" style="362" customWidth="1"/>
    <col min="24" max="24" width="4.25" style="362" customWidth="1"/>
    <col min="25" max="25" width="3.5" style="362" customWidth="1"/>
    <col min="26" max="26" width="19.75" style="362" customWidth="1"/>
    <col min="27" max="28" width="9.375" style="362" customWidth="1"/>
    <col min="29" max="16384" width="9" style="362"/>
  </cols>
  <sheetData>
    <row r="1" spans="1:29" s="1389" customFormat="1" ht="28.5" customHeight="1" thickBot="1">
      <c r="A1" s="1378" t="s">
        <v>2522</v>
      </c>
      <c r="B1" s="1379"/>
      <c r="C1" s="1380" t="s">
        <v>2345</v>
      </c>
      <c r="D1" s="1381"/>
      <c r="E1" s="1382"/>
      <c r="F1" s="2052"/>
      <c r="G1" s="1383" t="s">
        <v>2458</v>
      </c>
      <c r="H1" s="1382"/>
      <c r="I1" s="1382"/>
      <c r="J1" s="1382"/>
      <c r="K1" s="1384"/>
      <c r="L1" s="1385"/>
      <c r="M1" s="1386"/>
      <c r="N1" s="1386"/>
      <c r="O1" s="1386"/>
      <c r="P1" s="1387"/>
      <c r="Q1" s="1380"/>
      <c r="R1" s="1380"/>
      <c r="S1" s="1380"/>
      <c r="T1" s="1380"/>
      <c r="U1" s="1380"/>
      <c r="V1" s="1380"/>
      <c r="W1" s="1380"/>
      <c r="X1" s="1380"/>
      <c r="Y1" s="1380"/>
      <c r="Z1" s="1380"/>
      <c r="AA1" s="1380"/>
      <c r="AB1" s="1380"/>
      <c r="AC1" s="1388"/>
    </row>
    <row r="2" spans="1:29" s="357" customFormat="1" ht="28.5" customHeight="1" thickTop="1">
      <c r="A2" s="1377" t="s">
        <v>2147</v>
      </c>
      <c r="B2" s="1315" t="e">
        <f ca="1">IF(C2="——",IF(B37="元/平方米",ROUND(C39*D3/10000,0),ROUND(F3*C39/10000,0)),IF(B37="元/平方米",ROUND(C39*D3/10000,0),ROUND(F3*C39/10000,0))-D2)</f>
        <v>#DIV/0!</v>
      </c>
      <c r="C2" s="2054"/>
      <c r="D2" s="1030" t="e">
        <f ca="1">SUMIF(INDIRECT("'"&amp;F2&amp;"'"&amp;"!A:A"),"承租人权益价值",INDIRECT("'"&amp;F2&amp;"'"&amp;"!c:c"))</f>
        <v>#REF!</v>
      </c>
      <c r="E2" s="2055" t="s">
        <v>2148</v>
      </c>
      <c r="F2" s="2056"/>
      <c r="G2" s="1031"/>
      <c r="H2" s="1031"/>
      <c r="I2" s="1031"/>
      <c r="J2" s="1031"/>
      <c r="K2" s="1033"/>
      <c r="L2" s="2944"/>
      <c r="M2" s="2945"/>
      <c r="N2" s="2945"/>
      <c r="O2" s="2945"/>
      <c r="P2" s="1316"/>
      <c r="Q2" s="706"/>
      <c r="R2" s="706"/>
      <c r="S2" s="706"/>
      <c r="T2" s="706"/>
      <c r="U2" s="706"/>
      <c r="V2" s="706"/>
      <c r="W2" s="706"/>
      <c r="X2" s="706"/>
      <c r="Y2" s="706"/>
      <c r="Z2" s="706"/>
      <c r="AA2" s="706"/>
      <c r="AB2" s="706"/>
      <c r="AC2" s="707"/>
    </row>
    <row r="3" spans="1:29" s="357" customFormat="1" ht="28.5" customHeight="1" thickBot="1">
      <c r="A3" s="209" t="s">
        <v>2149</v>
      </c>
      <c r="B3" s="565" t="e">
        <f ca="1">IF(AND(C2="——",B37="元/平方米"),C39,ROUND(B2*10000/D3,0))</f>
        <v>#DIV/0!</v>
      </c>
      <c r="C3" s="359" t="s">
        <v>2459</v>
      </c>
      <c r="D3" s="358">
        <f>SUMIF('数据-汇总表'!$C19:$C33,D1,'数据-汇总表'!$E19:$E33)</f>
        <v>0</v>
      </c>
      <c r="E3" s="359" t="s">
        <v>2523</v>
      </c>
      <c r="F3" s="358">
        <f>SUMIF('数据-取费表'!A5:A15,D1,'数据-取费表'!AH5:AH15)</f>
        <v>0</v>
      </c>
      <c r="G3" s="1031"/>
      <c r="H3" s="1031"/>
      <c r="I3" s="1031"/>
      <c r="J3" s="1031"/>
      <c r="K3" s="1033"/>
      <c r="L3" s="2944"/>
      <c r="M3" s="2945"/>
      <c r="N3" s="2945"/>
      <c r="O3" s="2945"/>
      <c r="P3" s="1316"/>
      <c r="Q3" s="706"/>
      <c r="R3" s="706"/>
      <c r="S3" s="706"/>
      <c r="T3" s="706"/>
      <c r="U3" s="706"/>
      <c r="V3" s="706"/>
      <c r="W3" s="706"/>
      <c r="X3" s="706"/>
      <c r="Y3" s="706"/>
      <c r="Z3" s="706"/>
      <c r="AA3" s="706"/>
      <c r="AB3" s="723"/>
      <c r="AC3" s="720"/>
    </row>
    <row r="4" spans="1:29" ht="15">
      <c r="A4" s="360" t="s">
        <v>2460</v>
      </c>
      <c r="B4" s="361"/>
      <c r="C4" s="3357" t="s">
        <v>2461</v>
      </c>
      <c r="D4" s="3370"/>
      <c r="E4" s="3371" t="s">
        <v>2462</v>
      </c>
      <c r="F4" s="3372"/>
      <c r="G4" s="3357" t="s">
        <v>2463</v>
      </c>
      <c r="H4" s="3370"/>
      <c r="I4" s="3357" t="s">
        <v>2464</v>
      </c>
      <c r="J4" s="3370"/>
      <c r="K4" s="566" t="s">
        <v>2465</v>
      </c>
      <c r="L4" s="2925"/>
      <c r="M4" s="2926"/>
      <c r="N4" s="2926"/>
      <c r="O4" s="2926"/>
      <c r="P4" s="3373" t="s">
        <v>2466</v>
      </c>
      <c r="Q4" s="3374"/>
      <c r="R4" s="3379" t="s">
        <v>2462</v>
      </c>
      <c r="S4" s="3380"/>
      <c r="T4" s="3379" t="s">
        <v>2463</v>
      </c>
      <c r="U4" s="3380"/>
      <c r="V4" s="3366" t="s">
        <v>2464</v>
      </c>
      <c r="W4" s="3366"/>
      <c r="X4" s="1529"/>
      <c r="Y4" s="3379" t="s">
        <v>2466</v>
      </c>
      <c r="Z4" s="3380"/>
      <c r="AA4" s="3367" t="s">
        <v>2462</v>
      </c>
      <c r="AB4" s="3368" t="s">
        <v>2463</v>
      </c>
      <c r="AC4" s="3367" t="s">
        <v>2464</v>
      </c>
    </row>
    <row r="5" spans="1:29" ht="15">
      <c r="A5" s="363"/>
      <c r="B5" s="364"/>
      <c r="C5" s="3387" t="s">
        <v>2357</v>
      </c>
      <c r="D5" s="3388"/>
      <c r="E5" s="3394" t="s">
        <v>2358</v>
      </c>
      <c r="F5" s="3395"/>
      <c r="G5" s="3387" t="s">
        <v>2359</v>
      </c>
      <c r="H5" s="3388"/>
      <c r="I5" s="3387" t="s">
        <v>2360</v>
      </c>
      <c r="J5" s="3388"/>
      <c r="K5" s="566"/>
      <c r="L5" s="2925"/>
      <c r="M5" s="2926"/>
      <c r="N5" s="2926"/>
      <c r="O5" s="2926"/>
      <c r="P5" s="3375"/>
      <c r="Q5" s="3376"/>
      <c r="R5" s="3381"/>
      <c r="S5" s="3382"/>
      <c r="T5" s="3381"/>
      <c r="U5" s="3382"/>
      <c r="V5" s="3366"/>
      <c r="W5" s="3366"/>
      <c r="X5" s="1529"/>
      <c r="Y5" s="3381"/>
      <c r="Z5" s="3382"/>
      <c r="AA5" s="3368"/>
      <c r="AB5" s="3368"/>
      <c r="AC5" s="3368"/>
    </row>
    <row r="6" spans="1:29" ht="15.75" thickBot="1">
      <c r="A6" s="365"/>
      <c r="B6" s="366"/>
      <c r="C6" s="3385" t="s">
        <v>2361</v>
      </c>
      <c r="D6" s="3386"/>
      <c r="E6" s="3392" t="s">
        <v>2361</v>
      </c>
      <c r="F6" s="3393"/>
      <c r="G6" s="3385" t="s">
        <v>2361</v>
      </c>
      <c r="H6" s="3386"/>
      <c r="I6" s="3385" t="s">
        <v>2361</v>
      </c>
      <c r="J6" s="3386"/>
      <c r="K6" s="566" t="s">
        <v>2362</v>
      </c>
      <c r="L6" s="2925"/>
      <c r="M6" s="2926"/>
      <c r="N6" s="2926"/>
      <c r="O6" s="2926"/>
      <c r="P6" s="3377"/>
      <c r="Q6" s="3378"/>
      <c r="R6" s="3381"/>
      <c r="S6" s="3382"/>
      <c r="T6" s="3383"/>
      <c r="U6" s="3384"/>
      <c r="V6" s="3366"/>
      <c r="W6" s="3366"/>
      <c r="X6" s="1529"/>
      <c r="Y6" s="3383"/>
      <c r="Z6" s="3384"/>
      <c r="AA6" s="3369"/>
      <c r="AB6" s="3369"/>
      <c r="AC6" s="3369"/>
    </row>
    <row r="7" spans="1:29" s="113" customFormat="1" ht="15.75" thickBot="1">
      <c r="A7" s="367" t="s">
        <v>2363</v>
      </c>
      <c r="B7" s="368"/>
      <c r="C7" s="369">
        <f>'数据-取费表'!B2</f>
        <v>44280</v>
      </c>
      <c r="D7" s="370">
        <v>100</v>
      </c>
      <c r="E7" s="371"/>
      <c r="F7" s="372">
        <f>SUMIF(48:48,YEAR(E7)&amp;"-"&amp;MONTH(E7),49:49)</f>
        <v>0</v>
      </c>
      <c r="G7" s="371"/>
      <c r="H7" s="370">
        <f>SUMIF(48:48,YEAR(G7)&amp;"-"&amp;MONTH(G7),49:49)</f>
        <v>0</v>
      </c>
      <c r="I7" s="371"/>
      <c r="J7" s="370">
        <f>SUMIF(48:48,YEAR(I7)&amp;"-"&amp;MONTH(I7),49:49)</f>
        <v>0</v>
      </c>
      <c r="K7" s="567"/>
      <c r="L7" s="2927"/>
      <c r="M7" s="2928"/>
      <c r="N7" s="2928"/>
      <c r="O7" s="2928"/>
      <c r="P7" s="3389" t="s">
        <v>2364</v>
      </c>
      <c r="Q7" s="3391"/>
      <c r="R7" s="708" t="s">
        <v>17</v>
      </c>
      <c r="S7" s="709">
        <f t="shared" ref="S7:S14" si="0">F7</f>
        <v>0</v>
      </c>
      <c r="T7" s="708" t="s">
        <v>17</v>
      </c>
      <c r="U7" s="709">
        <f t="shared" ref="U7:U14" si="1">H7</f>
        <v>0</v>
      </c>
      <c r="V7" s="708" t="s">
        <v>17</v>
      </c>
      <c r="W7" s="709">
        <f t="shared" ref="W7:W14" si="2">J7</f>
        <v>0</v>
      </c>
      <c r="X7" s="710"/>
      <c r="Y7" s="3389" t="s">
        <v>2364</v>
      </c>
      <c r="Z7" s="3390"/>
      <c r="AA7" s="711" t="e">
        <f>D7/F7</f>
        <v>#DIV/0!</v>
      </c>
      <c r="AB7" s="711" t="e">
        <f>D7/H7</f>
        <v>#DIV/0!</v>
      </c>
      <c r="AC7" s="711" t="e">
        <f>D7/J7</f>
        <v>#DIV/0!</v>
      </c>
    </row>
    <row r="8" spans="1:29" s="113" customFormat="1" ht="15.75" thickBot="1">
      <c r="A8" s="367" t="s">
        <v>2365</v>
      </c>
      <c r="B8" s="368"/>
      <c r="C8" s="373" t="s">
        <v>2467</v>
      </c>
      <c r="D8" s="370">
        <v>100</v>
      </c>
      <c r="E8" s="373"/>
      <c r="F8" s="372">
        <f>SUMIF(51:51,E8,52:52)-SUMIF(51:51,C8,52:52)+100</f>
        <v>0</v>
      </c>
      <c r="G8" s="373"/>
      <c r="H8" s="370">
        <f>SUMIF(51:51,G8,52:52)-SUMIF(51:51,C8,52:52)+100</f>
        <v>0</v>
      </c>
      <c r="I8" s="373"/>
      <c r="J8" s="370">
        <f>SUMIF(51:51,I8,52:52)-SUMIF(51:51,C8,52:52)+100</f>
        <v>0</v>
      </c>
      <c r="K8" s="567"/>
      <c r="L8" s="2927"/>
      <c r="M8" s="2928"/>
      <c r="N8" s="2928"/>
      <c r="O8" s="2928"/>
      <c r="P8" s="3389" t="s">
        <v>2367</v>
      </c>
      <c r="Q8" s="3390"/>
      <c r="R8" s="708" t="s">
        <v>17</v>
      </c>
      <c r="S8" s="709">
        <f t="shared" si="0"/>
        <v>0</v>
      </c>
      <c r="T8" s="708" t="s">
        <v>17</v>
      </c>
      <c r="U8" s="709">
        <f t="shared" si="1"/>
        <v>0</v>
      </c>
      <c r="V8" s="708" t="s">
        <v>17</v>
      </c>
      <c r="W8" s="709">
        <f t="shared" si="2"/>
        <v>0</v>
      </c>
      <c r="X8" s="710"/>
      <c r="Y8" s="3389" t="s">
        <v>2367</v>
      </c>
      <c r="Z8" s="3390"/>
      <c r="AA8" s="711" t="e">
        <f t="shared" ref="AA8:AA36" si="3">D8/F8</f>
        <v>#DIV/0!</v>
      </c>
      <c r="AB8" s="711" t="e">
        <f t="shared" ref="AB8:AB36" si="4">D8/H8</f>
        <v>#DIV/0!</v>
      </c>
      <c r="AC8" s="711" t="e">
        <f t="shared" ref="AC8:AC36" si="5">D8/J8</f>
        <v>#DIV/0!</v>
      </c>
    </row>
    <row r="9" spans="1:29" s="113" customFormat="1">
      <c r="A9" s="64" t="s">
        <v>2368</v>
      </c>
      <c r="B9" s="595" t="s">
        <v>2369</v>
      </c>
      <c r="C9" s="375"/>
      <c r="D9" s="131">
        <v>100</v>
      </c>
      <c r="E9" s="378"/>
      <c r="F9" s="131">
        <f>SUMIF(53:53,E9,54:54)-SUMIF(53:53,C9,54:54)+100</f>
        <v>100</v>
      </c>
      <c r="G9" s="376"/>
      <c r="H9" s="131">
        <f>SUMIF(53:53,G9,54:54)-SUMIF(53:53,C9,54:54)+100</f>
        <v>100</v>
      </c>
      <c r="I9" s="376"/>
      <c r="J9" s="131">
        <f>SUMIF(53:53,I9,54:54)-SUMIF(53:53,C9,54:54)+100</f>
        <v>100</v>
      </c>
      <c r="K9" s="567"/>
      <c r="L9" s="2927"/>
      <c r="M9" s="2928"/>
      <c r="N9" s="2928"/>
      <c r="O9" s="2928"/>
      <c r="P9" s="3360" t="s">
        <v>2370</v>
      </c>
      <c r="Q9" s="1517" t="str">
        <f t="shared" ref="Q9:Q14" si="6">B9</f>
        <v>用途</v>
      </c>
      <c r="R9" s="708" t="s">
        <v>17</v>
      </c>
      <c r="S9" s="709">
        <f t="shared" si="0"/>
        <v>100</v>
      </c>
      <c r="T9" s="708" t="s">
        <v>17</v>
      </c>
      <c r="U9" s="709">
        <f t="shared" si="1"/>
        <v>100</v>
      </c>
      <c r="V9" s="708" t="s">
        <v>17</v>
      </c>
      <c r="W9" s="709">
        <f t="shared" si="2"/>
        <v>100</v>
      </c>
      <c r="X9" s="710"/>
      <c r="Y9" s="3257" t="s">
        <v>2371</v>
      </c>
      <c r="Z9" s="55" t="str">
        <f t="shared" ref="Z9:Z14" si="7">Q9</f>
        <v>用途</v>
      </c>
      <c r="AA9" s="711">
        <f t="shared" si="3"/>
        <v>1</v>
      </c>
      <c r="AB9" s="711">
        <f t="shared" si="4"/>
        <v>1</v>
      </c>
      <c r="AC9" s="711">
        <f t="shared" si="5"/>
        <v>1</v>
      </c>
    </row>
    <row r="10" spans="1:29" s="385" customFormat="1" ht="27">
      <c r="A10" s="596"/>
      <c r="B10" s="597" t="s">
        <v>2372</v>
      </c>
      <c r="C10" s="381"/>
      <c r="D10" s="132">
        <v>100</v>
      </c>
      <c r="E10" s="381"/>
      <c r="F10" s="132">
        <f>SUMIF(55:55,E10,56:56)-SUMIF(55:55,C10,56:56)+100</f>
        <v>100</v>
      </c>
      <c r="G10" s="382"/>
      <c r="H10" s="132">
        <f>SUMIF(55:55,G10,56:56)-SUMIF(55:55,C10,56:56)+100</f>
        <v>100</v>
      </c>
      <c r="I10" s="381"/>
      <c r="J10" s="132">
        <f>SUMIF(55:55,I10,56:56)-SUMIF(55:55,C10,56:56)+100</f>
        <v>100</v>
      </c>
      <c r="K10" s="568"/>
      <c r="L10" s="2929"/>
      <c r="M10" s="2930"/>
      <c r="N10" s="2930"/>
      <c r="O10" s="2930"/>
      <c r="P10" s="3360"/>
      <c r="Q10" s="1517" t="str">
        <f t="shared" si="6"/>
        <v>土地使用年限（年）</v>
      </c>
      <c r="R10" s="708" t="s">
        <v>17</v>
      </c>
      <c r="S10" s="709">
        <f t="shared" si="0"/>
        <v>100</v>
      </c>
      <c r="T10" s="708" t="s">
        <v>17</v>
      </c>
      <c r="U10" s="709">
        <f t="shared" si="1"/>
        <v>100</v>
      </c>
      <c r="V10" s="708" t="s">
        <v>17</v>
      </c>
      <c r="W10" s="709">
        <f t="shared" si="2"/>
        <v>100</v>
      </c>
      <c r="X10" s="710"/>
      <c r="Y10" s="3257"/>
      <c r="Z10" s="55" t="str">
        <f t="shared" si="7"/>
        <v>土地使用年限（年）</v>
      </c>
      <c r="AA10" s="711">
        <f t="shared" si="3"/>
        <v>1</v>
      </c>
      <c r="AB10" s="711">
        <f t="shared" si="4"/>
        <v>1</v>
      </c>
      <c r="AC10" s="711">
        <f t="shared" si="5"/>
        <v>1</v>
      </c>
    </row>
    <row r="11" spans="1:29" ht="15">
      <c r="A11" s="598"/>
      <c r="B11" s="599">
        <v>111</v>
      </c>
      <c r="C11" s="390"/>
      <c r="D11" s="132">
        <v>100</v>
      </c>
      <c r="E11" s="390"/>
      <c r="F11" s="132">
        <f>SUMIF(57:57,E11,58:58)-SUMIF(57:57,C11,58:58)+100</f>
        <v>100</v>
      </c>
      <c r="G11" s="390"/>
      <c r="H11" s="132">
        <f>SUMIF(57:57,G11,58:58)-SUMIF(57:57,C11,58:58)+100</f>
        <v>100</v>
      </c>
      <c r="I11" s="390"/>
      <c r="J11" s="132">
        <f>SUMIF(57:57,I11,58:58)-SUMIF(57:57,C11,58:58)+100</f>
        <v>100</v>
      </c>
      <c r="K11" s="569"/>
      <c r="L11" s="2931"/>
      <c r="M11" s="2926"/>
      <c r="N11" s="2926"/>
      <c r="O11" s="2926"/>
      <c r="P11" s="3360"/>
      <c r="Q11" s="1517">
        <f t="shared" si="6"/>
        <v>111</v>
      </c>
      <c r="R11" s="708" t="s">
        <v>17</v>
      </c>
      <c r="S11" s="709">
        <f t="shared" si="0"/>
        <v>100</v>
      </c>
      <c r="T11" s="708" t="s">
        <v>17</v>
      </c>
      <c r="U11" s="709">
        <f t="shared" si="1"/>
        <v>100</v>
      </c>
      <c r="V11" s="708" t="s">
        <v>17</v>
      </c>
      <c r="W11" s="709">
        <f t="shared" si="2"/>
        <v>100</v>
      </c>
      <c r="X11" s="710"/>
      <c r="Y11" s="3257"/>
      <c r="Z11" s="55">
        <f t="shared" si="7"/>
        <v>111</v>
      </c>
      <c r="AA11" s="711">
        <f t="shared" si="3"/>
        <v>1</v>
      </c>
      <c r="AB11" s="711">
        <f t="shared" si="4"/>
        <v>1</v>
      </c>
      <c r="AC11" s="711">
        <f t="shared" si="5"/>
        <v>1</v>
      </c>
    </row>
    <row r="12" spans="1:29" s="113" customFormat="1" ht="15">
      <c r="A12" s="600"/>
      <c r="B12" s="599">
        <v>111</v>
      </c>
      <c r="C12" s="390"/>
      <c r="D12" s="391">
        <v>100</v>
      </c>
      <c r="E12" s="390"/>
      <c r="F12" s="132">
        <f>SUMIF(59:59,E12,60:60)-SUMIF(59:59,C12,60:60)+100</f>
        <v>100</v>
      </c>
      <c r="G12" s="390"/>
      <c r="H12" s="132">
        <f>SUMIF(59:59,G12,60:60)-SUMIF(59:59,C12,60:60)+100</f>
        <v>100</v>
      </c>
      <c r="I12" s="390"/>
      <c r="J12" s="132">
        <f>SUMIF(59:59,I12,60:60)-SUMIF(59:59,C12,60:60)+100</f>
        <v>100</v>
      </c>
      <c r="K12" s="569"/>
      <c r="L12" s="2927"/>
      <c r="M12" s="2928"/>
      <c r="N12" s="2928"/>
      <c r="O12" s="2928"/>
      <c r="P12" s="3360"/>
      <c r="Q12" s="1517">
        <f t="shared" si="6"/>
        <v>111</v>
      </c>
      <c r="R12" s="708" t="s">
        <v>17</v>
      </c>
      <c r="S12" s="709">
        <f t="shared" si="0"/>
        <v>100</v>
      </c>
      <c r="T12" s="708" t="s">
        <v>17</v>
      </c>
      <c r="U12" s="709">
        <f t="shared" si="1"/>
        <v>100</v>
      </c>
      <c r="V12" s="708" t="s">
        <v>17</v>
      </c>
      <c r="W12" s="709">
        <f t="shared" si="2"/>
        <v>100</v>
      </c>
      <c r="X12" s="710"/>
      <c r="Y12" s="3257"/>
      <c r="Z12" s="55">
        <f t="shared" si="7"/>
        <v>111</v>
      </c>
      <c r="AA12" s="711">
        <f>D12/F12</f>
        <v>1</v>
      </c>
      <c r="AB12" s="711">
        <f>D12/H12</f>
        <v>1</v>
      </c>
      <c r="AC12" s="711">
        <f>D12/J12</f>
        <v>1</v>
      </c>
    </row>
    <row r="13" spans="1:29" ht="15.75" thickBot="1">
      <c r="A13" s="601"/>
      <c r="B13" s="599">
        <v>111</v>
      </c>
      <c r="C13" s="392"/>
      <c r="D13" s="393">
        <v>100</v>
      </c>
      <c r="E13" s="390"/>
      <c r="F13" s="132">
        <f>SUMIF(61:61,E13,62:62)-SUMIF(61:61,C13,62:62)+100</f>
        <v>100</v>
      </c>
      <c r="G13" s="390"/>
      <c r="H13" s="393">
        <f>SUMIF(61:61,G13,62:62)-SUMIF(61:61,C13,62:62)+100</f>
        <v>100</v>
      </c>
      <c r="I13" s="390"/>
      <c r="J13" s="393">
        <f>SUMIF(61:61,I13,62:62)-SUMIF(61:61,C13,62:62)+100</f>
        <v>100</v>
      </c>
      <c r="K13" s="569"/>
      <c r="L13" s="2932"/>
      <c r="M13" s="2926"/>
      <c r="N13" s="2926"/>
      <c r="O13" s="2926"/>
      <c r="P13" s="3360"/>
      <c r="Q13" s="1517">
        <f t="shared" si="6"/>
        <v>111</v>
      </c>
      <c r="R13" s="708" t="s">
        <v>17</v>
      </c>
      <c r="S13" s="709">
        <f t="shared" si="0"/>
        <v>100</v>
      </c>
      <c r="T13" s="708" t="s">
        <v>17</v>
      </c>
      <c r="U13" s="709">
        <f t="shared" si="1"/>
        <v>100</v>
      </c>
      <c r="V13" s="708" t="s">
        <v>17</v>
      </c>
      <c r="W13" s="709">
        <f t="shared" si="2"/>
        <v>100</v>
      </c>
      <c r="X13" s="710"/>
      <c r="Y13" s="3257"/>
      <c r="Z13" s="55">
        <f t="shared" si="7"/>
        <v>111</v>
      </c>
      <c r="AA13" s="711">
        <f t="shared" si="3"/>
        <v>1</v>
      </c>
      <c r="AB13" s="711">
        <f t="shared" si="4"/>
        <v>1</v>
      </c>
      <c r="AC13" s="711">
        <f t="shared" si="5"/>
        <v>1</v>
      </c>
    </row>
    <row r="14" spans="1:29" ht="15">
      <c r="A14" s="360" t="s">
        <v>2374</v>
      </c>
      <c r="B14" s="584" t="s">
        <v>2524</v>
      </c>
      <c r="C14" s="2144">
        <f>IF(B1="工业",估价对象房地状况!G4,估价对象房地状况!C6)</f>
        <v>0</v>
      </c>
      <c r="D14" s="399">
        <v>100</v>
      </c>
      <c r="E14" s="400"/>
      <c r="F14" s="401">
        <f>SUMIF(63:63,E15,64:64)-SUMIF(63:63,C15,64:64)+100</f>
        <v>100</v>
      </c>
      <c r="G14" s="402"/>
      <c r="H14" s="399">
        <f>SUMIF(63:63,G15,64:64)-SUMIF(63:63,C15,64:64)+100</f>
        <v>100</v>
      </c>
      <c r="I14" s="400"/>
      <c r="J14" s="399">
        <f>SUMIF(63:63,I15,64:64)-SUMIF(63:63,C15,64:64)+100</f>
        <v>100</v>
      </c>
      <c r="K14" s="570"/>
      <c r="L14" s="2932"/>
      <c r="M14" s="2926"/>
      <c r="N14" s="2926"/>
      <c r="O14" s="2926"/>
      <c r="P14" s="3362" t="s">
        <v>2375</v>
      </c>
      <c r="Q14" s="1526" t="str">
        <f t="shared" si="6"/>
        <v>交通便捷度</v>
      </c>
      <c r="R14" s="712" t="s">
        <v>17</v>
      </c>
      <c r="S14" s="713">
        <f t="shared" si="0"/>
        <v>100</v>
      </c>
      <c r="T14" s="712" t="s">
        <v>17</v>
      </c>
      <c r="U14" s="713">
        <f t="shared" si="1"/>
        <v>100</v>
      </c>
      <c r="V14" s="712" t="s">
        <v>17</v>
      </c>
      <c r="W14" s="713">
        <f t="shared" si="2"/>
        <v>100</v>
      </c>
      <c r="X14" s="1529"/>
      <c r="Y14" s="3362" t="s">
        <v>2375</v>
      </c>
      <c r="Z14" s="1530" t="str">
        <f t="shared" si="7"/>
        <v>交通便捷度</v>
      </c>
      <c r="AA14" s="1527">
        <f t="shared" si="3"/>
        <v>1</v>
      </c>
      <c r="AB14" s="1527">
        <f t="shared" si="4"/>
        <v>1</v>
      </c>
      <c r="AC14" s="1527">
        <f t="shared" si="5"/>
        <v>1</v>
      </c>
    </row>
    <row r="15" spans="1:29" ht="15">
      <c r="A15" s="363"/>
      <c r="B15" s="602"/>
      <c r="C15" s="405"/>
      <c r="D15" s="406"/>
      <c r="E15" s="405"/>
      <c r="F15" s="407"/>
      <c r="G15" s="405"/>
      <c r="H15" s="408"/>
      <c r="I15" s="405"/>
      <c r="J15" s="406"/>
      <c r="K15" s="571"/>
      <c r="L15" s="2932"/>
      <c r="M15" s="2926"/>
      <c r="N15" s="2926"/>
      <c r="O15" s="2926"/>
      <c r="P15" s="3363"/>
      <c r="Q15" s="1526"/>
      <c r="R15" s="712"/>
      <c r="S15" s="713"/>
      <c r="T15" s="712"/>
      <c r="U15" s="713"/>
      <c r="V15" s="712"/>
      <c r="W15" s="713"/>
      <c r="X15" s="1529"/>
      <c r="Y15" s="3363"/>
      <c r="Z15" s="1530"/>
      <c r="AA15" s="1527">
        <v>1</v>
      </c>
      <c r="AB15" s="1527">
        <v>1</v>
      </c>
      <c r="AC15" s="1527">
        <v>1</v>
      </c>
    </row>
    <row r="16" spans="1:29" ht="15">
      <c r="A16" s="363"/>
      <c r="B16" s="586" t="s">
        <v>2503</v>
      </c>
      <c r="C16" s="2073">
        <f>IF(B1="工业",估价对象房地状况!G5,估价对象房地状况!C7)</f>
        <v>0</v>
      </c>
      <c r="D16" s="413">
        <v>100</v>
      </c>
      <c r="E16" s="415"/>
      <c r="F16" s="416">
        <f>SUMIF(65:65,E17,66:66)-SUMIF(65:65,C17,66:66)+100</f>
        <v>100</v>
      </c>
      <c r="G16" s="417"/>
      <c r="H16" s="413">
        <f>SUMIF(65:65,G17,66:66)-SUMIF(65:65,C17,66:66)+100</f>
        <v>100</v>
      </c>
      <c r="I16" s="415"/>
      <c r="J16" s="413">
        <f>SUMIF(65:65,I17,66:66)-SUMIF(65:65,C17,66:66)+100</f>
        <v>100</v>
      </c>
      <c r="K16" s="570"/>
      <c r="L16" s="2932"/>
      <c r="M16" s="2926"/>
      <c r="N16" s="2926"/>
      <c r="O16" s="2926"/>
      <c r="P16" s="3363"/>
      <c r="Q16" s="1526" t="str">
        <f>B16</f>
        <v>公共配套设施</v>
      </c>
      <c r="R16" s="712" t="s">
        <v>17</v>
      </c>
      <c r="S16" s="713">
        <f>F16</f>
        <v>100</v>
      </c>
      <c r="T16" s="712" t="s">
        <v>17</v>
      </c>
      <c r="U16" s="713">
        <f>H16</f>
        <v>100</v>
      </c>
      <c r="V16" s="712" t="s">
        <v>17</v>
      </c>
      <c r="W16" s="713">
        <f>J16</f>
        <v>100</v>
      </c>
      <c r="X16" s="1529"/>
      <c r="Y16" s="3363"/>
      <c r="Z16" s="1530" t="str">
        <f>Q16</f>
        <v>公共配套设施</v>
      </c>
      <c r="AA16" s="1527">
        <f t="shared" si="3"/>
        <v>1</v>
      </c>
      <c r="AB16" s="1527">
        <f t="shared" si="4"/>
        <v>1</v>
      </c>
      <c r="AC16" s="1527">
        <f t="shared" si="5"/>
        <v>1</v>
      </c>
    </row>
    <row r="17" spans="1:29" ht="15">
      <c r="A17" s="363"/>
      <c r="B17" s="587"/>
      <c r="C17" s="2074"/>
      <c r="D17" s="406"/>
      <c r="E17" s="405"/>
      <c r="F17" s="407"/>
      <c r="G17" s="405"/>
      <c r="H17" s="406"/>
      <c r="I17" s="405"/>
      <c r="J17" s="406"/>
      <c r="K17" s="571"/>
      <c r="L17" s="2932"/>
      <c r="M17" s="2926"/>
      <c r="N17" s="2926"/>
      <c r="O17" s="2926"/>
      <c r="P17" s="3363"/>
      <c r="Q17" s="1526"/>
      <c r="R17" s="712"/>
      <c r="S17" s="713"/>
      <c r="T17" s="712"/>
      <c r="U17" s="713"/>
      <c r="V17" s="712"/>
      <c r="W17" s="713"/>
      <c r="X17" s="1529"/>
      <c r="Y17" s="3363"/>
      <c r="Z17" s="1530"/>
      <c r="AA17" s="1527">
        <v>1</v>
      </c>
      <c r="AB17" s="1527">
        <v>1</v>
      </c>
      <c r="AC17" s="1527">
        <v>1</v>
      </c>
    </row>
    <row r="18" spans="1:29" ht="15">
      <c r="A18" s="363"/>
      <c r="B18" s="588" t="s">
        <v>2504</v>
      </c>
      <c r="C18" s="2073">
        <f>IF(B1="工业",估价对象房地状况!G6,估价对象房地状况!C8)</f>
        <v>0</v>
      </c>
      <c r="D18" s="408">
        <v>100</v>
      </c>
      <c r="E18" s="410"/>
      <c r="F18" s="416">
        <f>SUMIF(67:67,E19,68:68)-SUMIF(67:67,C19,68:68)+100</f>
        <v>100</v>
      </c>
      <c r="G18" s="412"/>
      <c r="H18" s="413">
        <f>SUMIF(67:67,G19,68:68)-SUMIF(67:67,C19,68:68)+100</f>
        <v>100</v>
      </c>
      <c r="I18" s="410"/>
      <c r="J18" s="413">
        <f>SUMIF(67:67,I19,68:68)-SUMIF(67:67,C19,68:68)+100</f>
        <v>100</v>
      </c>
      <c r="K18" s="570"/>
      <c r="L18" s="2932"/>
      <c r="M18" s="2926"/>
      <c r="N18" s="2926"/>
      <c r="O18" s="2926"/>
      <c r="P18" s="3363"/>
      <c r="Q18" s="1526" t="str">
        <f>B18</f>
        <v>基础设施水平</v>
      </c>
      <c r="R18" s="712" t="s">
        <v>17</v>
      </c>
      <c r="S18" s="713">
        <f>F18</f>
        <v>100</v>
      </c>
      <c r="T18" s="712" t="s">
        <v>17</v>
      </c>
      <c r="U18" s="713">
        <f>H18</f>
        <v>100</v>
      </c>
      <c r="V18" s="712" t="s">
        <v>17</v>
      </c>
      <c r="W18" s="713">
        <f>J18</f>
        <v>100</v>
      </c>
      <c r="X18" s="1529"/>
      <c r="Y18" s="3363"/>
      <c r="Z18" s="1530" t="str">
        <f>Q18</f>
        <v>基础设施水平</v>
      </c>
      <c r="AA18" s="1527">
        <f t="shared" ref="AA18" si="8">D18/F18</f>
        <v>1</v>
      </c>
      <c r="AB18" s="1527">
        <f t="shared" ref="AB18" si="9">D18/H18</f>
        <v>1</v>
      </c>
      <c r="AC18" s="1527">
        <f t="shared" ref="AC18" si="10">D18/J18</f>
        <v>1</v>
      </c>
    </row>
    <row r="19" spans="1:29" ht="15">
      <c r="A19" s="363"/>
      <c r="B19" s="588"/>
      <c r="C19" s="2074"/>
      <c r="D19" s="408"/>
      <c r="E19" s="2074"/>
      <c r="F19" s="411"/>
      <c r="G19" s="2074"/>
      <c r="H19" s="406"/>
      <c r="I19" s="405"/>
      <c r="J19" s="406"/>
      <c r="K19" s="1283"/>
      <c r="L19" s="2932"/>
      <c r="M19" s="2926"/>
      <c r="N19" s="2926"/>
      <c r="O19" s="2926"/>
      <c r="P19" s="3363"/>
      <c r="Q19" s="1526"/>
      <c r="R19" s="712"/>
      <c r="S19" s="713"/>
      <c r="T19" s="712"/>
      <c r="U19" s="713"/>
      <c r="V19" s="712"/>
      <c r="W19" s="713"/>
      <c r="X19" s="1529"/>
      <c r="Y19" s="3363"/>
      <c r="Z19" s="1530"/>
      <c r="AA19" s="1527">
        <v>1</v>
      </c>
      <c r="AB19" s="1527">
        <v>1</v>
      </c>
      <c r="AC19" s="1527">
        <v>1</v>
      </c>
    </row>
    <row r="20" spans="1:29" ht="15">
      <c r="A20" s="363"/>
      <c r="B20" s="586" t="s">
        <v>2525</v>
      </c>
      <c r="C20" s="2073">
        <f>IF(B1="工业",估价对象房地状况!G7,估价对象房地状况!C9)</f>
        <v>0</v>
      </c>
      <c r="D20" s="413">
        <v>100</v>
      </c>
      <c r="E20" s="415"/>
      <c r="F20" s="416">
        <f>SUMIF(69:69,E21,70:70)-SUMIF(69:69,C21,70:70)+100</f>
        <v>100</v>
      </c>
      <c r="G20" s="417"/>
      <c r="H20" s="408">
        <f>SUMIF(69:69,G21,70:70)-SUMIF(69:69,C21,70:70)+100</f>
        <v>100</v>
      </c>
      <c r="I20" s="410"/>
      <c r="J20" s="408">
        <f>SUMIF(69:69,I21,70:70)-SUMIF(69:69,C21,70:70)+100</f>
        <v>100</v>
      </c>
      <c r="K20" s="570"/>
      <c r="L20" s="2932"/>
      <c r="M20" s="2926"/>
      <c r="N20" s="2926"/>
      <c r="O20" s="2926"/>
      <c r="P20" s="3363"/>
      <c r="Q20" s="1526" t="str">
        <f>B20</f>
        <v>自然及人文环境</v>
      </c>
      <c r="R20" s="712" t="s">
        <v>17</v>
      </c>
      <c r="S20" s="713">
        <f>F20</f>
        <v>100</v>
      </c>
      <c r="T20" s="712" t="s">
        <v>17</v>
      </c>
      <c r="U20" s="713">
        <f>H20</f>
        <v>100</v>
      </c>
      <c r="V20" s="712" t="s">
        <v>17</v>
      </c>
      <c r="W20" s="713">
        <f>J20</f>
        <v>100</v>
      </c>
      <c r="X20" s="1529"/>
      <c r="Y20" s="3363"/>
      <c r="Z20" s="1530" t="str">
        <f>Q20</f>
        <v>自然及人文环境</v>
      </c>
      <c r="AA20" s="1527">
        <f t="shared" si="3"/>
        <v>1</v>
      </c>
      <c r="AB20" s="1527">
        <f t="shared" si="4"/>
        <v>1</v>
      </c>
      <c r="AC20" s="1527">
        <f t="shared" si="5"/>
        <v>1</v>
      </c>
    </row>
    <row r="21" spans="1:29" ht="15">
      <c r="A21" s="363"/>
      <c r="B21" s="587"/>
      <c r="C21" s="405"/>
      <c r="D21" s="406"/>
      <c r="E21" s="405"/>
      <c r="F21" s="407"/>
      <c r="G21" s="405"/>
      <c r="H21" s="406"/>
      <c r="I21" s="405"/>
      <c r="J21" s="406"/>
      <c r="K21" s="571"/>
      <c r="L21" s="2932"/>
      <c r="M21" s="2926"/>
      <c r="N21" s="2926"/>
      <c r="O21" s="2926"/>
      <c r="P21" s="3363"/>
      <c r="Q21" s="1526"/>
      <c r="R21" s="712"/>
      <c r="S21" s="713"/>
      <c r="T21" s="712"/>
      <c r="U21" s="713"/>
      <c r="V21" s="712"/>
      <c r="W21" s="713"/>
      <c r="X21" s="1529"/>
      <c r="Y21" s="3363"/>
      <c r="Z21" s="1530"/>
      <c r="AA21" s="1527">
        <v>1</v>
      </c>
      <c r="AB21" s="1527">
        <v>1</v>
      </c>
      <c r="AC21" s="1527">
        <v>1</v>
      </c>
    </row>
    <row r="22" spans="1:29" ht="15">
      <c r="A22" s="363"/>
      <c r="B22" s="586" t="s">
        <v>2526</v>
      </c>
      <c r="C22" s="572"/>
      <c r="D22" s="408">
        <v>100</v>
      </c>
      <c r="E22" s="572"/>
      <c r="F22" s="419">
        <f>SUMIF(71:71,E22,72:72)-SUMIF(71:71,C22,72:72)+100</f>
        <v>100</v>
      </c>
      <c r="G22" s="572"/>
      <c r="H22" s="393">
        <f>SUMIF(71:71,G22,72:72)-SUMIF(71:71,C22,72:72)+100</f>
        <v>100</v>
      </c>
      <c r="I22" s="572"/>
      <c r="J22" s="393">
        <f>SUMIF(71:71,I22,72:72)-SUMIF(71:71,C22,72:72)+100</f>
        <v>100</v>
      </c>
      <c r="K22" s="568"/>
      <c r="L22" s="2932"/>
      <c r="M22" s="2926"/>
      <c r="N22" s="2926"/>
      <c r="O22" s="2926"/>
      <c r="P22" s="3363"/>
      <c r="Q22" s="1526" t="str">
        <f>B22</f>
        <v>楼层</v>
      </c>
      <c r="R22" s="712" t="s">
        <v>17</v>
      </c>
      <c r="S22" s="713">
        <f>F22</f>
        <v>100</v>
      </c>
      <c r="T22" s="712" t="s">
        <v>17</v>
      </c>
      <c r="U22" s="713">
        <f>H22</f>
        <v>100</v>
      </c>
      <c r="V22" s="712" t="s">
        <v>17</v>
      </c>
      <c r="W22" s="713">
        <f>J22</f>
        <v>100</v>
      </c>
      <c r="X22" s="1529"/>
      <c r="Y22" s="3363"/>
      <c r="Z22" s="1530" t="str">
        <f>Q22</f>
        <v>楼层</v>
      </c>
      <c r="AA22" s="1527">
        <f t="shared" si="3"/>
        <v>1</v>
      </c>
      <c r="AB22" s="1527">
        <f t="shared" si="4"/>
        <v>1</v>
      </c>
      <c r="AC22" s="1527">
        <f t="shared" si="5"/>
        <v>1</v>
      </c>
    </row>
    <row r="23" spans="1:29" ht="15">
      <c r="A23" s="363"/>
      <c r="B23" s="603">
        <v>111</v>
      </c>
      <c r="C23" s="390"/>
      <c r="D23" s="393">
        <v>100</v>
      </c>
      <c r="E23" s="390"/>
      <c r="F23" s="419">
        <f>SUMIF(73:73,E23,74:74)-SUMIF(73:73,C23,74:74)+100</f>
        <v>100</v>
      </c>
      <c r="G23" s="390"/>
      <c r="H23" s="393">
        <f>SUMIF(73:73,G23,74:74)-SUMIF(73:73,C23,74:74)+100</f>
        <v>100</v>
      </c>
      <c r="I23" s="390"/>
      <c r="J23" s="393">
        <f>SUMIF(73:73,I23,74:74)-SUMIF(73:73,C23,74:74)+100</f>
        <v>100</v>
      </c>
      <c r="K23" s="569"/>
      <c r="L23" s="2932"/>
      <c r="M23" s="2926"/>
      <c r="N23" s="2926"/>
      <c r="O23" s="2926"/>
      <c r="P23" s="3363"/>
      <c r="Q23" s="1526">
        <f>B23</f>
        <v>111</v>
      </c>
      <c r="R23" s="712" t="s">
        <v>17</v>
      </c>
      <c r="S23" s="713">
        <f>F23</f>
        <v>100</v>
      </c>
      <c r="T23" s="712" t="s">
        <v>17</v>
      </c>
      <c r="U23" s="713">
        <f>H23</f>
        <v>100</v>
      </c>
      <c r="V23" s="712" t="s">
        <v>17</v>
      </c>
      <c r="W23" s="713">
        <f>J23</f>
        <v>100</v>
      </c>
      <c r="X23" s="1529"/>
      <c r="Y23" s="3363"/>
      <c r="Z23" s="1530">
        <f>Q23</f>
        <v>111</v>
      </c>
      <c r="AA23" s="1527">
        <f t="shared" si="3"/>
        <v>1</v>
      </c>
      <c r="AB23" s="1527">
        <f t="shared" si="4"/>
        <v>1</v>
      </c>
      <c r="AC23" s="1527">
        <f t="shared" si="5"/>
        <v>1</v>
      </c>
    </row>
    <row r="24" spans="1:29" ht="15">
      <c r="A24" s="363"/>
      <c r="B24" s="603">
        <v>111</v>
      </c>
      <c r="C24" s="390"/>
      <c r="D24" s="393">
        <v>100</v>
      </c>
      <c r="E24" s="390"/>
      <c r="F24" s="419">
        <f>SUMIF(75:75,E24,76:76)-SUMIF(75:75,C24,76:76)+100</f>
        <v>100</v>
      </c>
      <c r="G24" s="390"/>
      <c r="H24" s="393">
        <f>SUMIF(75:75,G24,76:76)-SUMIF(75:75,C24,76:76)+100</f>
        <v>100</v>
      </c>
      <c r="I24" s="390"/>
      <c r="J24" s="393">
        <f>SUMIF(75:75,I24,76:76)-SUMIF(75:75,C24,76:76)+100</f>
        <v>100</v>
      </c>
      <c r="K24" s="569"/>
      <c r="L24" s="2932"/>
      <c r="M24" s="2926"/>
      <c r="N24" s="2926"/>
      <c r="O24" s="2926"/>
      <c r="P24" s="3363"/>
      <c r="Q24" s="1526">
        <f t="shared" ref="Q24:Q36" si="11">B24</f>
        <v>111</v>
      </c>
      <c r="R24" s="712" t="s">
        <v>17</v>
      </c>
      <c r="S24" s="713">
        <f>F24</f>
        <v>100</v>
      </c>
      <c r="T24" s="712" t="s">
        <v>17</v>
      </c>
      <c r="U24" s="713">
        <f>H24</f>
        <v>100</v>
      </c>
      <c r="V24" s="712" t="s">
        <v>17</v>
      </c>
      <c r="W24" s="713">
        <f>J24</f>
        <v>100</v>
      </c>
      <c r="X24" s="1529"/>
      <c r="Y24" s="3363"/>
      <c r="Z24" s="1530">
        <f>Q24</f>
        <v>111</v>
      </c>
      <c r="AA24" s="1527">
        <f t="shared" si="3"/>
        <v>1</v>
      </c>
      <c r="AB24" s="1527">
        <f t="shared" si="4"/>
        <v>1</v>
      </c>
      <c r="AC24" s="1527">
        <f t="shared" si="5"/>
        <v>1</v>
      </c>
    </row>
    <row r="25" spans="1:29" s="113" customFormat="1" ht="15.75" thickBot="1">
      <c r="A25" s="604"/>
      <c r="B25" s="590">
        <v>111</v>
      </c>
      <c r="C25" s="395"/>
      <c r="D25" s="605">
        <v>100</v>
      </c>
      <c r="E25" s="583"/>
      <c r="F25" s="606">
        <f>SUMIF(77:77,E25,78:78)-SUMIF(77:77,C25,78:78)+100</f>
        <v>100</v>
      </c>
      <c r="G25" s="583"/>
      <c r="H25" s="605">
        <f>SUMIF(77:77,G25,78:78)-SUMIF(77:77,C25,78:78)+100</f>
        <v>100</v>
      </c>
      <c r="I25" s="583"/>
      <c r="J25" s="605">
        <f>SUMIF(77:77,I25,78:78)-SUMIF(77:77,C25,78:78)+100</f>
        <v>100</v>
      </c>
      <c r="K25" s="569"/>
      <c r="L25" s="2927"/>
      <c r="M25" s="2928"/>
      <c r="N25" s="2928"/>
      <c r="O25" s="2928"/>
      <c r="P25" s="3363"/>
      <c r="Q25" s="1517">
        <f t="shared" si="11"/>
        <v>111</v>
      </c>
      <c r="R25" s="708" t="s">
        <v>17</v>
      </c>
      <c r="S25" s="709">
        <f>F25</f>
        <v>100</v>
      </c>
      <c r="T25" s="708" t="s">
        <v>17</v>
      </c>
      <c r="U25" s="709">
        <f>H25</f>
        <v>100</v>
      </c>
      <c r="V25" s="708" t="s">
        <v>17</v>
      </c>
      <c r="W25" s="709">
        <f>J25</f>
        <v>100</v>
      </c>
      <c r="X25" s="710"/>
      <c r="Y25" s="3363"/>
      <c r="Z25" s="55">
        <f>Q25</f>
        <v>111</v>
      </c>
      <c r="AA25" s="1527">
        <f>D25/F25</f>
        <v>1</v>
      </c>
      <c r="AB25" s="1527">
        <f>D25/H25</f>
        <v>1</v>
      </c>
      <c r="AC25" s="1527">
        <f>D25/J25</f>
        <v>1</v>
      </c>
    </row>
    <row r="26" spans="1:29" ht="28.5">
      <c r="A26" s="607" t="s">
        <v>2378</v>
      </c>
      <c r="B26" s="66" t="s">
        <v>2527</v>
      </c>
      <c r="C26" s="2145">
        <f>B1</f>
        <v>0</v>
      </c>
      <c r="D26" s="406">
        <v>100</v>
      </c>
      <c r="E26" s="405"/>
      <c r="F26" s="407">
        <f>SUMIF(79:79,E26,80:80)-SUMIF(79:79,C26,80:80)+100</f>
        <v>100</v>
      </c>
      <c r="G26" s="405"/>
      <c r="H26" s="406">
        <f>SUMIF(79:79,G26,80:80)-SUMIF(79:79,C26,80:80)+100</f>
        <v>100</v>
      </c>
      <c r="I26" s="405"/>
      <c r="J26" s="406">
        <f>SUMIF(79:79,I26,80:80)-SUMIF(79:79,C26,80:80)+100</f>
        <v>100</v>
      </c>
      <c r="K26" s="568"/>
      <c r="L26" s="2932"/>
      <c r="M26" s="2926"/>
      <c r="N26" s="2926"/>
      <c r="O26" s="2926"/>
      <c r="P26" s="3364" t="s">
        <v>2380</v>
      </c>
      <c r="Q26" s="1526" t="str">
        <f t="shared" si="11"/>
        <v>配套类型</v>
      </c>
      <c r="R26" s="712" t="s">
        <v>17</v>
      </c>
      <c r="S26" s="713">
        <f t="shared" ref="S26:S36" si="12">F26</f>
        <v>100</v>
      </c>
      <c r="T26" s="712" t="s">
        <v>17</v>
      </c>
      <c r="U26" s="713">
        <f t="shared" ref="U26:U36" si="13">H26</f>
        <v>100</v>
      </c>
      <c r="V26" s="712" t="s">
        <v>17</v>
      </c>
      <c r="W26" s="713">
        <f t="shared" ref="W26:W36" si="14">J26</f>
        <v>100</v>
      </c>
      <c r="X26" s="1529"/>
      <c r="Y26" s="3365" t="s">
        <v>2380</v>
      </c>
      <c r="Z26" s="1530" t="str">
        <f t="shared" ref="Z26:Z36" si="15">Q26</f>
        <v>配套类型</v>
      </c>
      <c r="AA26" s="1527">
        <f t="shared" si="3"/>
        <v>1</v>
      </c>
      <c r="AB26" s="1527">
        <f t="shared" si="4"/>
        <v>1</v>
      </c>
      <c r="AC26" s="1527">
        <f t="shared" si="5"/>
        <v>1</v>
      </c>
    </row>
    <row r="27" spans="1:29" s="429" customFormat="1" ht="15">
      <c r="A27" s="608"/>
      <c r="B27" s="609" t="s">
        <v>2528</v>
      </c>
      <c r="C27" s="610"/>
      <c r="D27" s="132">
        <v>100</v>
      </c>
      <c r="E27" s="610"/>
      <c r="F27" s="419">
        <f>SUMIF(81:81,E27,82:82)-SUMIF(81:81,C27,82:82)+100</f>
        <v>100</v>
      </c>
      <c r="G27" s="610"/>
      <c r="H27" s="393">
        <f>SUMIF(81:81,G27,82:82)-SUMIF(81:81,C27,82:82)+100</f>
        <v>100</v>
      </c>
      <c r="I27" s="610"/>
      <c r="J27" s="393">
        <f>SUMIF(81:81,I27,82:82)-SUMIF(81:81,C27,82:82)+100</f>
        <v>100</v>
      </c>
      <c r="K27" s="569"/>
      <c r="L27" s="2931"/>
      <c r="M27" s="2933"/>
      <c r="N27" s="2933"/>
      <c r="O27" s="2933"/>
      <c r="P27" s="3365"/>
      <c r="Q27" s="714" t="str">
        <f t="shared" si="11"/>
        <v>项目停车位配比</v>
      </c>
      <c r="R27" s="715" t="s">
        <v>17</v>
      </c>
      <c r="S27" s="716">
        <f t="shared" si="12"/>
        <v>100</v>
      </c>
      <c r="T27" s="715" t="s">
        <v>17</v>
      </c>
      <c r="U27" s="716">
        <f t="shared" si="13"/>
        <v>100</v>
      </c>
      <c r="V27" s="715" t="s">
        <v>17</v>
      </c>
      <c r="W27" s="716">
        <f t="shared" si="14"/>
        <v>100</v>
      </c>
      <c r="X27" s="717"/>
      <c r="Y27" s="3365"/>
      <c r="Z27" s="718" t="str">
        <f t="shared" si="15"/>
        <v>项目停车位配比</v>
      </c>
      <c r="AA27" s="1527">
        <f t="shared" si="3"/>
        <v>1</v>
      </c>
      <c r="AB27" s="1527">
        <f t="shared" si="4"/>
        <v>1</v>
      </c>
      <c r="AC27" s="1527">
        <f t="shared" si="5"/>
        <v>1</v>
      </c>
    </row>
    <row r="28" spans="1:29" ht="15">
      <c r="A28" s="611"/>
      <c r="B28" s="609" t="s">
        <v>2529</v>
      </c>
      <c r="C28" s="418"/>
      <c r="D28" s="393">
        <v>100</v>
      </c>
      <c r="E28" s="418"/>
      <c r="F28" s="419">
        <f>SUMIF(83:83,E28,84:84)-SUMIF(83:83,C28,84:84)+100</f>
        <v>100</v>
      </c>
      <c r="G28" s="418"/>
      <c r="H28" s="393">
        <f>SUMIF(83:83,G28,84:84)-SUMIF(83:83,C28,84:84)+100</f>
        <v>100</v>
      </c>
      <c r="I28" s="418"/>
      <c r="J28" s="393">
        <f>SUMIF(83:83,I28,84:84)-SUMIF(83:83,C28,84:84)+100</f>
        <v>100</v>
      </c>
      <c r="K28" s="568"/>
      <c r="L28" s="2932"/>
      <c r="M28" s="2926"/>
      <c r="N28" s="2926"/>
      <c r="O28" s="2926"/>
      <c r="P28" s="3365"/>
      <c r="Q28" s="1526" t="str">
        <f t="shared" si="11"/>
        <v>公共部分装修</v>
      </c>
      <c r="R28" s="712" t="s">
        <v>17</v>
      </c>
      <c r="S28" s="713">
        <f t="shared" si="12"/>
        <v>100</v>
      </c>
      <c r="T28" s="712" t="s">
        <v>17</v>
      </c>
      <c r="U28" s="713">
        <f t="shared" si="13"/>
        <v>100</v>
      </c>
      <c r="V28" s="712" t="s">
        <v>17</v>
      </c>
      <c r="W28" s="713">
        <f t="shared" si="14"/>
        <v>100</v>
      </c>
      <c r="X28" s="1529"/>
      <c r="Y28" s="3365"/>
      <c r="Z28" s="1530" t="str">
        <f t="shared" si="15"/>
        <v>公共部分装修</v>
      </c>
      <c r="AA28" s="1527">
        <f t="shared" si="3"/>
        <v>1</v>
      </c>
      <c r="AB28" s="1527">
        <f t="shared" si="4"/>
        <v>1</v>
      </c>
      <c r="AC28" s="1527">
        <f t="shared" si="5"/>
        <v>1</v>
      </c>
    </row>
    <row r="29" spans="1:29" ht="15">
      <c r="A29" s="611"/>
      <c r="B29" s="609" t="s">
        <v>2530</v>
      </c>
      <c r="C29" s="427"/>
      <c r="D29" s="393">
        <v>100</v>
      </c>
      <c r="E29" s="432"/>
      <c r="F29" s="419" t="e">
        <f>LOOKUP(E29,86:86,87:87)-LOOKUP(C29,86:86,87:87)+100</f>
        <v>#N/A</v>
      </c>
      <c r="G29" s="432"/>
      <c r="H29" s="419" t="e">
        <f>LOOKUP(G29,86:86,87:87)-LOOKUP(C29,86:86,87:87)+100</f>
        <v>#N/A</v>
      </c>
      <c r="I29" s="432"/>
      <c r="J29" s="393" t="e">
        <f>LOOKUP(I29,86:86,87:87)-LOOKUP(C29,86:86,87:87)+100</f>
        <v>#N/A</v>
      </c>
      <c r="K29" s="568"/>
      <c r="L29" s="2932"/>
      <c r="M29" s="2926"/>
      <c r="N29" s="2926"/>
      <c r="O29" s="2926"/>
      <c r="P29" s="3365"/>
      <c r="Q29" s="1526" t="str">
        <f t="shared" si="11"/>
        <v>成新率</v>
      </c>
      <c r="R29" s="712" t="s">
        <v>17</v>
      </c>
      <c r="S29" s="713" t="e">
        <f t="shared" si="12"/>
        <v>#N/A</v>
      </c>
      <c r="T29" s="712" t="s">
        <v>17</v>
      </c>
      <c r="U29" s="713" t="e">
        <f t="shared" si="13"/>
        <v>#N/A</v>
      </c>
      <c r="V29" s="712" t="s">
        <v>17</v>
      </c>
      <c r="W29" s="713" t="e">
        <f t="shared" si="14"/>
        <v>#N/A</v>
      </c>
      <c r="X29" s="1529"/>
      <c r="Y29" s="3365"/>
      <c r="Z29" s="1530" t="str">
        <f t="shared" si="15"/>
        <v>成新率</v>
      </c>
      <c r="AA29" s="1527" t="e">
        <f t="shared" si="3"/>
        <v>#N/A</v>
      </c>
      <c r="AB29" s="1527" t="e">
        <f t="shared" si="4"/>
        <v>#N/A</v>
      </c>
      <c r="AC29" s="1527" t="e">
        <f t="shared" si="5"/>
        <v>#N/A</v>
      </c>
    </row>
    <row r="30" spans="1:29" ht="15">
      <c r="A30" s="611"/>
      <c r="B30" s="609" t="s">
        <v>2531</v>
      </c>
      <c r="C30" s="612"/>
      <c r="D30" s="393">
        <v>100</v>
      </c>
      <c r="E30" s="612"/>
      <c r="F30" s="419">
        <f>SUMIF(88:88,E30,89:89)-SUMIF(88:88,C30,89:89)+100</f>
        <v>100</v>
      </c>
      <c r="G30" s="612"/>
      <c r="H30" s="393">
        <f>SUMIF(88:88,E30,89:89)-SUMIF(88:88,C30,89:89)+100</f>
        <v>100</v>
      </c>
      <c r="I30" s="612"/>
      <c r="J30" s="393">
        <f>SUMIF(88:88,E30,89:89)-SUMIF(88:88,C30,89:89)+100</f>
        <v>100</v>
      </c>
      <c r="K30" s="568"/>
      <c r="L30" s="2932"/>
      <c r="M30" s="2926"/>
      <c r="N30" s="2926"/>
      <c r="O30" s="2926"/>
      <c r="P30" s="3365"/>
      <c r="Q30" s="1526" t="str">
        <f t="shared" si="11"/>
        <v>物业等级</v>
      </c>
      <c r="R30" s="712" t="s">
        <v>17</v>
      </c>
      <c r="S30" s="713">
        <f t="shared" si="12"/>
        <v>100</v>
      </c>
      <c r="T30" s="712" t="s">
        <v>17</v>
      </c>
      <c r="U30" s="713">
        <f t="shared" si="13"/>
        <v>100</v>
      </c>
      <c r="V30" s="712" t="s">
        <v>17</v>
      </c>
      <c r="W30" s="713">
        <f t="shared" si="14"/>
        <v>100</v>
      </c>
      <c r="X30" s="1529"/>
      <c r="Y30" s="3365"/>
      <c r="Z30" s="1530" t="str">
        <f t="shared" si="15"/>
        <v>物业等级</v>
      </c>
      <c r="AA30" s="1527">
        <f t="shared" si="3"/>
        <v>1</v>
      </c>
      <c r="AB30" s="1527">
        <f t="shared" si="4"/>
        <v>1</v>
      </c>
      <c r="AC30" s="1527">
        <f t="shared" si="5"/>
        <v>1</v>
      </c>
    </row>
    <row r="31" spans="1:29" s="113" customFormat="1" ht="15">
      <c r="A31" s="613"/>
      <c r="B31" s="609" t="s">
        <v>2532</v>
      </c>
      <c r="C31" s="427"/>
      <c r="D31" s="132">
        <v>100</v>
      </c>
      <c r="E31" s="427"/>
      <c r="F31" s="419" t="e">
        <f>LOOKUP(E31,91:91,92:92)-LOOKUP(C31,91:91,92:92)+100</f>
        <v>#N/A</v>
      </c>
      <c r="G31" s="427"/>
      <c r="H31" s="393" t="e">
        <f>LOOKUP(G31,91:91,92:92)-LOOKUP(C31,91:91,92:92)+100</f>
        <v>#N/A</v>
      </c>
      <c r="I31" s="427"/>
      <c r="J31" s="393" t="e">
        <f>LOOKUP(I31,91:91,92:92)-LOOKUP(C31,91:91,92:92)+100</f>
        <v>#N/A</v>
      </c>
      <c r="K31" s="568"/>
      <c r="L31" s="2927"/>
      <c r="M31" s="2928"/>
      <c r="N31" s="2928"/>
      <c r="O31" s="2928"/>
      <c r="P31" s="3365"/>
      <c r="Q31" s="1517" t="str">
        <f t="shared" si="11"/>
        <v>停车位面积</v>
      </c>
      <c r="R31" s="708" t="s">
        <v>17</v>
      </c>
      <c r="S31" s="709" t="e">
        <f t="shared" si="12"/>
        <v>#N/A</v>
      </c>
      <c r="T31" s="708" t="s">
        <v>17</v>
      </c>
      <c r="U31" s="709" t="e">
        <f t="shared" si="13"/>
        <v>#N/A</v>
      </c>
      <c r="V31" s="708" t="s">
        <v>17</v>
      </c>
      <c r="W31" s="709" t="e">
        <f t="shared" si="14"/>
        <v>#N/A</v>
      </c>
      <c r="X31" s="710"/>
      <c r="Y31" s="3365"/>
      <c r="Z31" s="55" t="str">
        <f t="shared" si="15"/>
        <v>停车位面积</v>
      </c>
      <c r="AA31" s="711" t="e">
        <f t="shared" si="3"/>
        <v>#N/A</v>
      </c>
      <c r="AB31" s="711" t="e">
        <f t="shared" si="4"/>
        <v>#N/A</v>
      </c>
      <c r="AC31" s="711" t="e">
        <f t="shared" si="5"/>
        <v>#N/A</v>
      </c>
    </row>
    <row r="32" spans="1:29" ht="15">
      <c r="A32" s="611"/>
      <c r="B32" s="609" t="s">
        <v>2533</v>
      </c>
      <c r="C32" s="418"/>
      <c r="D32" s="393">
        <v>100</v>
      </c>
      <c r="E32" s="418"/>
      <c r="F32" s="419">
        <f>SUMIF(93:93,E32,94:94)-SUMIF(93:93,C32,94:94)+100</f>
        <v>100</v>
      </c>
      <c r="G32" s="418"/>
      <c r="H32" s="393">
        <f>SUMIF(93:93,G32,94:94)-SUMIF(93:93,C32,94:94)+100</f>
        <v>100</v>
      </c>
      <c r="I32" s="418"/>
      <c r="J32" s="393">
        <f>SUMIF(93:93,I32,94:94)-SUMIF(93:93,C32,94:94)+100</f>
        <v>100</v>
      </c>
      <c r="K32" s="568"/>
      <c r="L32" s="2932"/>
      <c r="M32" s="2926"/>
      <c r="N32" s="2926"/>
      <c r="O32" s="2926"/>
      <c r="P32" s="3365" t="s">
        <v>2380</v>
      </c>
      <c r="Q32" s="1526" t="str">
        <f t="shared" si="11"/>
        <v>车位类型</v>
      </c>
      <c r="R32" s="712" t="s">
        <v>17</v>
      </c>
      <c r="S32" s="713">
        <f t="shared" si="12"/>
        <v>100</v>
      </c>
      <c r="T32" s="712" t="s">
        <v>17</v>
      </c>
      <c r="U32" s="713">
        <f t="shared" si="13"/>
        <v>100</v>
      </c>
      <c r="V32" s="712" t="s">
        <v>17</v>
      </c>
      <c r="W32" s="713">
        <f t="shared" si="14"/>
        <v>100</v>
      </c>
      <c r="X32" s="1529"/>
      <c r="Y32" s="3365" t="s">
        <v>2380</v>
      </c>
      <c r="Z32" s="1530" t="str">
        <f t="shared" si="15"/>
        <v>车位类型</v>
      </c>
      <c r="AA32" s="1527">
        <f t="shared" si="3"/>
        <v>1</v>
      </c>
      <c r="AB32" s="1527">
        <f t="shared" si="4"/>
        <v>1</v>
      </c>
      <c r="AC32" s="1527">
        <f t="shared" si="5"/>
        <v>1</v>
      </c>
    </row>
    <row r="33" spans="1:29" ht="15">
      <c r="A33" s="611"/>
      <c r="B33" s="609" t="s">
        <v>2534</v>
      </c>
      <c r="C33" s="418"/>
      <c r="D33" s="393">
        <v>100</v>
      </c>
      <c r="E33" s="418"/>
      <c r="F33" s="419">
        <f>SUMIF(95:95,E33,96:96)-SUMIF(95:95,C33,96:96)+100</f>
        <v>100</v>
      </c>
      <c r="G33" s="418"/>
      <c r="H33" s="393">
        <f>SUMIF(95:95,G33,96:96)-SUMIF(95:95,C33,96:96)+100</f>
        <v>100</v>
      </c>
      <c r="I33" s="418"/>
      <c r="J33" s="393">
        <f>SUMIF(95:95,I33,96:96)-SUMIF(95:95,C33,96:96)+100</f>
        <v>100</v>
      </c>
      <c r="K33" s="568"/>
      <c r="L33" s="2932"/>
      <c r="M33" s="2926"/>
      <c r="N33" s="2926"/>
      <c r="O33" s="2926"/>
      <c r="P33" s="3365"/>
      <c r="Q33" s="1526" t="str">
        <f t="shared" si="11"/>
        <v>是否直接入户</v>
      </c>
      <c r="R33" s="712" t="s">
        <v>17</v>
      </c>
      <c r="S33" s="713">
        <f t="shared" si="12"/>
        <v>100</v>
      </c>
      <c r="T33" s="712" t="s">
        <v>17</v>
      </c>
      <c r="U33" s="713">
        <f t="shared" si="13"/>
        <v>100</v>
      </c>
      <c r="V33" s="712" t="s">
        <v>17</v>
      </c>
      <c r="W33" s="713">
        <f t="shared" si="14"/>
        <v>100</v>
      </c>
      <c r="X33" s="1529"/>
      <c r="Y33" s="3365"/>
      <c r="Z33" s="1530" t="str">
        <f t="shared" si="15"/>
        <v>是否直接入户</v>
      </c>
      <c r="AA33" s="1527">
        <f t="shared" si="3"/>
        <v>1</v>
      </c>
      <c r="AB33" s="1527">
        <f t="shared" si="4"/>
        <v>1</v>
      </c>
      <c r="AC33" s="1527">
        <f t="shared" si="5"/>
        <v>1</v>
      </c>
    </row>
    <row r="34" spans="1:29" ht="15">
      <c r="A34" s="611"/>
      <c r="B34" s="603">
        <v>111</v>
      </c>
      <c r="C34" s="390"/>
      <c r="D34" s="393">
        <v>100</v>
      </c>
      <c r="E34" s="390"/>
      <c r="F34" s="419">
        <f>SUMIF(97:97,E34,98:98)-SUMIF(97:97,C34,98:98)+100</f>
        <v>100</v>
      </c>
      <c r="G34" s="390"/>
      <c r="H34" s="393">
        <f>SUMIF(97:97,G34,98:98)-SUMIF(97:97,C34,98:98)+100</f>
        <v>100</v>
      </c>
      <c r="I34" s="390"/>
      <c r="J34" s="393">
        <f>SUMIF(97:97,I34,98:98)-SUMIF(97:97,C34,98:98)+100</f>
        <v>100</v>
      </c>
      <c r="K34" s="569"/>
      <c r="L34" s="2932"/>
      <c r="M34" s="2926"/>
      <c r="N34" s="2926"/>
      <c r="O34" s="2926"/>
      <c r="P34" s="3365"/>
      <c r="Q34" s="1526">
        <f t="shared" si="11"/>
        <v>111</v>
      </c>
      <c r="R34" s="712" t="s">
        <v>17</v>
      </c>
      <c r="S34" s="713">
        <f t="shared" si="12"/>
        <v>100</v>
      </c>
      <c r="T34" s="712" t="s">
        <v>17</v>
      </c>
      <c r="U34" s="713">
        <f t="shared" si="13"/>
        <v>100</v>
      </c>
      <c r="V34" s="712" t="s">
        <v>17</v>
      </c>
      <c r="W34" s="713">
        <f t="shared" si="14"/>
        <v>100</v>
      </c>
      <c r="X34" s="1529"/>
      <c r="Y34" s="3365"/>
      <c r="Z34" s="1530">
        <f t="shared" si="15"/>
        <v>111</v>
      </c>
      <c r="AA34" s="1527">
        <f t="shared" si="3"/>
        <v>1</v>
      </c>
      <c r="AB34" s="1527">
        <f t="shared" si="4"/>
        <v>1</v>
      </c>
      <c r="AC34" s="1527">
        <f t="shared" si="5"/>
        <v>1</v>
      </c>
    </row>
    <row r="35" spans="1:29" s="429" customFormat="1" ht="15">
      <c r="A35" s="608"/>
      <c r="B35" s="603">
        <v>111</v>
      </c>
      <c r="C35" s="390"/>
      <c r="D35" s="393">
        <v>100</v>
      </c>
      <c r="E35" s="390"/>
      <c r="F35" s="419">
        <f>SUMIF(99:99,E35,100:100)-SUMIF(99:99,C35,100:100)+100</f>
        <v>100</v>
      </c>
      <c r="G35" s="390"/>
      <c r="H35" s="393">
        <f>SUMIF(99:99,G35,100:100)-SUMIF(99:99,C35,100:100)+100</f>
        <v>100</v>
      </c>
      <c r="I35" s="390"/>
      <c r="J35" s="393">
        <f>SUMIF(99:99,I35,100:100)-SUMIF(99:99,C35,100:100)+100</f>
        <v>100</v>
      </c>
      <c r="K35" s="569"/>
      <c r="L35" s="2931"/>
      <c r="M35" s="2933"/>
      <c r="N35" s="2933"/>
      <c r="O35" s="2933"/>
      <c r="P35" s="3365"/>
      <c r="Q35" s="714">
        <f t="shared" si="11"/>
        <v>111</v>
      </c>
      <c r="R35" s="715" t="s">
        <v>17</v>
      </c>
      <c r="S35" s="716">
        <f t="shared" si="12"/>
        <v>100</v>
      </c>
      <c r="T35" s="715" t="s">
        <v>17</v>
      </c>
      <c r="U35" s="716">
        <f t="shared" si="13"/>
        <v>100</v>
      </c>
      <c r="V35" s="715" t="s">
        <v>17</v>
      </c>
      <c r="W35" s="716">
        <f t="shared" si="14"/>
        <v>100</v>
      </c>
      <c r="X35" s="717"/>
      <c r="Y35" s="3365"/>
      <c r="Z35" s="718">
        <f t="shared" si="15"/>
        <v>111</v>
      </c>
      <c r="AA35" s="1527">
        <f t="shared" si="3"/>
        <v>1</v>
      </c>
      <c r="AB35" s="1527">
        <f t="shared" si="4"/>
        <v>1</v>
      </c>
      <c r="AC35" s="1527">
        <f t="shared" si="5"/>
        <v>1</v>
      </c>
    </row>
    <row r="36" spans="1:29" ht="15.75" thickBot="1">
      <c r="A36" s="614"/>
      <c r="B36" s="590">
        <v>111</v>
      </c>
      <c r="C36" s="392"/>
      <c r="D36" s="393">
        <v>100</v>
      </c>
      <c r="E36" s="390"/>
      <c r="F36" s="419">
        <f>SUMIF(101:101,E36,102:102)-SUMIF(101:101,C36,102:102)+100</f>
        <v>100</v>
      </c>
      <c r="G36" s="390"/>
      <c r="H36" s="393">
        <f>SUMIF(101:101,G36,102:102)-SUMIF(101:101,C36,102:102)+100</f>
        <v>100</v>
      </c>
      <c r="I36" s="390"/>
      <c r="J36" s="393">
        <f>SUMIF(101:101,I36,102:102)-SUMIF(101:101,C36,102:102)+100</f>
        <v>100</v>
      </c>
      <c r="K36" s="569"/>
      <c r="L36" s="2932"/>
      <c r="M36" s="2926"/>
      <c r="N36" s="2926"/>
      <c r="O36" s="2926"/>
      <c r="P36" s="3365"/>
      <c r="Q36" s="1526">
        <f t="shared" si="11"/>
        <v>111</v>
      </c>
      <c r="R36" s="712" t="s">
        <v>17</v>
      </c>
      <c r="S36" s="713">
        <f t="shared" si="12"/>
        <v>100</v>
      </c>
      <c r="T36" s="712" t="s">
        <v>17</v>
      </c>
      <c r="U36" s="713">
        <f t="shared" si="13"/>
        <v>100</v>
      </c>
      <c r="V36" s="712" t="s">
        <v>17</v>
      </c>
      <c r="W36" s="713">
        <f t="shared" si="14"/>
        <v>100</v>
      </c>
      <c r="X36" s="1529"/>
      <c r="Y36" s="3365"/>
      <c r="Z36" s="1530">
        <f t="shared" si="15"/>
        <v>111</v>
      </c>
      <c r="AA36" s="1527">
        <f t="shared" si="3"/>
        <v>1</v>
      </c>
      <c r="AB36" s="1527">
        <f t="shared" si="4"/>
        <v>1</v>
      </c>
      <c r="AC36" s="1527">
        <f t="shared" si="5"/>
        <v>1</v>
      </c>
    </row>
    <row r="37" spans="1:29" ht="15">
      <c r="A37" s="437" t="s">
        <v>2535</v>
      </c>
      <c r="B37" s="2146" t="s">
        <v>2536</v>
      </c>
      <c r="C37" s="1305" t="s">
        <v>1</v>
      </c>
      <c r="D37" s="1306"/>
      <c r="E37" s="1307"/>
      <c r="F37" s="1308"/>
      <c r="G37" s="1309"/>
      <c r="H37" s="1310"/>
      <c r="I37" s="1307"/>
      <c r="J37" s="1310"/>
      <c r="K37" s="575"/>
      <c r="L37" s="2934"/>
      <c r="M37" s="2935"/>
      <c r="N37" s="2926"/>
      <c r="O37" s="2935"/>
      <c r="P37" s="3360" t="str">
        <f>A37</f>
        <v>成交单价</v>
      </c>
      <c r="Q37" s="3360"/>
      <c r="R37" s="3457">
        <f>E37</f>
        <v>0</v>
      </c>
      <c r="S37" s="3457"/>
      <c r="T37" s="3457">
        <f>G37</f>
        <v>0</v>
      </c>
      <c r="U37" s="3457"/>
      <c r="V37" s="3457">
        <f>I37</f>
        <v>0</v>
      </c>
      <c r="W37" s="3457"/>
      <c r="X37" s="697"/>
      <c r="Y37" s="719"/>
      <c r="Z37" s="697"/>
      <c r="AA37" s="697"/>
      <c r="AB37" s="697"/>
      <c r="AC37" s="697"/>
    </row>
    <row r="38" spans="1:29" ht="15.75" thickBot="1">
      <c r="A38" s="444" t="s">
        <v>2537</v>
      </c>
      <c r="B38" s="445" t="str">
        <f>B37</f>
        <v>元/车位</v>
      </c>
      <c r="C38" s="1311" t="e">
        <f>R39</f>
        <v>#DIV/0!</v>
      </c>
      <c r="D38" s="2522" t="s">
        <v>2864</v>
      </c>
      <c r="E38" s="1312" t="e">
        <f>R38</f>
        <v>#DIV/0!</v>
      </c>
      <c r="F38" s="2523"/>
      <c r="G38" s="1311" t="e">
        <f>T38</f>
        <v>#DIV/0!</v>
      </c>
      <c r="H38" s="2523"/>
      <c r="I38" s="1312" t="e">
        <f>V38</f>
        <v>#DIV/0!</v>
      </c>
      <c r="J38" s="2523"/>
      <c r="K38" s="2525">
        <f>F38+H38+J38</f>
        <v>0</v>
      </c>
      <c r="L38" s="2934"/>
      <c r="M38" s="2935"/>
      <c r="N38" s="2935"/>
      <c r="O38" s="2935"/>
      <c r="P38" s="3360" t="str">
        <f>A38</f>
        <v>比较价值（元/平方米）</v>
      </c>
      <c r="Q38" s="3360"/>
      <c r="R38" s="3457" t="e">
        <f>IF(F1="售价",ROUND(PRODUCT(R37,AA7:AA36),0),ROUND(PRODUCT(R37,AA7:AA36),1))</f>
        <v>#DIV/0!</v>
      </c>
      <c r="S38" s="3457"/>
      <c r="T38" s="3457" t="e">
        <f>IF(F1="售价",ROUND(PRODUCT(T37,AB7:AB36),0),ROUND(PRODUCT(T37,AB7:AB36),1))</f>
        <v>#DIV/0!</v>
      </c>
      <c r="U38" s="3457"/>
      <c r="V38" s="3457" t="e">
        <f>IF(F1="售价",ROUND(PRODUCT(V37,AC7:AC36),0),ROUND(PRODUCT(V37,AC7:AC36),1))</f>
        <v>#DIV/0!</v>
      </c>
      <c r="W38" s="3457"/>
      <c r="X38" s="697"/>
      <c r="Y38" s="697"/>
      <c r="Z38" s="697"/>
      <c r="AA38" s="697"/>
      <c r="AB38" s="697"/>
      <c r="AC38" s="697"/>
    </row>
    <row r="39" spans="1:29" ht="15.75" thickBot="1">
      <c r="A39" s="448" t="s">
        <v>2538</v>
      </c>
      <c r="B39" s="449"/>
      <c r="C39" s="1314" t="e">
        <f>R39</f>
        <v>#DIV/0!</v>
      </c>
      <c r="D39" s="1314"/>
      <c r="E39" s="1314"/>
      <c r="F39" s="1314"/>
      <c r="G39" s="1314"/>
      <c r="H39" s="1314"/>
      <c r="I39" s="1314"/>
      <c r="J39" s="1314"/>
      <c r="K39" s="576"/>
      <c r="L39" s="2934"/>
      <c r="M39" s="2935"/>
      <c r="N39" s="2935"/>
      <c r="O39" s="2935"/>
      <c r="P39" s="3354" t="str">
        <f>A39</f>
        <v>估价对象XX用房的比较价值（楼面单价，元/平方米）</v>
      </c>
      <c r="Q39" s="3355"/>
      <c r="R39" s="3479" t="e">
        <f>IF(F1="售价",ROUND(IF(D38="简单平均",AVERAGE(R38:W38),R38*F38+T38*H38+V38*J38),0),ROUND(IF(D38="简单平均",AVERAGE(R38:V38),R38*F38+T38*H38+V38*J38),1))</f>
        <v>#DIV/0!</v>
      </c>
      <c r="S39" s="3479"/>
      <c r="T39" s="3479"/>
      <c r="U39" s="3479"/>
      <c r="V39" s="3479"/>
      <c r="W39" s="3479"/>
      <c r="X39" s="697"/>
      <c r="Y39" s="697"/>
      <c r="Z39" s="697"/>
      <c r="AA39" s="697"/>
      <c r="AB39" s="697"/>
      <c r="AC39" s="697"/>
    </row>
    <row r="40" spans="1:29">
      <c r="A40" s="2935"/>
      <c r="B40" s="2935"/>
      <c r="C40" s="2935"/>
      <c r="D40" s="2935"/>
      <c r="E40" s="2935"/>
      <c r="F40" s="2935"/>
      <c r="G40" s="2939"/>
      <c r="H40" s="2935"/>
      <c r="I40" s="2935"/>
      <c r="J40" s="2935"/>
      <c r="K40" s="2940"/>
      <c r="L40" s="2936"/>
      <c r="M40" s="2935"/>
      <c r="N40" s="2935"/>
      <c r="O40" s="2935"/>
      <c r="P40" s="2966"/>
      <c r="Q40" s="2935"/>
      <c r="R40" s="2935"/>
      <c r="S40" s="2935"/>
      <c r="T40" s="2935"/>
      <c r="U40" s="2935"/>
      <c r="V40" s="2935"/>
      <c r="W40" s="2935"/>
      <c r="X40" s="2935"/>
      <c r="Y40" s="2935"/>
      <c r="Z40" s="2935"/>
      <c r="AA40" s="2935"/>
      <c r="AB40" s="2935"/>
      <c r="AC40" s="2935"/>
    </row>
    <row r="41" spans="1:29">
      <c r="A41" s="2935"/>
      <c r="B41" s="2935"/>
      <c r="C41" s="2935"/>
      <c r="D41" s="2935"/>
      <c r="E41" s="2935"/>
      <c r="F41" s="2935"/>
      <c r="G41" s="2935"/>
      <c r="H41" s="2935"/>
      <c r="I41" s="2935"/>
      <c r="J41" s="2935"/>
      <c r="K41" s="2940"/>
      <c r="L41" s="2936"/>
      <c r="M41" s="2935"/>
      <c r="N41" s="2935"/>
      <c r="O41" s="2935"/>
      <c r="P41" s="2966"/>
      <c r="Q41" s="2935"/>
      <c r="R41" s="2935"/>
      <c r="S41" s="2935"/>
      <c r="T41" s="2935"/>
      <c r="U41" s="2935"/>
      <c r="V41" s="2935"/>
      <c r="W41" s="2935"/>
      <c r="X41" s="2935"/>
      <c r="Y41" s="2935"/>
      <c r="Z41" s="2935"/>
      <c r="AA41" s="2935"/>
      <c r="AB41" s="2935"/>
      <c r="AC41" s="2935"/>
    </row>
    <row r="42" spans="1:29" ht="13.5" customHeight="1">
      <c r="A42" s="2935"/>
      <c r="B42" s="2935"/>
      <c r="C42" s="453" t="s">
        <v>2539</v>
      </c>
      <c r="D42" s="454"/>
      <c r="E42" s="455" t="e">
        <f>IF(E37&lt;E38,E38/E37-1,E37/E38-1)</f>
        <v>#DIV/0!</v>
      </c>
      <c r="F42" s="456" t="e">
        <f>IF(OR(E42&gt;=0.3,E42&lt;=-0.3),"超过30%","")</f>
        <v>#DIV/0!</v>
      </c>
      <c r="G42" s="455" t="e">
        <f>IF(G37&lt;G38,G38/G37-1,G37/G38-1)</f>
        <v>#DIV/0!</v>
      </c>
      <c r="H42" s="456" t="e">
        <f>IF(OR(G42&gt;=0.3,G42&lt;=-0.3),"超过30%","")</f>
        <v>#DIV/0!</v>
      </c>
      <c r="I42" s="455" t="e">
        <f>IF(I37&lt;I38,I38/I37-1,I37/I38-1)</f>
        <v>#DIV/0!</v>
      </c>
      <c r="J42" s="456" t="e">
        <f>IF(OR(I42&gt;=0.3,I42&lt;=-0.3),"超过30%","")</f>
        <v>#DIV/0!</v>
      </c>
      <c r="K42" s="2940"/>
      <c r="L42" s="2936"/>
      <c r="M42" s="2935"/>
      <c r="N42" s="2935"/>
      <c r="O42" s="2935"/>
      <c r="P42" s="2966"/>
      <c r="Q42" s="2935"/>
      <c r="R42" s="2935"/>
      <c r="S42" s="2935"/>
      <c r="T42" s="2935"/>
      <c r="U42" s="2935"/>
      <c r="V42" s="2935"/>
      <c r="W42" s="2935"/>
      <c r="X42" s="2935"/>
      <c r="Y42" s="2935"/>
      <c r="Z42" s="2935"/>
      <c r="AA42" s="2935"/>
      <c r="AB42" s="2935"/>
      <c r="AC42" s="2935"/>
    </row>
    <row r="43" spans="1:29" ht="13.5" customHeight="1">
      <c r="A43" s="2935"/>
      <c r="B43" s="2935"/>
      <c r="C43" s="453" t="s">
        <v>2540</v>
      </c>
      <c r="D43" s="457"/>
      <c r="E43" s="455" t="e">
        <f>IF(E38&lt;G38,G38/E38-1,E38/G38-1)</f>
        <v>#DIV/0!</v>
      </c>
      <c r="F43" s="456" t="e">
        <f>IF(OR(E43&gt;=0.2,E43&lt;=-0.2),"超过20%","")</f>
        <v>#DIV/0!</v>
      </c>
      <c r="G43" s="455" t="e">
        <f>IF(G38&lt;I38,I38/G38-1,G38/I38-1)</f>
        <v>#DIV/0!</v>
      </c>
      <c r="H43" s="456" t="e">
        <f>IF(OR(G43&gt;=0.2,G43&lt;=-0.2),"超过20%","")</f>
        <v>#DIV/0!</v>
      </c>
      <c r="I43" s="455" t="e">
        <f>IF(I38&lt;E38,E38/I38-1,I38/E38-1)</f>
        <v>#DIV/0!</v>
      </c>
      <c r="J43" s="456" t="e">
        <f>IF(OR(I43&gt;=0.2,I43&lt;=-0.2),"超过20%","")</f>
        <v>#DIV/0!</v>
      </c>
      <c r="K43" s="2940"/>
      <c r="L43" s="2936"/>
      <c r="M43" s="2935"/>
      <c r="N43" s="2935"/>
      <c r="O43" s="2935"/>
      <c r="P43" s="2966"/>
      <c r="Q43" s="2935"/>
      <c r="R43" s="2935"/>
      <c r="S43" s="2935"/>
      <c r="T43" s="2935"/>
      <c r="U43" s="2935"/>
      <c r="V43" s="2935"/>
      <c r="W43" s="2935"/>
      <c r="X43" s="2935"/>
      <c r="Y43" s="2935"/>
      <c r="Z43" s="2935"/>
      <c r="AA43" s="2935"/>
      <c r="AB43" s="2935"/>
      <c r="AC43" s="2935"/>
    </row>
    <row r="44" spans="1:29" s="458" customFormat="1" ht="13.5" customHeight="1">
      <c r="A44" s="2938"/>
      <c r="B44" s="2938"/>
      <c r="C44" s="453" t="s">
        <v>2541</v>
      </c>
      <c r="D44" s="457"/>
      <c r="E44" s="455" t="e">
        <f>IF(E37&lt;G37,G37/E37-1,E37/G37-1)</f>
        <v>#DIV/0!</v>
      </c>
      <c r="F44" s="456" t="e">
        <f>IF(OR(E44&gt;=0.3,E44&lt;=-0.3),"超过30%","")</f>
        <v>#DIV/0!</v>
      </c>
      <c r="G44" s="455" t="e">
        <f>IF(G37&lt;I37,I37/G37-1,G37/I37-1)</f>
        <v>#DIV/0!</v>
      </c>
      <c r="H44" s="456" t="e">
        <f>IF(OR(G44&gt;=0.3,G44&lt;=-0.3),"超过30%","")</f>
        <v>#DIV/0!</v>
      </c>
      <c r="I44" s="455" t="e">
        <f>IF(I37&lt;E37,E37/I37-1,I37/E37-1)</f>
        <v>#DIV/0!</v>
      </c>
      <c r="J44" s="456" t="e">
        <f>IF(OR(I44&gt;=0.3,I44&lt;=-0.3),"超过30%","")</f>
        <v>#DIV/0!</v>
      </c>
      <c r="K44" s="2943"/>
      <c r="L44" s="2937"/>
      <c r="M44" s="2938"/>
      <c r="N44" s="2938"/>
      <c r="O44" s="2938"/>
      <c r="P44" s="2967"/>
      <c r="Q44" s="2938"/>
      <c r="R44" s="2938"/>
      <c r="S44" s="2938"/>
      <c r="T44" s="2938"/>
      <c r="U44" s="2938"/>
      <c r="V44" s="2938"/>
      <c r="W44" s="2938"/>
      <c r="X44" s="2938"/>
      <c r="Y44" s="2938"/>
      <c r="Z44" s="2938"/>
      <c r="AA44" s="2938"/>
      <c r="AB44" s="2938"/>
      <c r="AC44" s="2938"/>
    </row>
    <row r="45" spans="1:29" s="458" customFormat="1">
      <c r="A45" s="2938"/>
      <c r="B45" s="2941"/>
      <c r="C45" s="2942"/>
      <c r="D45" s="2938"/>
      <c r="E45" s="2938"/>
      <c r="F45" s="2938"/>
      <c r="G45" s="2938"/>
      <c r="H45" s="2938"/>
      <c r="I45" s="2938"/>
      <c r="J45" s="2938"/>
      <c r="K45" s="2943"/>
      <c r="L45" s="2937"/>
      <c r="M45" s="2938"/>
      <c r="N45" s="2938"/>
      <c r="O45" s="2938"/>
      <c r="P45" s="2967"/>
      <c r="Q45" s="2938"/>
      <c r="R45" s="2938"/>
      <c r="S45" s="2938"/>
      <c r="T45" s="2938"/>
      <c r="U45" s="2938"/>
      <c r="V45" s="2938"/>
      <c r="W45" s="2938"/>
      <c r="X45" s="2938"/>
      <c r="Y45" s="2938"/>
      <c r="Z45" s="2938"/>
      <c r="AA45" s="2938"/>
      <c r="AB45" s="2938"/>
      <c r="AC45" s="2938"/>
    </row>
    <row r="46" spans="1:29">
      <c r="A46" s="2935"/>
      <c r="B46" s="2941"/>
      <c r="C46" s="2942"/>
      <c r="D46" s="2935"/>
      <c r="E46" s="2935"/>
      <c r="F46" s="2935"/>
      <c r="G46" s="2935"/>
      <c r="H46" s="2935"/>
      <c r="I46" s="2935"/>
      <c r="J46" s="2935"/>
      <c r="K46" s="2940"/>
      <c r="L46" s="2936"/>
      <c r="M46" s="2935"/>
      <c r="N46" s="2935"/>
      <c r="O46" s="2935"/>
      <c r="P46" s="2966"/>
      <c r="Q46" s="2935"/>
      <c r="R46" s="2935"/>
      <c r="S46" s="2935"/>
      <c r="T46" s="2935"/>
      <c r="U46" s="2935"/>
      <c r="V46" s="2935"/>
      <c r="W46" s="2935"/>
      <c r="X46" s="2935"/>
      <c r="Y46" s="2935"/>
      <c r="Z46" s="2935"/>
      <c r="AA46" s="2935"/>
      <c r="AB46" s="2935"/>
      <c r="AC46" s="2935"/>
    </row>
    <row r="47" spans="1:29" ht="21.75" thickBot="1">
      <c r="A47" s="1317" t="s">
        <v>2542</v>
      </c>
      <c r="B47" s="1050"/>
      <c r="C47" s="1063"/>
      <c r="D47" s="1063"/>
      <c r="E47" s="1063"/>
      <c r="F47" s="1318"/>
      <c r="G47" s="1318"/>
      <c r="H47" s="1063"/>
      <c r="I47" s="1063"/>
      <c r="J47" s="1063"/>
      <c r="K47" s="1064"/>
      <c r="L47" s="1065"/>
      <c r="M47" s="1063"/>
      <c r="N47" s="2979"/>
      <c r="O47" s="2979"/>
      <c r="P47" s="2968"/>
      <c r="Q47" s="2949"/>
      <c r="R47" s="2935"/>
      <c r="S47" s="2935"/>
      <c r="T47" s="2935"/>
      <c r="U47" s="2935"/>
      <c r="V47" s="2935"/>
      <c r="W47" s="2935"/>
      <c r="X47" s="2935"/>
      <c r="Y47" s="2935"/>
      <c r="Z47" s="2935"/>
      <c r="AA47" s="2935"/>
      <c r="AB47" s="2935"/>
      <c r="AC47" s="2935"/>
    </row>
    <row r="48" spans="1:29" s="464" customFormat="1" ht="15">
      <c r="A48" s="461" t="s">
        <v>2543</v>
      </c>
      <c r="B48" s="462"/>
      <c r="C48" s="1334" t="str">
        <f>YEAR(C7)&amp;"-"&amp;MONTH(C7)</f>
        <v>2021-3</v>
      </c>
      <c r="D48" s="1335">
        <f>EDATE(C48,-1)</f>
        <v>44228</v>
      </c>
      <c r="E48" s="1335">
        <f t="shared" ref="E48:O48" si="16">EDATE(D48,-1)</f>
        <v>44197</v>
      </c>
      <c r="F48" s="1335">
        <f t="shared" si="16"/>
        <v>44166</v>
      </c>
      <c r="G48" s="1335">
        <f t="shared" si="16"/>
        <v>44136</v>
      </c>
      <c r="H48" s="1335">
        <f t="shared" si="16"/>
        <v>44105</v>
      </c>
      <c r="I48" s="1335">
        <f t="shared" si="16"/>
        <v>44075</v>
      </c>
      <c r="J48" s="1335">
        <f t="shared" si="16"/>
        <v>44044</v>
      </c>
      <c r="K48" s="1335">
        <f t="shared" si="16"/>
        <v>44013</v>
      </c>
      <c r="L48" s="1335">
        <f t="shared" si="16"/>
        <v>43983</v>
      </c>
      <c r="M48" s="1335">
        <f t="shared" si="16"/>
        <v>43952</v>
      </c>
      <c r="N48" s="1335">
        <f t="shared" si="16"/>
        <v>43922</v>
      </c>
      <c r="O48" s="1335">
        <f t="shared" si="16"/>
        <v>43891</v>
      </c>
      <c r="P48" s="2969"/>
      <c r="Q48" s="2951"/>
      <c r="R48" s="2951"/>
      <c r="S48" s="2951"/>
      <c r="T48" s="2951"/>
      <c r="U48" s="2951"/>
      <c r="V48" s="2951"/>
      <c r="W48" s="2951"/>
      <c r="X48" s="2951"/>
      <c r="Y48" s="2951"/>
      <c r="Z48" s="2951"/>
      <c r="AA48" s="2951"/>
      <c r="AB48" s="2951"/>
      <c r="AC48" s="2951"/>
    </row>
    <row r="49" spans="1:29" s="113" customFormat="1" ht="15">
      <c r="A49" s="465"/>
      <c r="B49" s="466"/>
      <c r="C49" s="1328">
        <v>100</v>
      </c>
      <c r="D49" s="468"/>
      <c r="E49" s="468"/>
      <c r="F49" s="468"/>
      <c r="G49" s="468"/>
      <c r="H49" s="468"/>
      <c r="I49" s="468"/>
      <c r="J49" s="468"/>
      <c r="K49" s="468"/>
      <c r="L49" s="468"/>
      <c r="M49" s="469"/>
      <c r="N49" s="468"/>
      <c r="O49" s="469"/>
      <c r="P49" s="2970"/>
      <c r="Q49" s="2870"/>
      <c r="R49" s="2870"/>
      <c r="S49" s="2870"/>
      <c r="T49" s="2870"/>
      <c r="U49" s="2870"/>
      <c r="V49" s="2870"/>
      <c r="W49" s="2870"/>
      <c r="X49" s="2870"/>
      <c r="Y49" s="2870"/>
      <c r="Z49" s="2870"/>
      <c r="AA49" s="2870"/>
      <c r="AB49" s="2870"/>
      <c r="AC49" s="2870"/>
    </row>
    <row r="50" spans="1:29" s="113" customFormat="1" ht="15.75" thickBot="1">
      <c r="A50" s="471" t="s">
        <v>2400</v>
      </c>
      <c r="B50" s="472"/>
      <c r="C50" s="473"/>
      <c r="D50" s="474"/>
      <c r="E50" s="474"/>
      <c r="F50" s="474"/>
      <c r="G50" s="474"/>
      <c r="H50" s="474"/>
      <c r="I50" s="474"/>
      <c r="J50" s="474"/>
      <c r="K50" s="474"/>
      <c r="L50" s="474"/>
      <c r="M50" s="475"/>
      <c r="N50" s="474"/>
      <c r="O50" s="475"/>
      <c r="P50" s="2970"/>
      <c r="Q50" s="2949"/>
      <c r="R50" s="2870"/>
      <c r="S50" s="2870"/>
      <c r="T50" s="2870"/>
      <c r="U50" s="2870"/>
      <c r="V50" s="2870"/>
      <c r="W50" s="2870"/>
      <c r="X50" s="2870"/>
      <c r="Y50" s="2870"/>
      <c r="Z50" s="2870"/>
      <c r="AA50" s="2870"/>
      <c r="AB50" s="2870"/>
      <c r="AC50" s="2870"/>
    </row>
    <row r="51" spans="1:29" s="113" customFormat="1" ht="15">
      <c r="A51" s="477" t="s">
        <v>2365</v>
      </c>
      <c r="B51" s="466"/>
      <c r="C51" s="478" t="s">
        <v>2467</v>
      </c>
      <c r="D51" s="479"/>
      <c r="E51" s="479"/>
      <c r="F51" s="479"/>
      <c r="G51" s="479"/>
      <c r="H51" s="479"/>
      <c r="I51" s="479"/>
      <c r="J51" s="479"/>
      <c r="K51" s="479"/>
      <c r="L51" s="480"/>
      <c r="M51" s="481"/>
      <c r="N51" s="2962"/>
      <c r="O51" s="2962"/>
      <c r="P51" s="2971"/>
      <c r="Q51" s="2949"/>
      <c r="R51" s="2870"/>
      <c r="S51" s="2870"/>
      <c r="T51" s="2870"/>
      <c r="U51" s="2870"/>
      <c r="V51" s="2870"/>
      <c r="W51" s="2870"/>
      <c r="X51" s="2870"/>
      <c r="Y51" s="2870"/>
      <c r="Z51" s="2870"/>
      <c r="AA51" s="2870"/>
      <c r="AB51" s="2870"/>
      <c r="AC51" s="2870"/>
    </row>
    <row r="52" spans="1:29" s="113" customFormat="1" ht="15.75" thickBot="1">
      <c r="A52" s="477"/>
      <c r="B52" s="466"/>
      <c r="C52" s="594">
        <v>100</v>
      </c>
      <c r="D52" s="468"/>
      <c r="E52" s="468"/>
      <c r="F52" s="468"/>
      <c r="G52" s="468"/>
      <c r="H52" s="468"/>
      <c r="I52" s="468"/>
      <c r="J52" s="468"/>
      <c r="K52" s="468"/>
      <c r="L52" s="468"/>
      <c r="M52" s="470"/>
      <c r="N52" s="2962"/>
      <c r="O52" s="2962"/>
      <c r="P52" s="2970"/>
      <c r="Q52" s="2949"/>
      <c r="R52" s="2870"/>
      <c r="S52" s="2870"/>
      <c r="T52" s="2870"/>
      <c r="U52" s="2870"/>
      <c r="V52" s="2870"/>
      <c r="W52" s="2870"/>
      <c r="X52" s="2870"/>
      <c r="Y52" s="2870"/>
      <c r="Z52" s="2870"/>
      <c r="AA52" s="2870"/>
      <c r="AB52" s="2870"/>
      <c r="AC52" s="2870"/>
    </row>
    <row r="53" spans="1:29">
      <c r="A53" s="483" t="s">
        <v>2403</v>
      </c>
      <c r="B53" s="484" t="s">
        <v>2369</v>
      </c>
      <c r="C53" s="485">
        <f>C9</f>
        <v>0</v>
      </c>
      <c r="D53" s="486"/>
      <c r="E53" s="486"/>
      <c r="F53" s="486"/>
      <c r="G53" s="486"/>
      <c r="H53" s="486"/>
      <c r="I53" s="486"/>
      <c r="J53" s="486"/>
      <c r="K53" s="487"/>
      <c r="L53" s="488"/>
      <c r="M53" s="489"/>
      <c r="N53" s="2963"/>
      <c r="O53" s="2963"/>
      <c r="P53" s="2972"/>
      <c r="Q53" s="2949"/>
      <c r="R53" s="2935"/>
      <c r="S53" s="2935"/>
      <c r="T53" s="2935"/>
      <c r="U53" s="2935"/>
      <c r="V53" s="2935"/>
      <c r="W53" s="2935"/>
      <c r="X53" s="2935"/>
      <c r="Y53" s="2935"/>
      <c r="Z53" s="2935"/>
      <c r="AA53" s="2935"/>
      <c r="AB53" s="2935"/>
      <c r="AC53" s="2935"/>
    </row>
    <row r="54" spans="1:29" ht="15.75" thickBot="1">
      <c r="A54" s="490"/>
      <c r="B54" s="491"/>
      <c r="C54" s="492">
        <v>100</v>
      </c>
      <c r="D54" s="492"/>
      <c r="E54" s="492"/>
      <c r="F54" s="492"/>
      <c r="G54" s="492"/>
      <c r="H54" s="492"/>
      <c r="I54" s="492"/>
      <c r="J54" s="492"/>
      <c r="K54" s="492"/>
      <c r="L54" s="492"/>
      <c r="M54" s="493"/>
      <c r="N54" s="2964"/>
      <c r="O54" s="2964"/>
      <c r="P54" s="2972"/>
      <c r="Q54" s="2949"/>
      <c r="R54" s="2935"/>
      <c r="S54" s="2935"/>
      <c r="T54" s="2935"/>
      <c r="U54" s="2935"/>
      <c r="V54" s="2935"/>
      <c r="W54" s="2935"/>
      <c r="X54" s="2935"/>
      <c r="Y54" s="2935"/>
      <c r="Z54" s="2935"/>
      <c r="AA54" s="2935"/>
      <c r="AB54" s="2935"/>
      <c r="AC54" s="2935"/>
    </row>
    <row r="55" spans="1:29" ht="27.75" thickTop="1">
      <c r="A55" s="490"/>
      <c r="B55" s="494" t="s">
        <v>2372</v>
      </c>
      <c r="C55" s="495" t="s">
        <v>2404</v>
      </c>
      <c r="D55" s="495" t="s">
        <v>2405</v>
      </c>
      <c r="E55" s="495" t="s">
        <v>2406</v>
      </c>
      <c r="F55" s="495" t="s">
        <v>2407</v>
      </c>
      <c r="G55" s="495" t="s">
        <v>2408</v>
      </c>
      <c r="H55" s="495" t="s">
        <v>2409</v>
      </c>
      <c r="I55" s="495" t="s">
        <v>2410</v>
      </c>
      <c r="J55" s="495"/>
      <c r="K55" s="496"/>
      <c r="L55" s="497"/>
      <c r="M55" s="498"/>
      <c r="N55" s="2963"/>
      <c r="O55" s="2963"/>
      <c r="P55" s="2972"/>
      <c r="Q55" s="2949"/>
      <c r="R55" s="2935"/>
      <c r="S55" s="2935"/>
      <c r="T55" s="2935"/>
      <c r="U55" s="2935"/>
      <c r="V55" s="2935"/>
      <c r="W55" s="2935"/>
      <c r="X55" s="2935"/>
      <c r="Y55" s="2935"/>
      <c r="Z55" s="2935"/>
      <c r="AA55" s="2935"/>
      <c r="AB55" s="2935"/>
      <c r="AC55" s="2935"/>
    </row>
    <row r="56" spans="1:29" ht="15.75" thickBot="1">
      <c r="A56" s="490"/>
      <c r="B56" s="499"/>
      <c r="C56" s="500" t="s">
        <v>24</v>
      </c>
      <c r="D56" s="500" t="s">
        <v>25</v>
      </c>
      <c r="E56" s="500">
        <v>100</v>
      </c>
      <c r="F56" s="500">
        <f>E56-$K10</f>
        <v>100</v>
      </c>
      <c r="G56" s="500">
        <f>F56-$K10</f>
        <v>100</v>
      </c>
      <c r="H56" s="500">
        <f>G56-$K10</f>
        <v>100</v>
      </c>
      <c r="I56" s="500">
        <f>H56-$K10</f>
        <v>100</v>
      </c>
      <c r="J56" s="500"/>
      <c r="K56" s="500"/>
      <c r="L56" s="500"/>
      <c r="M56" s="501"/>
      <c r="N56" s="2964"/>
      <c r="O56" s="2964"/>
      <c r="P56" s="2972"/>
      <c r="Q56" s="2949"/>
      <c r="R56" s="2935"/>
      <c r="S56" s="2935"/>
      <c r="T56" s="2935"/>
      <c r="U56" s="2935"/>
      <c r="V56" s="2935"/>
      <c r="W56" s="2935"/>
      <c r="X56" s="2935"/>
      <c r="Y56" s="2935"/>
      <c r="Z56" s="2935"/>
      <c r="AA56" s="2935"/>
      <c r="AB56" s="2935"/>
      <c r="AC56" s="2935"/>
    </row>
    <row r="57" spans="1:29" ht="15.75" thickTop="1">
      <c r="A57" s="490"/>
      <c r="B57" s="615">
        <f>B11</f>
        <v>111</v>
      </c>
      <c r="C57" s="505"/>
      <c r="D57" s="505"/>
      <c r="E57" s="505"/>
      <c r="F57" s="505"/>
      <c r="G57" s="505"/>
      <c r="H57" s="505"/>
      <c r="I57" s="505"/>
      <c r="J57" s="505"/>
      <c r="K57" s="506"/>
      <c r="L57" s="507"/>
      <c r="M57" s="508"/>
      <c r="N57" s="2963"/>
      <c r="O57" s="2963"/>
      <c r="P57" s="2972"/>
      <c r="Q57" s="2949"/>
      <c r="R57" s="2935"/>
      <c r="S57" s="2935"/>
      <c r="T57" s="2935"/>
      <c r="U57" s="2935"/>
      <c r="V57" s="2935"/>
      <c r="W57" s="2935"/>
      <c r="X57" s="2935"/>
      <c r="Y57" s="2935"/>
      <c r="Z57" s="2935"/>
      <c r="AA57" s="2935"/>
      <c r="AB57" s="2935"/>
      <c r="AC57" s="2935"/>
    </row>
    <row r="58" spans="1:29" ht="15.75" thickBot="1">
      <c r="A58" s="490"/>
      <c r="B58" s="491"/>
      <c r="C58" s="516"/>
      <c r="D58" s="492"/>
      <c r="E58" s="492"/>
      <c r="F58" s="492"/>
      <c r="G58" s="492"/>
      <c r="H58" s="492"/>
      <c r="I58" s="492"/>
      <c r="J58" s="492"/>
      <c r="K58" s="492"/>
      <c r="L58" s="492"/>
      <c r="M58" s="493"/>
      <c r="N58" s="2964"/>
      <c r="O58" s="2964"/>
      <c r="P58" s="2972"/>
      <c r="Q58" s="2949"/>
      <c r="R58" s="2935"/>
      <c r="S58" s="2935"/>
      <c r="T58" s="2935"/>
      <c r="U58" s="2935"/>
      <c r="V58" s="2935"/>
      <c r="W58" s="2935"/>
      <c r="X58" s="2935"/>
      <c r="Y58" s="2935"/>
      <c r="Z58" s="2935"/>
      <c r="AA58" s="2935"/>
      <c r="AB58" s="2935"/>
      <c r="AC58" s="2935"/>
    </row>
    <row r="59" spans="1:29" s="429" customFormat="1" ht="15.75" thickTop="1">
      <c r="A59" s="509"/>
      <c r="B59" s="494">
        <f>B12</f>
        <v>111</v>
      </c>
      <c r="C59" s="505"/>
      <c r="D59" s="505"/>
      <c r="E59" s="505"/>
      <c r="F59" s="505"/>
      <c r="G59" s="510"/>
      <c r="H59" s="511"/>
      <c r="I59" s="511"/>
      <c r="J59" s="511"/>
      <c r="K59" s="511"/>
      <c r="L59" s="512"/>
      <c r="M59" s="513"/>
      <c r="N59" s="2965"/>
      <c r="O59" s="2965"/>
      <c r="P59" s="2973"/>
      <c r="Q59" s="2956"/>
      <c r="R59" s="2957"/>
      <c r="S59" s="2957"/>
      <c r="T59" s="2957"/>
      <c r="U59" s="2957"/>
      <c r="V59" s="2957"/>
      <c r="W59" s="2957"/>
      <c r="X59" s="2957"/>
      <c r="Y59" s="2957"/>
      <c r="Z59" s="2957"/>
      <c r="AA59" s="2957"/>
      <c r="AB59" s="2957"/>
      <c r="AC59" s="2957"/>
    </row>
    <row r="60" spans="1:29" s="429" customFormat="1" ht="15.75" thickBot="1">
      <c r="A60" s="509"/>
      <c r="B60" s="499"/>
      <c r="C60" s="516"/>
      <c r="D60" s="492"/>
      <c r="E60" s="492"/>
      <c r="F60" s="492"/>
      <c r="G60" s="492"/>
      <c r="H60" s="492"/>
      <c r="I60" s="492"/>
      <c r="J60" s="492"/>
      <c r="K60" s="492"/>
      <c r="L60" s="492"/>
      <c r="M60" s="493"/>
      <c r="N60" s="2964"/>
      <c r="O60" s="2964"/>
      <c r="P60" s="2973"/>
      <c r="Q60" s="2956"/>
      <c r="R60" s="2957"/>
      <c r="S60" s="2957"/>
      <c r="T60" s="2957"/>
      <c r="U60" s="2957"/>
      <c r="V60" s="2957"/>
      <c r="W60" s="2957"/>
      <c r="X60" s="2957"/>
      <c r="Y60" s="2957"/>
      <c r="Z60" s="2957"/>
      <c r="AA60" s="2957"/>
      <c r="AB60" s="2957"/>
      <c r="AC60" s="2957"/>
    </row>
    <row r="61" spans="1:29" s="429" customFormat="1" ht="15.75" thickTop="1">
      <c r="A61" s="509"/>
      <c r="B61" s="494">
        <f>B13</f>
        <v>111</v>
      </c>
      <c r="C61" s="510"/>
      <c r="D61" s="510"/>
      <c r="E61" s="510"/>
      <c r="F61" s="510"/>
      <c r="G61" s="510"/>
      <c r="H61" s="511"/>
      <c r="I61" s="511"/>
      <c r="J61" s="511"/>
      <c r="K61" s="511"/>
      <c r="L61" s="512"/>
      <c r="M61" s="513"/>
      <c r="N61" s="2965"/>
      <c r="O61" s="2965"/>
      <c r="P61" s="2974"/>
      <c r="Q61" s="2959"/>
      <c r="R61" s="2957"/>
      <c r="S61" s="2957"/>
      <c r="T61" s="2957"/>
      <c r="U61" s="2957"/>
      <c r="V61" s="2957"/>
      <c r="W61" s="2957"/>
      <c r="X61" s="2957"/>
      <c r="Y61" s="2957"/>
      <c r="Z61" s="2957"/>
      <c r="AA61" s="2957"/>
      <c r="AB61" s="2957"/>
      <c r="AC61" s="2957"/>
    </row>
    <row r="62" spans="1:29" s="429" customFormat="1" ht="15.75" thickBot="1">
      <c r="A62" s="509"/>
      <c r="B62" s="499"/>
      <c r="C62" s="516"/>
      <c r="D62" s="516"/>
      <c r="E62" s="516"/>
      <c r="F62" s="516"/>
      <c r="G62" s="516"/>
      <c r="H62" s="518"/>
      <c r="I62" s="518"/>
      <c r="J62" s="518"/>
      <c r="K62" s="518"/>
      <c r="L62" s="518"/>
      <c r="M62" s="519"/>
      <c r="N62" s="2965"/>
      <c r="O62" s="2965"/>
      <c r="P62" s="2973"/>
      <c r="Q62" s="2956"/>
      <c r="R62" s="2957"/>
      <c r="S62" s="2957"/>
      <c r="T62" s="2957"/>
      <c r="U62" s="2957"/>
      <c r="V62" s="2957"/>
      <c r="W62" s="2957"/>
      <c r="X62" s="2957"/>
      <c r="Y62" s="2957"/>
      <c r="Z62" s="2957"/>
      <c r="AA62" s="2957"/>
      <c r="AB62" s="2957"/>
      <c r="AC62" s="2957"/>
    </row>
    <row r="63" spans="1:29" ht="15" thickTop="1">
      <c r="A63" s="483" t="s">
        <v>2374</v>
      </c>
      <c r="B63" s="484" t="s">
        <v>2417</v>
      </c>
      <c r="C63" s="529" t="s">
        <v>2412</v>
      </c>
      <c r="D63" s="529" t="s">
        <v>2413</v>
      </c>
      <c r="E63" s="529" t="s">
        <v>2414</v>
      </c>
      <c r="F63" s="529" t="s">
        <v>2415</v>
      </c>
      <c r="G63" s="529" t="s">
        <v>2416</v>
      </c>
      <c r="H63" s="485"/>
      <c r="I63" s="485"/>
      <c r="J63" s="485"/>
      <c r="K63" s="530"/>
      <c r="L63" s="531"/>
      <c r="M63" s="532"/>
      <c r="N63" s="2963"/>
      <c r="O63" s="2963"/>
      <c r="P63" s="2976"/>
      <c r="Q63" s="2949"/>
      <c r="R63" s="2935"/>
      <c r="S63" s="2935"/>
      <c r="T63" s="2935"/>
      <c r="U63" s="2935"/>
      <c r="V63" s="2935"/>
      <c r="W63" s="2935"/>
      <c r="X63" s="2935"/>
      <c r="Y63" s="2935"/>
      <c r="Z63" s="2935"/>
      <c r="AA63" s="2935"/>
      <c r="AB63" s="2935"/>
      <c r="AC63" s="2935"/>
    </row>
    <row r="64" spans="1:29" ht="15.75" thickBot="1">
      <c r="A64" s="490"/>
      <c r="B64" s="499"/>
      <c r="C64" s="500">
        <v>100</v>
      </c>
      <c r="D64" s="500">
        <f>C64-$K14</f>
        <v>100</v>
      </c>
      <c r="E64" s="500">
        <f>D64-$K14</f>
        <v>100</v>
      </c>
      <c r="F64" s="500">
        <f>E64-$K14</f>
        <v>100</v>
      </c>
      <c r="G64" s="500">
        <f>F64-$K14</f>
        <v>100</v>
      </c>
      <c r="H64" s="500"/>
      <c r="I64" s="500"/>
      <c r="J64" s="500"/>
      <c r="K64" s="500"/>
      <c r="L64" s="500"/>
      <c r="M64" s="501"/>
      <c r="N64" s="2964"/>
      <c r="O64" s="2964"/>
      <c r="P64" s="2972"/>
      <c r="Q64" s="2949"/>
      <c r="R64" s="2935"/>
      <c r="S64" s="2935"/>
      <c r="T64" s="2935"/>
      <c r="U64" s="2935"/>
      <c r="V64" s="2935"/>
      <c r="W64" s="2935"/>
      <c r="X64" s="2935"/>
      <c r="Y64" s="2935"/>
      <c r="Z64" s="2935"/>
      <c r="AA64" s="2935"/>
      <c r="AB64" s="2935"/>
      <c r="AC64" s="2935"/>
    </row>
    <row r="65" spans="1:29" ht="15.75" thickTop="1">
      <c r="A65" s="490"/>
      <c r="B65" s="494" t="s">
        <v>2418</v>
      </c>
      <c r="C65" s="534" t="s">
        <v>2412</v>
      </c>
      <c r="D65" s="534" t="s">
        <v>2413</v>
      </c>
      <c r="E65" s="534" t="s">
        <v>2414</v>
      </c>
      <c r="F65" s="534" t="s">
        <v>2415</v>
      </c>
      <c r="G65" s="534" t="s">
        <v>2416</v>
      </c>
      <c r="H65" s="495"/>
      <c r="I65" s="495"/>
      <c r="J65" s="495"/>
      <c r="K65" s="496"/>
      <c r="L65" s="497"/>
      <c r="M65" s="498"/>
      <c r="N65" s="2963"/>
      <c r="O65" s="2963"/>
      <c r="P65" s="2972"/>
      <c r="Q65" s="2949"/>
      <c r="R65" s="2935"/>
      <c r="S65" s="2935"/>
      <c r="T65" s="2935"/>
      <c r="U65" s="2935"/>
      <c r="V65" s="2935"/>
      <c r="W65" s="2935"/>
      <c r="X65" s="2935"/>
      <c r="Y65" s="2935"/>
      <c r="Z65" s="2935"/>
      <c r="AA65" s="2935"/>
      <c r="AB65" s="2935"/>
      <c r="AC65" s="2935"/>
    </row>
    <row r="66" spans="1:29" ht="15.75" thickBot="1">
      <c r="A66" s="490"/>
      <c r="B66" s="499"/>
      <c r="C66" s="500">
        <v>100</v>
      </c>
      <c r="D66" s="500">
        <f>C66-$K16</f>
        <v>100</v>
      </c>
      <c r="E66" s="500">
        <f>D66-$K16</f>
        <v>100</v>
      </c>
      <c r="F66" s="500">
        <f>E66-$K16</f>
        <v>100</v>
      </c>
      <c r="G66" s="500">
        <f>F66-$K16</f>
        <v>100</v>
      </c>
      <c r="H66" s="500"/>
      <c r="I66" s="500"/>
      <c r="J66" s="500"/>
      <c r="K66" s="500"/>
      <c r="L66" s="500"/>
      <c r="M66" s="501"/>
      <c r="N66" s="2964"/>
      <c r="O66" s="2964"/>
      <c r="P66" s="2972"/>
      <c r="Q66" s="2949"/>
      <c r="R66" s="2935"/>
      <c r="S66" s="2935"/>
      <c r="T66" s="2935"/>
      <c r="U66" s="2935"/>
      <c r="V66" s="2935"/>
      <c r="W66" s="2935"/>
      <c r="X66" s="2935"/>
      <c r="Y66" s="2935"/>
      <c r="Z66" s="2935"/>
      <c r="AA66" s="2935"/>
      <c r="AB66" s="2935"/>
      <c r="AC66" s="2935"/>
    </row>
    <row r="67" spans="1:29" ht="15.75" thickTop="1">
      <c r="A67" s="490"/>
      <c r="B67" s="502" t="s">
        <v>2504</v>
      </c>
      <c r="C67" s="615" t="s">
        <v>2490</v>
      </c>
      <c r="D67" s="615" t="s">
        <v>2491</v>
      </c>
      <c r="E67" s="615" t="s">
        <v>2492</v>
      </c>
      <c r="F67" s="615" t="s">
        <v>2493</v>
      </c>
      <c r="G67" s="615" t="s">
        <v>2494</v>
      </c>
      <c r="H67" s="495"/>
      <c r="I67" s="495"/>
      <c r="J67" s="495"/>
      <c r="K67" s="495"/>
      <c r="L67" s="495"/>
      <c r="M67" s="1282"/>
      <c r="N67" s="2964"/>
      <c r="O67" s="2964"/>
      <c r="P67" s="2972"/>
      <c r="Q67" s="2949"/>
      <c r="R67" s="2935"/>
      <c r="S67" s="2935"/>
      <c r="T67" s="2935"/>
      <c r="U67" s="2935"/>
      <c r="V67" s="2935"/>
      <c r="W67" s="2935"/>
      <c r="X67" s="2935"/>
      <c r="Y67" s="2935"/>
      <c r="Z67" s="2935"/>
      <c r="AA67" s="2935"/>
      <c r="AB67" s="2935"/>
      <c r="AC67" s="2935"/>
    </row>
    <row r="68" spans="1:29" ht="15.75" thickBot="1">
      <c r="A68" s="490"/>
      <c r="B68" s="502"/>
      <c r="C68" s="500">
        <v>100</v>
      </c>
      <c r="D68" s="500">
        <f>C68-$K18</f>
        <v>100</v>
      </c>
      <c r="E68" s="500">
        <f>D68-$K18</f>
        <v>100</v>
      </c>
      <c r="F68" s="500">
        <f>E68-$K18</f>
        <v>100</v>
      </c>
      <c r="G68" s="500">
        <f>F68-$K18</f>
        <v>100</v>
      </c>
      <c r="H68" s="615"/>
      <c r="I68" s="615"/>
      <c r="J68" s="615"/>
      <c r="K68" s="615"/>
      <c r="L68" s="615"/>
      <c r="M68" s="408"/>
      <c r="N68" s="2964"/>
      <c r="O68" s="2964"/>
      <c r="P68" s="2972"/>
      <c r="Q68" s="2949"/>
      <c r="R68" s="2935"/>
      <c r="S68" s="2935"/>
      <c r="T68" s="2935"/>
      <c r="U68" s="2935"/>
      <c r="V68" s="2935"/>
      <c r="W68" s="2935"/>
      <c r="X68" s="2935"/>
      <c r="Y68" s="2935"/>
      <c r="Z68" s="2935"/>
      <c r="AA68" s="2935"/>
      <c r="AB68" s="2935"/>
      <c r="AC68" s="2935"/>
    </row>
    <row r="69" spans="1:29" ht="15.75" thickTop="1">
      <c r="A69" s="490"/>
      <c r="B69" s="494" t="s">
        <v>2424</v>
      </c>
      <c r="C69" s="534" t="s">
        <v>2412</v>
      </c>
      <c r="D69" s="534" t="s">
        <v>2413</v>
      </c>
      <c r="E69" s="534" t="s">
        <v>2414</v>
      </c>
      <c r="F69" s="534" t="s">
        <v>2415</v>
      </c>
      <c r="G69" s="534" t="s">
        <v>2416</v>
      </c>
      <c r="H69" s="495"/>
      <c r="I69" s="495"/>
      <c r="J69" s="495"/>
      <c r="K69" s="496"/>
      <c r="L69" s="497"/>
      <c r="M69" s="498"/>
      <c r="N69" s="2963"/>
      <c r="O69" s="2963"/>
      <c r="P69" s="2972"/>
      <c r="Q69" s="2949"/>
      <c r="R69" s="2935"/>
      <c r="S69" s="2935"/>
      <c r="T69" s="2935"/>
      <c r="U69" s="2935"/>
      <c r="V69" s="2935"/>
      <c r="W69" s="2935"/>
      <c r="X69" s="2935"/>
      <c r="Y69" s="2935"/>
      <c r="Z69" s="2935"/>
      <c r="AA69" s="2935"/>
      <c r="AB69" s="2935"/>
      <c r="AC69" s="2935"/>
    </row>
    <row r="70" spans="1:29" ht="15.75" thickBot="1">
      <c r="A70" s="490"/>
      <c r="B70" s="499"/>
      <c r="C70" s="500">
        <v>100</v>
      </c>
      <c r="D70" s="500">
        <f>C70-$K20</f>
        <v>100</v>
      </c>
      <c r="E70" s="500">
        <f>D70-$K20</f>
        <v>100</v>
      </c>
      <c r="F70" s="500">
        <f>E70-$K20</f>
        <v>100</v>
      </c>
      <c r="G70" s="500">
        <f>F70-$K20</f>
        <v>100</v>
      </c>
      <c r="H70" s="500"/>
      <c r="I70" s="500"/>
      <c r="J70" s="500"/>
      <c r="K70" s="500"/>
      <c r="L70" s="500"/>
      <c r="M70" s="501"/>
      <c r="N70" s="2964"/>
      <c r="O70" s="2964"/>
      <c r="P70" s="2972"/>
      <c r="Q70" s="2949"/>
      <c r="R70" s="2935"/>
      <c r="S70" s="2935"/>
      <c r="T70" s="2935"/>
      <c r="U70" s="2935"/>
      <c r="V70" s="2935"/>
      <c r="W70" s="2935"/>
      <c r="X70" s="2935"/>
      <c r="Y70" s="2935"/>
      <c r="Z70" s="2935"/>
      <c r="AA70" s="2935"/>
      <c r="AB70" s="2935"/>
      <c r="AC70" s="2935"/>
    </row>
    <row r="71" spans="1:29" ht="15.75" thickTop="1">
      <c r="A71" s="490"/>
      <c r="B71" s="494" t="s">
        <v>2544</v>
      </c>
      <c r="C71" s="510"/>
      <c r="D71" s="510"/>
      <c r="E71" s="510"/>
      <c r="F71" s="510"/>
      <c r="G71" s="510"/>
      <c r="H71" s="539"/>
      <c r="I71" s="539"/>
      <c r="J71" s="539"/>
      <c r="K71" s="540"/>
      <c r="L71" s="541"/>
      <c r="M71" s="542"/>
      <c r="N71" s="2963"/>
      <c r="O71" s="2963"/>
      <c r="P71" s="2972"/>
      <c r="Q71" s="2949"/>
      <c r="R71" s="2935"/>
      <c r="S71" s="2935"/>
      <c r="T71" s="2935"/>
      <c r="U71" s="2935"/>
      <c r="V71" s="2935"/>
      <c r="W71" s="2935"/>
      <c r="X71" s="2935"/>
      <c r="Y71" s="2935"/>
      <c r="Z71" s="2935"/>
      <c r="AA71" s="2935"/>
      <c r="AB71" s="2935"/>
      <c r="AC71" s="2935"/>
    </row>
    <row r="72" spans="1:29" ht="15.75" thickBot="1">
      <c r="A72" s="490"/>
      <c r="B72" s="499"/>
      <c r="C72" s="500">
        <v>100</v>
      </c>
      <c r="D72" s="500">
        <f>C72-$K22</f>
        <v>100</v>
      </c>
      <c r="E72" s="500">
        <f>D72-$K22</f>
        <v>100</v>
      </c>
      <c r="F72" s="500">
        <f>E72-$K22</f>
        <v>100</v>
      </c>
      <c r="G72" s="500">
        <f>F72-$K22</f>
        <v>100</v>
      </c>
      <c r="H72" s="500"/>
      <c r="I72" s="500"/>
      <c r="J72" s="500"/>
      <c r="K72" s="500"/>
      <c r="L72" s="500"/>
      <c r="M72" s="501"/>
      <c r="N72" s="2964"/>
      <c r="O72" s="2964"/>
      <c r="P72" s="2972"/>
      <c r="Q72" s="2949"/>
      <c r="R72" s="2935"/>
      <c r="S72" s="2935"/>
      <c r="T72" s="2935"/>
      <c r="U72" s="2935"/>
      <c r="V72" s="2935"/>
      <c r="W72" s="2935"/>
      <c r="X72" s="2935"/>
      <c r="Y72" s="2935"/>
      <c r="Z72" s="2935"/>
      <c r="AA72" s="2935"/>
      <c r="AB72" s="2935"/>
      <c r="AC72" s="2935"/>
    </row>
    <row r="73" spans="1:29" s="113" customFormat="1" ht="15.75" thickTop="1">
      <c r="A73" s="535"/>
      <c r="B73" s="494">
        <f>B23</f>
        <v>111</v>
      </c>
      <c r="C73" s="505"/>
      <c r="D73" s="505"/>
      <c r="E73" s="505"/>
      <c r="F73" s="505"/>
      <c r="G73" s="510"/>
      <c r="H73" s="510"/>
      <c r="I73" s="510"/>
      <c r="J73" s="510"/>
      <c r="K73" s="510"/>
      <c r="L73" s="536"/>
      <c r="M73" s="537"/>
      <c r="N73" s="2962"/>
      <c r="O73" s="2962"/>
      <c r="P73" s="2972"/>
      <c r="Q73" s="2949"/>
      <c r="R73" s="2870"/>
      <c r="S73" s="2870"/>
      <c r="T73" s="2870"/>
      <c r="U73" s="2870"/>
      <c r="V73" s="2870"/>
      <c r="W73" s="2870"/>
      <c r="X73" s="2870"/>
      <c r="Y73" s="2870"/>
      <c r="Z73" s="2870"/>
      <c r="AA73" s="2870"/>
      <c r="AB73" s="2870"/>
      <c r="AC73" s="2870"/>
    </row>
    <row r="74" spans="1:29" s="113" customFormat="1" ht="15.75" thickBot="1">
      <c r="A74" s="535"/>
      <c r="B74" s="499"/>
      <c r="C74" s="516"/>
      <c r="D74" s="492"/>
      <c r="E74" s="492"/>
      <c r="F74" s="492"/>
      <c r="G74" s="492"/>
      <c r="H74" s="492"/>
      <c r="I74" s="492"/>
      <c r="J74" s="492"/>
      <c r="K74" s="492"/>
      <c r="L74" s="492"/>
      <c r="M74" s="493"/>
      <c r="N74" s="2964"/>
      <c r="O74" s="2964"/>
      <c r="P74" s="2972"/>
      <c r="Q74" s="2949"/>
      <c r="R74" s="2870"/>
      <c r="S74" s="2870"/>
      <c r="T74" s="2870"/>
      <c r="U74" s="2870"/>
      <c r="V74" s="2870"/>
      <c r="W74" s="2870"/>
      <c r="X74" s="2870"/>
      <c r="Y74" s="2870"/>
      <c r="Z74" s="2870"/>
      <c r="AA74" s="2870"/>
      <c r="AB74" s="2870"/>
      <c r="AC74" s="2870"/>
    </row>
    <row r="75" spans="1:29" s="113" customFormat="1" ht="15.75" thickTop="1">
      <c r="A75" s="535"/>
      <c r="B75" s="494">
        <f>B24</f>
        <v>111</v>
      </c>
      <c r="C75" s="505"/>
      <c r="D75" s="505"/>
      <c r="E75" s="505"/>
      <c r="F75" s="505"/>
      <c r="G75" s="510"/>
      <c r="H75" s="510"/>
      <c r="I75" s="510"/>
      <c r="J75" s="510"/>
      <c r="K75" s="510"/>
      <c r="L75" s="510"/>
      <c r="M75" s="537"/>
      <c r="N75" s="2962"/>
      <c r="O75" s="2962"/>
      <c r="P75" s="2972"/>
      <c r="Q75" s="2949"/>
      <c r="R75" s="2870"/>
      <c r="S75" s="2870"/>
      <c r="T75" s="2870"/>
      <c r="U75" s="2870"/>
      <c r="V75" s="2870"/>
      <c r="W75" s="2870"/>
      <c r="X75" s="2870"/>
      <c r="Y75" s="2870"/>
      <c r="Z75" s="2870"/>
      <c r="AA75" s="2870"/>
      <c r="AB75" s="2870"/>
      <c r="AC75" s="2870"/>
    </row>
    <row r="76" spans="1:29" s="113" customFormat="1" ht="15.75" thickBot="1">
      <c r="A76" s="535"/>
      <c r="B76" s="499"/>
      <c r="C76" s="516"/>
      <c r="D76" s="492"/>
      <c r="E76" s="492"/>
      <c r="F76" s="492"/>
      <c r="G76" s="492"/>
      <c r="H76" s="492"/>
      <c r="I76" s="492"/>
      <c r="J76" s="492"/>
      <c r="K76" s="492"/>
      <c r="L76" s="492"/>
      <c r="M76" s="493"/>
      <c r="N76" s="2964"/>
      <c r="O76" s="2964"/>
      <c r="P76" s="2972"/>
      <c r="Q76" s="2949"/>
      <c r="R76" s="2870"/>
      <c r="S76" s="2870"/>
      <c r="T76" s="2870"/>
      <c r="U76" s="2870"/>
      <c r="V76" s="2870"/>
      <c r="W76" s="2870"/>
      <c r="X76" s="2870"/>
      <c r="Y76" s="2870"/>
      <c r="Z76" s="2870"/>
      <c r="AA76" s="2870"/>
      <c r="AB76" s="2870"/>
      <c r="AC76" s="2870"/>
    </row>
    <row r="77" spans="1:29" s="429" customFormat="1" ht="15.75" thickTop="1">
      <c r="A77" s="509"/>
      <c r="B77" s="494">
        <f>B25</f>
        <v>111</v>
      </c>
      <c r="C77" s="510"/>
      <c r="D77" s="510"/>
      <c r="E77" s="510"/>
      <c r="F77" s="510"/>
      <c r="G77" s="510"/>
      <c r="H77" s="511"/>
      <c r="I77" s="511"/>
      <c r="J77" s="511"/>
      <c r="K77" s="511"/>
      <c r="L77" s="512"/>
      <c r="M77" s="513"/>
      <c r="N77" s="2965"/>
      <c r="O77" s="2965"/>
      <c r="P77" s="2973"/>
      <c r="Q77" s="2956"/>
      <c r="R77" s="2957"/>
      <c r="S77" s="2957"/>
      <c r="T77" s="2957"/>
      <c r="U77" s="2957"/>
      <c r="V77" s="2957"/>
      <c r="W77" s="2957"/>
      <c r="X77" s="2957"/>
      <c r="Y77" s="2957"/>
      <c r="Z77" s="2957"/>
      <c r="AA77" s="2957"/>
      <c r="AB77" s="2957"/>
      <c r="AC77" s="2957"/>
    </row>
    <row r="78" spans="1:29" s="429" customFormat="1" ht="15.75" thickBot="1">
      <c r="A78" s="509"/>
      <c r="B78" s="499"/>
      <c r="C78" s="516"/>
      <c r="D78" s="516"/>
      <c r="E78" s="516"/>
      <c r="F78" s="516"/>
      <c r="G78" s="492"/>
      <c r="H78" s="492"/>
      <c r="I78" s="492"/>
      <c r="J78" s="492"/>
      <c r="K78" s="492"/>
      <c r="L78" s="492"/>
      <c r="M78" s="493"/>
      <c r="N78" s="2965"/>
      <c r="O78" s="2965"/>
      <c r="P78" s="2973"/>
      <c r="Q78" s="2956"/>
      <c r="R78" s="2957"/>
      <c r="S78" s="2957"/>
      <c r="T78" s="2957"/>
      <c r="U78" s="2957"/>
      <c r="V78" s="2957"/>
      <c r="W78" s="2957"/>
      <c r="X78" s="2957"/>
      <c r="Y78" s="2957"/>
      <c r="Z78" s="2957"/>
      <c r="AA78" s="2957"/>
      <c r="AB78" s="2957"/>
      <c r="AC78" s="2957"/>
    </row>
    <row r="79" spans="1:29" ht="27.75" thickTop="1">
      <c r="A79" s="483" t="s">
        <v>2378</v>
      </c>
      <c r="B79" s="484" t="s">
        <v>2545</v>
      </c>
      <c r="C79" s="485">
        <f>C26</f>
        <v>0</v>
      </c>
      <c r="D79" s="486"/>
      <c r="E79" s="486"/>
      <c r="F79" s="486"/>
      <c r="G79" s="486"/>
      <c r="H79" s="486"/>
      <c r="I79" s="486"/>
      <c r="J79" s="486"/>
      <c r="K79" s="487"/>
      <c r="L79" s="488"/>
      <c r="M79" s="489"/>
      <c r="N79" s="2963"/>
      <c r="O79" s="2963"/>
      <c r="P79" s="2972"/>
      <c r="Q79" s="2949"/>
      <c r="R79" s="2935"/>
      <c r="S79" s="2935"/>
      <c r="T79" s="2935"/>
      <c r="U79" s="2935"/>
      <c r="V79" s="2935"/>
      <c r="W79" s="2935"/>
      <c r="X79" s="2935"/>
      <c r="Y79" s="2935"/>
      <c r="Z79" s="2935"/>
      <c r="AA79" s="2935"/>
      <c r="AB79" s="2935"/>
      <c r="AC79" s="2935"/>
    </row>
    <row r="80" spans="1:29" ht="15.75" thickBot="1">
      <c r="A80" s="490"/>
      <c r="B80" s="499"/>
      <c r="C80" s="500">
        <v>100</v>
      </c>
      <c r="D80" s="500">
        <f t="shared" ref="D80:M80" si="17">C80-$K26</f>
        <v>100</v>
      </c>
      <c r="E80" s="500">
        <f t="shared" si="17"/>
        <v>100</v>
      </c>
      <c r="F80" s="500">
        <f t="shared" si="17"/>
        <v>100</v>
      </c>
      <c r="G80" s="500">
        <f t="shared" si="17"/>
        <v>100</v>
      </c>
      <c r="H80" s="500">
        <f t="shared" si="17"/>
        <v>100</v>
      </c>
      <c r="I80" s="500">
        <f t="shared" si="17"/>
        <v>100</v>
      </c>
      <c r="J80" s="500">
        <f t="shared" si="17"/>
        <v>100</v>
      </c>
      <c r="K80" s="500">
        <f t="shared" si="17"/>
        <v>100</v>
      </c>
      <c r="L80" s="500">
        <f t="shared" si="17"/>
        <v>100</v>
      </c>
      <c r="M80" s="501">
        <f t="shared" si="17"/>
        <v>100</v>
      </c>
      <c r="N80" s="2964"/>
      <c r="O80" s="2964"/>
      <c r="P80" s="2972"/>
      <c r="Q80" s="2949"/>
      <c r="R80" s="2935"/>
      <c r="S80" s="2935"/>
      <c r="T80" s="2935"/>
      <c r="U80" s="2935"/>
      <c r="V80" s="2935"/>
      <c r="W80" s="2935"/>
      <c r="X80" s="2935"/>
      <c r="Y80" s="2935"/>
      <c r="Z80" s="2935"/>
      <c r="AA80" s="2935"/>
      <c r="AB80" s="2935"/>
      <c r="AC80" s="2935"/>
    </row>
    <row r="81" spans="1:29" ht="15.75" thickTop="1">
      <c r="A81" s="490"/>
      <c r="B81" s="494" t="s">
        <v>2546</v>
      </c>
      <c r="C81" s="616"/>
      <c r="D81" s="616"/>
      <c r="E81" s="616"/>
      <c r="F81" s="616"/>
      <c r="G81" s="616"/>
      <c r="H81" s="616"/>
      <c r="I81" s="616"/>
      <c r="J81" s="616"/>
      <c r="K81" s="617"/>
      <c r="L81" s="618"/>
      <c r="M81" s="619"/>
      <c r="N81" s="2962"/>
      <c r="O81" s="2962"/>
      <c r="P81" s="2972"/>
      <c r="Q81" s="2949"/>
      <c r="R81" s="2935"/>
      <c r="S81" s="2935"/>
      <c r="T81" s="2935"/>
      <c r="U81" s="2935"/>
      <c r="V81" s="2935"/>
      <c r="W81" s="2935"/>
      <c r="X81" s="2935"/>
      <c r="Y81" s="2935"/>
      <c r="Z81" s="2935"/>
      <c r="AA81" s="2935"/>
      <c r="AB81" s="2935"/>
      <c r="AC81" s="2935"/>
    </row>
    <row r="82" spans="1:29" s="429" customFormat="1" ht="15.75" thickBot="1">
      <c r="A82" s="509"/>
      <c r="B82" s="499"/>
      <c r="C82" s="516"/>
      <c r="D82" s="492"/>
      <c r="E82" s="492"/>
      <c r="F82" s="492"/>
      <c r="G82" s="492"/>
      <c r="H82" s="492"/>
      <c r="I82" s="492"/>
      <c r="J82" s="492"/>
      <c r="K82" s="492"/>
      <c r="L82" s="492"/>
      <c r="M82" s="493"/>
      <c r="N82" s="2964"/>
      <c r="O82" s="2964"/>
      <c r="P82" s="2973"/>
      <c r="Q82" s="2956"/>
      <c r="R82" s="2957"/>
      <c r="S82" s="2957"/>
      <c r="T82" s="2957"/>
      <c r="U82" s="2957"/>
      <c r="V82" s="2957"/>
      <c r="W82" s="2957"/>
      <c r="X82" s="2957"/>
      <c r="Y82" s="2957"/>
      <c r="Z82" s="2957"/>
      <c r="AA82" s="2957"/>
      <c r="AB82" s="2957"/>
      <c r="AC82" s="2957"/>
    </row>
    <row r="83" spans="1:29" ht="15" thickTop="1">
      <c r="A83" s="555"/>
      <c r="B83" s="494" t="s">
        <v>2431</v>
      </c>
      <c r="C83" s="510"/>
      <c r="D83" s="510"/>
      <c r="E83" s="539"/>
      <c r="F83" s="539"/>
      <c r="G83" s="539"/>
      <c r="H83" s="539"/>
      <c r="I83" s="539"/>
      <c r="J83" s="539"/>
      <c r="K83" s="540"/>
      <c r="L83" s="541"/>
      <c r="M83" s="542"/>
      <c r="N83" s="2963"/>
      <c r="O83" s="2963"/>
      <c r="P83" s="2972"/>
      <c r="Q83" s="2949"/>
      <c r="R83" s="2935"/>
      <c r="S83" s="2935"/>
      <c r="T83" s="2935"/>
      <c r="U83" s="2935"/>
      <c r="V83" s="2935"/>
      <c r="W83" s="2935"/>
      <c r="X83" s="2935"/>
      <c r="Y83" s="2935"/>
      <c r="Z83" s="2935"/>
      <c r="AA83" s="2935"/>
      <c r="AB83" s="2935"/>
      <c r="AC83" s="2935"/>
    </row>
    <row r="84" spans="1:29" ht="15.75" thickBot="1">
      <c r="A84" s="490"/>
      <c r="B84" s="499"/>
      <c r="C84" s="500">
        <v>100</v>
      </c>
      <c r="D84" s="500">
        <f t="shared" ref="D84:M84" si="18">C84-$K28</f>
        <v>100</v>
      </c>
      <c r="E84" s="500">
        <f t="shared" si="18"/>
        <v>100</v>
      </c>
      <c r="F84" s="500">
        <f t="shared" si="18"/>
        <v>100</v>
      </c>
      <c r="G84" s="500">
        <f t="shared" si="18"/>
        <v>100</v>
      </c>
      <c r="H84" s="500">
        <f t="shared" si="18"/>
        <v>100</v>
      </c>
      <c r="I84" s="500">
        <f t="shared" si="18"/>
        <v>100</v>
      </c>
      <c r="J84" s="500">
        <f t="shared" si="18"/>
        <v>100</v>
      </c>
      <c r="K84" s="500">
        <f t="shared" si="18"/>
        <v>100</v>
      </c>
      <c r="L84" s="500">
        <f t="shared" si="18"/>
        <v>100</v>
      </c>
      <c r="M84" s="501">
        <f t="shared" si="18"/>
        <v>100</v>
      </c>
      <c r="N84" s="2964"/>
      <c r="O84" s="2964"/>
      <c r="P84" s="2972"/>
      <c r="Q84" s="2949"/>
      <c r="R84" s="2935"/>
      <c r="S84" s="2935"/>
      <c r="T84" s="2935"/>
      <c r="U84" s="2935"/>
      <c r="V84" s="2935"/>
      <c r="W84" s="2935"/>
      <c r="X84" s="2935"/>
      <c r="Y84" s="2935"/>
      <c r="Z84" s="2935"/>
      <c r="AA84" s="2935"/>
      <c r="AB84" s="2935"/>
      <c r="AC84" s="2935"/>
    </row>
    <row r="85" spans="1:29" ht="15" thickTop="1">
      <c r="A85" s="555"/>
      <c r="B85" s="494" t="s">
        <v>2547</v>
      </c>
      <c r="C85" s="534" t="str">
        <f>C86&amp;"(含)"&amp;"-"&amp;D86</f>
        <v>0.5(含)-0.6</v>
      </c>
      <c r="D85" s="534" t="str">
        <f>D86&amp;"(含)"&amp;"-"&amp;E86</f>
        <v>0.6(含)-0.7</v>
      </c>
      <c r="E85" s="534" t="str">
        <f>E86&amp;"(含)"&amp;"-"&amp;F86</f>
        <v>0.7(含)-0.8</v>
      </c>
      <c r="F85" s="534" t="str">
        <f>F86&amp;"(含)"&amp;"-"&amp;G86</f>
        <v>0.8(含)-0.9</v>
      </c>
      <c r="G85" s="534" t="str">
        <f>G86&amp;"(含)"&amp;"-"&amp;ROUND(H86,0)&amp;"(含)"</f>
        <v>0.9(含)-1(含)</v>
      </c>
      <c r="H85" s="534"/>
      <c r="I85" s="539"/>
      <c r="J85" s="539"/>
      <c r="K85" s="540"/>
      <c r="L85" s="541"/>
      <c r="M85" s="542"/>
      <c r="N85" s="2963"/>
      <c r="O85" s="2963"/>
      <c r="P85" s="2972"/>
      <c r="Q85" s="2949"/>
      <c r="R85" s="2935"/>
      <c r="S85" s="2935"/>
      <c r="T85" s="2935"/>
      <c r="U85" s="2935"/>
      <c r="V85" s="2935"/>
      <c r="W85" s="2935"/>
      <c r="X85" s="2935"/>
      <c r="Y85" s="2935"/>
      <c r="Z85" s="2935"/>
      <c r="AA85" s="2935"/>
      <c r="AB85" s="2935"/>
      <c r="AC85" s="2935"/>
    </row>
    <row r="86" spans="1:29">
      <c r="A86" s="555"/>
      <c r="B86" s="502"/>
      <c r="C86" s="559">
        <v>0.5</v>
      </c>
      <c r="D86" s="559">
        <v>0.6</v>
      </c>
      <c r="E86" s="559">
        <v>0.7</v>
      </c>
      <c r="F86" s="559">
        <v>0.8</v>
      </c>
      <c r="G86" s="559">
        <v>0.9</v>
      </c>
      <c r="H86" s="559">
        <v>1.0001</v>
      </c>
      <c r="I86" s="578"/>
      <c r="J86" s="578"/>
      <c r="K86" s="579"/>
      <c r="L86" s="580"/>
      <c r="M86" s="581"/>
      <c r="N86" s="2963"/>
      <c r="O86" s="2963"/>
      <c r="P86" s="2972"/>
      <c r="Q86" s="2949"/>
      <c r="R86" s="2935"/>
      <c r="S86" s="2935"/>
      <c r="T86" s="2935"/>
      <c r="U86" s="2935"/>
      <c r="V86" s="2935"/>
      <c r="W86" s="2935"/>
      <c r="X86" s="2935"/>
      <c r="Y86" s="2935"/>
      <c r="Z86" s="2935"/>
      <c r="AA86" s="2935"/>
      <c r="AB86" s="2935"/>
      <c r="AC86" s="2935"/>
    </row>
    <row r="87" spans="1:29" ht="15.75" thickBot="1">
      <c r="A87" s="490"/>
      <c r="B87" s="499"/>
      <c r="C87" s="538">
        <v>100</v>
      </c>
      <c r="D87" s="500">
        <f>C87+$K$29</f>
        <v>100</v>
      </c>
      <c r="E87" s="500">
        <f t="shared" ref="E87:M87" si="19">D87+$K$29</f>
        <v>100</v>
      </c>
      <c r="F87" s="500">
        <f t="shared" si="19"/>
        <v>100</v>
      </c>
      <c r="G87" s="500">
        <f t="shared" si="19"/>
        <v>100</v>
      </c>
      <c r="H87" s="500">
        <f t="shared" si="19"/>
        <v>100</v>
      </c>
      <c r="I87" s="500">
        <f t="shared" si="19"/>
        <v>100</v>
      </c>
      <c r="J87" s="500">
        <f t="shared" si="19"/>
        <v>100</v>
      </c>
      <c r="K87" s="500">
        <f t="shared" si="19"/>
        <v>100</v>
      </c>
      <c r="L87" s="500">
        <f t="shared" si="19"/>
        <v>100</v>
      </c>
      <c r="M87" s="500">
        <f t="shared" si="19"/>
        <v>100</v>
      </c>
      <c r="N87" s="2964"/>
      <c r="O87" s="2964"/>
      <c r="P87" s="2972"/>
      <c r="Q87" s="2949"/>
      <c r="R87" s="2935"/>
      <c r="S87" s="2935"/>
      <c r="T87" s="2935"/>
      <c r="U87" s="2935"/>
      <c r="V87" s="2935"/>
      <c r="W87" s="2935"/>
      <c r="X87" s="2935"/>
      <c r="Y87" s="2935"/>
      <c r="Z87" s="2935"/>
      <c r="AA87" s="2935"/>
      <c r="AB87" s="2935"/>
      <c r="AC87" s="2935"/>
    </row>
    <row r="88" spans="1:29" ht="15" thickTop="1">
      <c r="A88" s="555"/>
      <c r="B88" s="502" t="s">
        <v>2548</v>
      </c>
      <c r="C88" s="486"/>
      <c r="D88" s="486"/>
      <c r="E88" s="486"/>
      <c r="F88" s="486"/>
      <c r="G88" s="486"/>
      <c r="H88" s="486"/>
      <c r="I88" s="486"/>
      <c r="J88" s="486"/>
      <c r="K88" s="487"/>
      <c r="L88" s="488"/>
      <c r="M88" s="489"/>
      <c r="N88" s="2963"/>
      <c r="O88" s="2963"/>
      <c r="P88" s="2972"/>
      <c r="Q88" s="2949"/>
      <c r="R88" s="2935"/>
      <c r="S88" s="2935"/>
      <c r="T88" s="2935"/>
      <c r="U88" s="2935"/>
      <c r="V88" s="2935"/>
      <c r="W88" s="2935"/>
      <c r="X88" s="2935"/>
      <c r="Y88" s="2935"/>
      <c r="Z88" s="2935"/>
      <c r="AA88" s="2935"/>
      <c r="AB88" s="2935"/>
      <c r="AC88" s="2935"/>
    </row>
    <row r="89" spans="1:29" ht="15.75" thickBot="1">
      <c r="A89" s="490"/>
      <c r="B89" s="499"/>
      <c r="C89" s="538">
        <v>100</v>
      </c>
      <c r="D89" s="500">
        <f t="shared" ref="D89:M89" si="20">C89+$K30</f>
        <v>100</v>
      </c>
      <c r="E89" s="500">
        <f t="shared" si="20"/>
        <v>100</v>
      </c>
      <c r="F89" s="500">
        <f t="shared" si="20"/>
        <v>100</v>
      </c>
      <c r="G89" s="500">
        <f t="shared" si="20"/>
        <v>100</v>
      </c>
      <c r="H89" s="500">
        <f t="shared" si="20"/>
        <v>100</v>
      </c>
      <c r="I89" s="500">
        <f t="shared" si="20"/>
        <v>100</v>
      </c>
      <c r="J89" s="500">
        <f t="shared" si="20"/>
        <v>100</v>
      </c>
      <c r="K89" s="500">
        <f t="shared" si="20"/>
        <v>100</v>
      </c>
      <c r="L89" s="500">
        <f t="shared" si="20"/>
        <v>100</v>
      </c>
      <c r="M89" s="500">
        <f t="shared" si="20"/>
        <v>100</v>
      </c>
      <c r="N89" s="2964"/>
      <c r="O89" s="2964"/>
      <c r="P89" s="2972"/>
      <c r="Q89" s="2949"/>
      <c r="R89" s="2935"/>
      <c r="S89" s="2935"/>
      <c r="T89" s="2935"/>
      <c r="U89" s="2935"/>
      <c r="V89" s="2935"/>
      <c r="W89" s="2935"/>
      <c r="X89" s="2935"/>
      <c r="Y89" s="2935"/>
      <c r="Z89" s="2935"/>
      <c r="AA89" s="2935"/>
      <c r="AB89" s="2935"/>
      <c r="AC89" s="2935"/>
    </row>
    <row r="90" spans="1:29" s="429" customFormat="1" ht="15" thickTop="1">
      <c r="A90" s="549"/>
      <c r="B90" s="494" t="s">
        <v>2549</v>
      </c>
      <c r="C90" s="534" t="str">
        <f>C91&amp;"(含)"&amp;"-"&amp;D91</f>
        <v>(含)-</v>
      </c>
      <c r="D90" s="534" t="str">
        <f t="shared" ref="D90:L90" si="21">D91&amp;"(含)"&amp;"-"&amp;E91</f>
        <v>(含)-</v>
      </c>
      <c r="E90" s="534" t="str">
        <f t="shared" si="21"/>
        <v>(含)-</v>
      </c>
      <c r="F90" s="534" t="str">
        <f t="shared" si="21"/>
        <v>(含)-</v>
      </c>
      <c r="G90" s="534" t="str">
        <f t="shared" si="21"/>
        <v>(含)-</v>
      </c>
      <c r="H90" s="534" t="str">
        <f t="shared" si="21"/>
        <v>(含)-</v>
      </c>
      <c r="I90" s="534" t="str">
        <f t="shared" si="21"/>
        <v>(含)-</v>
      </c>
      <c r="J90" s="534" t="str">
        <f t="shared" si="21"/>
        <v>(含)-</v>
      </c>
      <c r="K90" s="534" t="str">
        <f t="shared" si="21"/>
        <v>(含)-</v>
      </c>
      <c r="L90" s="534" t="str">
        <f t="shared" si="21"/>
        <v>(含)-</v>
      </c>
      <c r="M90" s="577" t="str">
        <f>M91&amp;"(含)"&amp;"-"&amp;P91</f>
        <v>(含)-</v>
      </c>
      <c r="N90" s="2965"/>
      <c r="O90" s="2965"/>
      <c r="P90" s="2973"/>
      <c r="Q90" s="2956"/>
      <c r="R90" s="2957"/>
      <c r="S90" s="2957"/>
      <c r="T90" s="2957"/>
      <c r="U90" s="2957"/>
      <c r="V90" s="2957"/>
      <c r="W90" s="2957"/>
      <c r="X90" s="2957"/>
      <c r="Y90" s="2957"/>
      <c r="Z90" s="2957"/>
      <c r="AA90" s="2957"/>
      <c r="AB90" s="2957"/>
      <c r="AC90" s="2957"/>
    </row>
    <row r="91" spans="1:29" s="429" customFormat="1">
      <c r="A91" s="549"/>
      <c r="B91" s="502"/>
      <c r="C91" s="551"/>
      <c r="D91" s="551"/>
      <c r="E91" s="551"/>
      <c r="F91" s="551"/>
      <c r="G91" s="551"/>
      <c r="H91" s="551"/>
      <c r="I91" s="551"/>
      <c r="J91" s="552"/>
      <c r="K91" s="552"/>
      <c r="L91" s="553"/>
      <c r="M91" s="554"/>
      <c r="N91" s="2965"/>
      <c r="O91" s="2965"/>
      <c r="P91" s="2973"/>
      <c r="Q91" s="2956"/>
      <c r="R91" s="2957"/>
      <c r="S91" s="2957"/>
      <c r="T91" s="2957"/>
      <c r="U91" s="2957"/>
      <c r="V91" s="2957"/>
      <c r="W91" s="2957"/>
      <c r="X91" s="2957"/>
      <c r="Y91" s="2957"/>
      <c r="Z91" s="2957"/>
      <c r="AA91" s="2957"/>
      <c r="AB91" s="2957"/>
      <c r="AC91" s="2957"/>
    </row>
    <row r="92" spans="1:29" s="429" customFormat="1" ht="15.75" thickBot="1">
      <c r="A92" s="509"/>
      <c r="B92" s="499"/>
      <c r="C92" s="516"/>
      <c r="D92" s="492"/>
      <c r="E92" s="492"/>
      <c r="F92" s="492"/>
      <c r="G92" s="492"/>
      <c r="H92" s="492"/>
      <c r="I92" s="492"/>
      <c r="J92" s="492"/>
      <c r="K92" s="492"/>
      <c r="L92" s="492"/>
      <c r="M92" s="493"/>
      <c r="N92" s="2965"/>
      <c r="O92" s="2965"/>
      <c r="P92" s="2973"/>
      <c r="Q92" s="2956"/>
      <c r="R92" s="2957"/>
      <c r="S92" s="2957"/>
      <c r="T92" s="2957"/>
      <c r="U92" s="2957"/>
      <c r="V92" s="2957"/>
      <c r="W92" s="2957"/>
      <c r="X92" s="2957"/>
      <c r="Y92" s="2957"/>
      <c r="Z92" s="2957"/>
      <c r="AA92" s="2957"/>
      <c r="AB92" s="2957"/>
      <c r="AC92" s="2957"/>
    </row>
    <row r="93" spans="1:29" ht="15" thickTop="1">
      <c r="A93" s="555"/>
      <c r="B93" s="494" t="s">
        <v>2550</v>
      </c>
      <c r="C93" s="510"/>
      <c r="D93" s="510"/>
      <c r="E93" s="539"/>
      <c r="F93" s="539"/>
      <c r="G93" s="539"/>
      <c r="H93" s="539"/>
      <c r="I93" s="539"/>
      <c r="J93" s="539"/>
      <c r="K93" s="540"/>
      <c r="L93" s="541"/>
      <c r="M93" s="542"/>
      <c r="N93" s="2963"/>
      <c r="O93" s="2963"/>
      <c r="P93" s="2972"/>
      <c r="Q93" s="2949"/>
      <c r="R93" s="2935"/>
      <c r="S93" s="2935"/>
      <c r="T93" s="2935"/>
      <c r="U93" s="2935"/>
      <c r="V93" s="2935"/>
      <c r="W93" s="2935"/>
      <c r="X93" s="2935"/>
      <c r="Y93" s="2935"/>
      <c r="Z93" s="2935"/>
      <c r="AA93" s="2935"/>
      <c r="AB93" s="2935"/>
      <c r="AC93" s="2935"/>
    </row>
    <row r="94" spans="1:29" ht="15.75" thickBot="1">
      <c r="A94" s="490"/>
      <c r="B94" s="499"/>
      <c r="C94" s="500">
        <v>100</v>
      </c>
      <c r="D94" s="500">
        <f t="shared" ref="D94:M94" si="22">C94-$K32</f>
        <v>100</v>
      </c>
      <c r="E94" s="500">
        <f t="shared" si="22"/>
        <v>100</v>
      </c>
      <c r="F94" s="500">
        <f t="shared" si="22"/>
        <v>100</v>
      </c>
      <c r="G94" s="500">
        <f t="shared" si="22"/>
        <v>100</v>
      </c>
      <c r="H94" s="500">
        <f t="shared" si="22"/>
        <v>100</v>
      </c>
      <c r="I94" s="500">
        <f t="shared" si="22"/>
        <v>100</v>
      </c>
      <c r="J94" s="500">
        <f t="shared" si="22"/>
        <v>100</v>
      </c>
      <c r="K94" s="500">
        <f t="shared" si="22"/>
        <v>100</v>
      </c>
      <c r="L94" s="500">
        <f t="shared" si="22"/>
        <v>100</v>
      </c>
      <c r="M94" s="501">
        <f t="shared" si="22"/>
        <v>100</v>
      </c>
      <c r="N94" s="2964"/>
      <c r="O94" s="2964"/>
      <c r="P94" s="2972"/>
      <c r="Q94" s="2949"/>
      <c r="R94" s="2935"/>
      <c r="S94" s="2935"/>
      <c r="T94" s="2935"/>
      <c r="U94" s="2935"/>
      <c r="V94" s="2935"/>
      <c r="W94" s="2935"/>
      <c r="X94" s="2935"/>
      <c r="Y94" s="2935"/>
      <c r="Z94" s="2935"/>
      <c r="AA94" s="2935"/>
      <c r="AB94" s="2935"/>
      <c r="AC94" s="2935"/>
    </row>
    <row r="95" spans="1:29" ht="15" thickTop="1">
      <c r="A95" s="555"/>
      <c r="B95" s="494" t="s">
        <v>2551</v>
      </c>
      <c r="C95" s="486"/>
      <c r="D95" s="486"/>
      <c r="E95" s="486"/>
      <c r="F95" s="486"/>
      <c r="G95" s="486"/>
      <c r="H95" s="486"/>
      <c r="I95" s="486"/>
      <c r="J95" s="486"/>
      <c r="K95" s="487"/>
      <c r="L95" s="488"/>
      <c r="M95" s="489"/>
      <c r="N95" s="2963"/>
      <c r="O95" s="2963"/>
      <c r="P95" s="2972"/>
      <c r="Q95" s="2949"/>
      <c r="R95" s="2935"/>
      <c r="S95" s="2935"/>
      <c r="T95" s="2935"/>
      <c r="U95" s="2935"/>
      <c r="V95" s="2935"/>
      <c r="W95" s="2935"/>
      <c r="X95" s="2935"/>
      <c r="Y95" s="2935"/>
      <c r="Z95" s="2935"/>
      <c r="AA95" s="2935"/>
      <c r="AB95" s="2935"/>
      <c r="AC95" s="2935"/>
    </row>
    <row r="96" spans="1:29" ht="15.75" thickBot="1">
      <c r="A96" s="490"/>
      <c r="B96" s="499"/>
      <c r="C96" s="500">
        <v>100</v>
      </c>
      <c r="D96" s="500">
        <f>C96-$K33</f>
        <v>100</v>
      </c>
      <c r="E96" s="500">
        <f>D96-$K33</f>
        <v>100</v>
      </c>
      <c r="F96" s="500">
        <f>E96-$K33</f>
        <v>100</v>
      </c>
      <c r="G96" s="500">
        <f>F96-$K33</f>
        <v>100</v>
      </c>
      <c r="H96" s="500"/>
      <c r="I96" s="500"/>
      <c r="J96" s="500"/>
      <c r="K96" s="500"/>
      <c r="L96" s="500"/>
      <c r="M96" s="501"/>
      <c r="N96" s="2964"/>
      <c r="O96" s="2964"/>
      <c r="P96" s="2972"/>
      <c r="Q96" s="2949"/>
      <c r="R96" s="2935"/>
      <c r="S96" s="2935"/>
      <c r="T96" s="2935"/>
      <c r="U96" s="2935"/>
      <c r="V96" s="2935"/>
      <c r="W96" s="2935"/>
      <c r="X96" s="2935"/>
      <c r="Y96" s="2935"/>
      <c r="Z96" s="2935"/>
      <c r="AA96" s="2935"/>
      <c r="AB96" s="2935"/>
      <c r="AC96" s="2935"/>
    </row>
    <row r="97" spans="1:29" ht="15" thickTop="1">
      <c r="A97" s="555"/>
      <c r="B97" s="591">
        <f>B34</f>
        <v>111</v>
      </c>
      <c r="C97" s="505"/>
      <c r="D97" s="505"/>
      <c r="E97" s="505"/>
      <c r="F97" s="505"/>
      <c r="G97" s="510"/>
      <c r="H97" s="511"/>
      <c r="I97" s="511"/>
      <c r="J97" s="511"/>
      <c r="K97" s="511"/>
      <c r="L97" s="512"/>
      <c r="M97" s="513"/>
      <c r="N97" s="2964"/>
      <c r="O97" s="2964"/>
      <c r="P97" s="2977"/>
      <c r="Q97" s="2978"/>
      <c r="R97" s="2935"/>
      <c r="S97" s="2935"/>
      <c r="T97" s="2935"/>
      <c r="U97" s="2935"/>
      <c r="V97" s="2935"/>
      <c r="W97" s="2935"/>
      <c r="X97" s="2935"/>
      <c r="Y97" s="2935"/>
      <c r="Z97" s="2935"/>
      <c r="AA97" s="2935"/>
      <c r="AB97" s="2935"/>
      <c r="AC97" s="2935"/>
    </row>
    <row r="98" spans="1:29" ht="15.75" thickBot="1">
      <c r="A98" s="490"/>
      <c r="B98" s="499"/>
      <c r="C98" s="516"/>
      <c r="D98" s="492"/>
      <c r="E98" s="492"/>
      <c r="F98" s="492"/>
      <c r="G98" s="516"/>
      <c r="H98" s="518"/>
      <c r="I98" s="518"/>
      <c r="J98" s="518"/>
      <c r="K98" s="518"/>
      <c r="L98" s="518"/>
      <c r="M98" s="519"/>
      <c r="N98" s="2964"/>
      <c r="O98" s="2964"/>
      <c r="P98" s="2972"/>
      <c r="Q98" s="2949"/>
      <c r="R98" s="2935"/>
      <c r="S98" s="2935"/>
      <c r="T98" s="2935"/>
      <c r="U98" s="2935"/>
      <c r="V98" s="2935"/>
      <c r="W98" s="2935"/>
      <c r="X98" s="2935"/>
      <c r="Y98" s="2935"/>
      <c r="Z98" s="2935"/>
      <c r="AA98" s="2935"/>
      <c r="AB98" s="2935"/>
      <c r="AC98" s="2935"/>
    </row>
    <row r="99" spans="1:29" s="429" customFormat="1" ht="15" thickTop="1">
      <c r="A99" s="549"/>
      <c r="B99" s="494">
        <f>B35</f>
        <v>111</v>
      </c>
      <c r="C99" s="505"/>
      <c r="D99" s="505"/>
      <c r="E99" s="505"/>
      <c r="F99" s="505"/>
      <c r="G99" s="510"/>
      <c r="H99" s="511"/>
      <c r="I99" s="511"/>
      <c r="J99" s="511"/>
      <c r="K99" s="511"/>
      <c r="L99" s="512"/>
      <c r="M99" s="513"/>
      <c r="N99" s="2965"/>
      <c r="O99" s="2965"/>
      <c r="P99" s="2973"/>
      <c r="Q99" s="2956"/>
      <c r="R99" s="2957"/>
      <c r="S99" s="2957"/>
      <c r="T99" s="2957"/>
      <c r="U99" s="2957"/>
      <c r="V99" s="2957"/>
      <c r="W99" s="2957"/>
      <c r="X99" s="2957"/>
      <c r="Y99" s="2957"/>
      <c r="Z99" s="2957"/>
      <c r="AA99" s="2957"/>
      <c r="AB99" s="2957"/>
      <c r="AC99" s="2957"/>
    </row>
    <row r="100" spans="1:29" s="429" customFormat="1" ht="15.75" thickBot="1">
      <c r="A100" s="509"/>
      <c r="B100" s="491"/>
      <c r="C100" s="516"/>
      <c r="D100" s="492"/>
      <c r="E100" s="492"/>
      <c r="F100" s="492"/>
      <c r="G100" s="516"/>
      <c r="H100" s="518"/>
      <c r="I100" s="518"/>
      <c r="J100" s="518"/>
      <c r="K100" s="518"/>
      <c r="L100" s="518"/>
      <c r="M100" s="519"/>
      <c r="N100" s="2965"/>
      <c r="O100" s="2965"/>
      <c r="P100" s="2973"/>
      <c r="Q100" s="2956"/>
      <c r="R100" s="2957"/>
      <c r="S100" s="2957"/>
      <c r="T100" s="2957"/>
      <c r="U100" s="2957"/>
      <c r="V100" s="2957"/>
      <c r="W100" s="2957"/>
      <c r="X100" s="2957"/>
      <c r="Y100" s="2957"/>
      <c r="Z100" s="2957"/>
      <c r="AA100" s="2957"/>
      <c r="AB100" s="2957"/>
      <c r="AC100" s="2957"/>
    </row>
    <row r="101" spans="1:29" ht="15" thickTop="1">
      <c r="A101" s="555"/>
      <c r="B101" s="494">
        <f>B36</f>
        <v>111</v>
      </c>
      <c r="C101" s="510"/>
      <c r="D101" s="510"/>
      <c r="E101" s="510"/>
      <c r="F101" s="510"/>
      <c r="G101" s="510"/>
      <c r="H101" s="511"/>
      <c r="I101" s="511"/>
      <c r="J101" s="511"/>
      <c r="K101" s="511"/>
      <c r="L101" s="512"/>
      <c r="M101" s="513"/>
      <c r="N101" s="2963"/>
      <c r="O101" s="2963"/>
      <c r="P101" s="2972"/>
      <c r="Q101" s="2949"/>
      <c r="R101" s="2935"/>
      <c r="S101" s="2935"/>
      <c r="T101" s="2935"/>
      <c r="U101" s="2935"/>
      <c r="V101" s="2935"/>
      <c r="W101" s="2935"/>
      <c r="X101" s="2935"/>
      <c r="Y101" s="2935"/>
      <c r="Z101" s="2935"/>
      <c r="AA101" s="2935"/>
      <c r="AB101" s="2935"/>
      <c r="AC101" s="2935"/>
    </row>
    <row r="102" spans="1:29" ht="15.75" thickBot="1">
      <c r="A102" s="490"/>
      <c r="B102" s="499"/>
      <c r="C102" s="516"/>
      <c r="D102" s="516"/>
      <c r="E102" s="516"/>
      <c r="F102" s="516"/>
      <c r="G102" s="516"/>
      <c r="H102" s="518"/>
      <c r="I102" s="518"/>
      <c r="J102" s="518"/>
      <c r="K102" s="518"/>
      <c r="L102" s="518"/>
      <c r="M102" s="519"/>
      <c r="N102" s="2964"/>
      <c r="O102" s="2964"/>
      <c r="P102" s="2972"/>
      <c r="Q102" s="2949"/>
      <c r="R102" s="2935"/>
      <c r="S102" s="2935"/>
      <c r="T102" s="2935"/>
      <c r="U102" s="2935"/>
      <c r="V102" s="2935"/>
      <c r="W102" s="2935"/>
      <c r="X102" s="2935"/>
      <c r="Y102" s="2935"/>
      <c r="Z102" s="2935"/>
      <c r="AA102" s="2935"/>
      <c r="AB102" s="2935"/>
      <c r="AC102" s="2935"/>
    </row>
    <row r="103" spans="1:29" ht="15" thickTop="1">
      <c r="N103" s="2935"/>
      <c r="O103" s="2935"/>
      <c r="P103" s="2966"/>
      <c r="Q103" s="2935"/>
      <c r="R103" s="2935"/>
      <c r="S103" s="2935"/>
      <c r="T103" s="2935"/>
      <c r="U103" s="2935"/>
      <c r="V103" s="2935"/>
      <c r="W103" s="2935"/>
      <c r="X103" s="2935"/>
      <c r="Y103" s="2935"/>
      <c r="Z103" s="2935"/>
      <c r="AA103" s="2935"/>
      <c r="AB103" s="2935"/>
      <c r="AC103" s="2935"/>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P14:P25"/>
    <mergeCell ref="Y14:Y25"/>
    <mergeCell ref="P26:P36"/>
    <mergeCell ref="Y26:Y36"/>
    <mergeCell ref="P37:Q37"/>
    <mergeCell ref="R37:S37"/>
    <mergeCell ref="T37:U37"/>
    <mergeCell ref="V37:W37"/>
    <mergeCell ref="P38:Q38"/>
    <mergeCell ref="R38:S38"/>
    <mergeCell ref="T38:U38"/>
    <mergeCell ref="V38:W38"/>
    <mergeCell ref="P39:Q39"/>
    <mergeCell ref="R39:W39"/>
  </mergeCells>
  <phoneticPr fontId="32" type="noConversion"/>
  <conditionalFormatting sqref="F42 H42 J42">
    <cfRule type="containsText" dxfId="54" priority="18" stopIfTrue="1" operator="containsText" text="超过">
      <formula>NOT(ISERROR(SEARCH("超过",F42)))</formula>
    </cfRule>
  </conditionalFormatting>
  <conditionalFormatting sqref="J44">
    <cfRule type="containsText" dxfId="53" priority="17" stopIfTrue="1" operator="containsText" text="超过">
      <formula>NOT(ISERROR(SEARCH("超过",J44)))</formula>
    </cfRule>
  </conditionalFormatting>
  <conditionalFormatting sqref="H44">
    <cfRule type="containsText" dxfId="52" priority="16" stopIfTrue="1" operator="containsText" text="超过">
      <formula>NOT(ISERROR(SEARCH("超过",H44)))</formula>
    </cfRule>
  </conditionalFormatting>
  <conditionalFormatting sqref="F44">
    <cfRule type="containsText" dxfId="51" priority="15" stopIfTrue="1" operator="containsText" text="超过">
      <formula>NOT(ISERROR(SEARCH("超过",F44)))</formula>
    </cfRule>
  </conditionalFormatting>
  <conditionalFormatting sqref="F43 H43 J43">
    <cfRule type="containsText" dxfId="50" priority="14" stopIfTrue="1" operator="containsText" text="超过">
      <formula>NOT(ISERROR(SEARCH("超过",F43)))</formula>
    </cfRule>
  </conditionalFormatting>
  <conditionalFormatting sqref="E42">
    <cfRule type="expression" dxfId="49" priority="13" stopIfTrue="1">
      <formula>$F$42="超过30%"</formula>
    </cfRule>
  </conditionalFormatting>
  <conditionalFormatting sqref="G44">
    <cfRule type="expression" dxfId="48" priority="12" stopIfTrue="1">
      <formula>$H$54+$H$44="超过30%"</formula>
    </cfRule>
  </conditionalFormatting>
  <conditionalFormatting sqref="E43">
    <cfRule type="expression" dxfId="47" priority="11" stopIfTrue="1">
      <formula>$F$43="超过20%"</formula>
    </cfRule>
  </conditionalFormatting>
  <conditionalFormatting sqref="E44">
    <cfRule type="expression" dxfId="46" priority="10" stopIfTrue="1">
      <formula>$F$44="超过30%"</formula>
    </cfRule>
  </conditionalFormatting>
  <conditionalFormatting sqref="G42">
    <cfRule type="expression" dxfId="45" priority="9" stopIfTrue="1">
      <formula>$H$52+$H$42="超过30%"</formula>
    </cfRule>
  </conditionalFormatting>
  <conditionalFormatting sqref="G43">
    <cfRule type="expression" dxfId="44" priority="8" stopIfTrue="1">
      <formula>$H$43="超过20%"</formula>
    </cfRule>
  </conditionalFormatting>
  <conditionalFormatting sqref="I42">
    <cfRule type="expression" dxfId="43" priority="7" stopIfTrue="1">
      <formula>$J$52+$J$42="超过30%"</formula>
    </cfRule>
  </conditionalFormatting>
  <conditionalFormatting sqref="I43">
    <cfRule type="expression" dxfId="42" priority="6" stopIfTrue="1">
      <formula>$J$53+$J$43="超过20%"</formula>
    </cfRule>
  </conditionalFormatting>
  <conditionalFormatting sqref="I44">
    <cfRule type="expression" dxfId="41" priority="5" stopIfTrue="1">
      <formula>$J$44="超过30%"</formula>
    </cfRule>
  </conditionalFormatting>
  <conditionalFormatting sqref="F38">
    <cfRule type="expression" dxfId="40" priority="4">
      <formula>$D$38="简单平均"</formula>
    </cfRule>
  </conditionalFormatting>
  <conditionalFormatting sqref="H38">
    <cfRule type="expression" dxfId="39" priority="3">
      <formula>$D$38="简单平均"</formula>
    </cfRule>
  </conditionalFormatting>
  <conditionalFormatting sqref="J38">
    <cfRule type="expression" dxfId="38" priority="2">
      <formula>$D$38="简单平均"</formula>
    </cfRule>
  </conditionalFormatting>
  <conditionalFormatting sqref="F7:F36 H7:H36 J7:J36">
    <cfRule type="cellIs" dxfId="37"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G17 C17 E17 I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B37">
      <formula1>"元/平方米,元/车位"</formula1>
    </dataValidation>
    <dataValidation type="list" allowBlank="1" showInputMessage="1" showErrorMessage="1" sqref="C21 E21 G21 I21">
      <formula1>环境</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3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D241"/>
  <sheetViews>
    <sheetView view="pageBreakPreview" zoomScale="60" zoomScaleNormal="70" workbookViewId="0">
      <selection activeCell="F7" sqref="F7:F47"/>
    </sheetView>
  </sheetViews>
  <sheetFormatPr defaultColWidth="9" defaultRowHeight="14.25"/>
  <cols>
    <col min="1" max="1" width="10.5" style="362" customWidth="1"/>
    <col min="2" max="2" width="15.75" style="362" customWidth="1"/>
    <col min="3" max="3" width="14.375" style="362" customWidth="1"/>
    <col min="4" max="4" width="12.25" style="362" customWidth="1"/>
    <col min="5" max="5" width="14.375" style="362" customWidth="1"/>
    <col min="6" max="6" width="12.25" style="362" customWidth="1"/>
    <col min="7" max="7" width="14.5" style="362" customWidth="1"/>
    <col min="8" max="8" width="12.25" style="362" customWidth="1"/>
    <col min="9" max="9" width="14.5" style="362" customWidth="1"/>
    <col min="10" max="10" width="12.25" style="362" customWidth="1"/>
    <col min="11" max="11" width="12.25" style="451" customWidth="1"/>
    <col min="12" max="12" width="12.25" style="452" customWidth="1"/>
    <col min="13" max="15" width="12.25" style="362" customWidth="1"/>
    <col min="16" max="16" width="4.75" style="362" customWidth="1"/>
    <col min="17" max="17" width="19.5" style="362" customWidth="1"/>
    <col min="18" max="22" width="6.125" style="362" customWidth="1"/>
    <col min="23" max="23" width="5.75" style="362" customWidth="1"/>
    <col min="24" max="24" width="4.25" style="362" customWidth="1"/>
    <col min="25" max="25" width="3.5" style="362" customWidth="1"/>
    <col min="26" max="26" width="19.75" style="362" customWidth="1"/>
    <col min="27" max="28" width="9.375" style="362" customWidth="1"/>
    <col min="29" max="16384" width="9" style="362"/>
  </cols>
  <sheetData>
    <row r="1" spans="1:29" s="1389" customFormat="1" ht="28.5" customHeight="1" thickBot="1">
      <c r="A1" s="1378" t="s">
        <v>2522</v>
      </c>
      <c r="B1" s="1379"/>
      <c r="C1" s="1380" t="s">
        <v>2345</v>
      </c>
      <c r="D1" s="1381"/>
      <c r="E1" s="1390"/>
      <c r="F1" s="2052"/>
      <c r="G1" s="1391" t="s">
        <v>2458</v>
      </c>
      <c r="H1" s="1390"/>
      <c r="I1" s="1390"/>
      <c r="J1" s="1390"/>
      <c r="K1" s="1392"/>
      <c r="L1" s="1393"/>
      <c r="M1" s="1394"/>
      <c r="N1" s="1394"/>
      <c r="O1" s="1394"/>
      <c r="P1" s="1380"/>
      <c r="Q1" s="1380"/>
      <c r="R1" s="1380"/>
      <c r="S1" s="1380"/>
      <c r="T1" s="1380"/>
      <c r="U1" s="1380"/>
      <c r="V1" s="1380"/>
      <c r="W1" s="1380"/>
      <c r="X1" s="1380"/>
      <c r="Y1" s="1380"/>
      <c r="Z1" s="1380"/>
      <c r="AA1" s="1380"/>
      <c r="AB1" s="1380"/>
      <c r="AC1" s="1388"/>
    </row>
    <row r="2" spans="1:29" s="357" customFormat="1" ht="28.5" customHeight="1" thickTop="1">
      <c r="A2" s="1377" t="s">
        <v>2147</v>
      </c>
      <c r="B2" s="1315" t="e">
        <f ca="1">IF(C2="——",ROUND(C37*D3/10000,0),ROUND(C37*D3/10000,0)-D2)</f>
        <v>#DIV/0!</v>
      </c>
      <c r="C2" s="2054"/>
      <c r="D2" s="1030" t="e">
        <f ca="1">SUMIF(INDIRECT("'"&amp;F2&amp;"'"&amp;"!A:A"),"承租人权益价值",INDIRECT("'"&amp;F2&amp;"'"&amp;"!c:c"))</f>
        <v>#REF!</v>
      </c>
      <c r="E2" s="2055" t="s">
        <v>2148</v>
      </c>
      <c r="F2" s="2056"/>
      <c r="G2" s="1031"/>
      <c r="H2" s="1031"/>
      <c r="I2" s="1031"/>
      <c r="J2" s="1031"/>
      <c r="K2" s="1033"/>
      <c r="L2" s="2944"/>
      <c r="M2" s="2945"/>
      <c r="N2" s="2945"/>
      <c r="O2" s="2945"/>
      <c r="P2" s="706"/>
      <c r="Q2" s="706"/>
      <c r="R2" s="706"/>
      <c r="S2" s="706"/>
      <c r="T2" s="706"/>
      <c r="U2" s="706"/>
      <c r="V2" s="706"/>
      <c r="W2" s="706"/>
      <c r="X2" s="706"/>
      <c r="Y2" s="706"/>
      <c r="Z2" s="706"/>
      <c r="AA2" s="706"/>
      <c r="AB2" s="706"/>
      <c r="AC2" s="707"/>
    </row>
    <row r="3" spans="1:29" s="357" customFormat="1" ht="28.5" customHeight="1" thickBot="1">
      <c r="A3" s="209" t="s">
        <v>2149</v>
      </c>
      <c r="B3" s="565" t="e">
        <f ca="1">IF(C2="——",C37,ROUND(B2*10000/D3,0))</f>
        <v>#DIV/0!</v>
      </c>
      <c r="C3" s="359" t="s">
        <v>2459</v>
      </c>
      <c r="D3" s="358">
        <f>SUMIF('数据-汇总表'!$C19:$C33,D1,'数据-汇总表'!$E19:$E33)</f>
        <v>0</v>
      </c>
      <c r="E3" s="1031"/>
      <c r="F3" s="1032"/>
      <c r="G3" s="1031"/>
      <c r="H3" s="1031"/>
      <c r="I3" s="1031"/>
      <c r="J3" s="1031"/>
      <c r="K3" s="1033"/>
      <c r="L3" s="2944"/>
      <c r="M3" s="2945"/>
      <c r="N3" s="2945"/>
      <c r="O3" s="2945"/>
      <c r="P3" s="706"/>
      <c r="Q3" s="706"/>
      <c r="R3" s="706"/>
      <c r="S3" s="706"/>
      <c r="T3" s="706"/>
      <c r="U3" s="706"/>
      <c r="V3" s="706"/>
      <c r="W3" s="706"/>
      <c r="X3" s="706"/>
      <c r="Y3" s="706"/>
      <c r="Z3" s="706"/>
      <c r="AA3" s="706"/>
      <c r="AB3" s="723"/>
      <c r="AC3" s="720"/>
    </row>
    <row r="4" spans="1:29" ht="15">
      <c r="A4" s="360" t="s">
        <v>2460</v>
      </c>
      <c r="B4" s="361"/>
      <c r="C4" s="3357" t="s">
        <v>2461</v>
      </c>
      <c r="D4" s="3370"/>
      <c r="E4" s="3371" t="s">
        <v>2462</v>
      </c>
      <c r="F4" s="3372"/>
      <c r="G4" s="3357" t="s">
        <v>2463</v>
      </c>
      <c r="H4" s="3370"/>
      <c r="I4" s="3357" t="s">
        <v>2464</v>
      </c>
      <c r="J4" s="3370"/>
      <c r="K4" s="566" t="s">
        <v>2465</v>
      </c>
      <c r="L4" s="2925"/>
      <c r="M4" s="2926"/>
      <c r="N4" s="2926"/>
      <c r="O4" s="2926"/>
      <c r="P4" s="3373" t="s">
        <v>2466</v>
      </c>
      <c r="Q4" s="3374"/>
      <c r="R4" s="3379" t="s">
        <v>2462</v>
      </c>
      <c r="S4" s="3380"/>
      <c r="T4" s="3379" t="s">
        <v>2463</v>
      </c>
      <c r="U4" s="3380"/>
      <c r="V4" s="3366" t="s">
        <v>2464</v>
      </c>
      <c r="W4" s="3366"/>
      <c r="X4" s="1529"/>
      <c r="Y4" s="3379" t="s">
        <v>2466</v>
      </c>
      <c r="Z4" s="3380"/>
      <c r="AA4" s="3367" t="s">
        <v>2462</v>
      </c>
      <c r="AB4" s="3368" t="s">
        <v>2463</v>
      </c>
      <c r="AC4" s="3367" t="s">
        <v>2464</v>
      </c>
    </row>
    <row r="5" spans="1:29" ht="15">
      <c r="A5" s="363"/>
      <c r="B5" s="364"/>
      <c r="C5" s="3387" t="s">
        <v>2357</v>
      </c>
      <c r="D5" s="3388"/>
      <c r="E5" s="3394" t="s">
        <v>2358</v>
      </c>
      <c r="F5" s="3395"/>
      <c r="G5" s="3387" t="s">
        <v>2359</v>
      </c>
      <c r="H5" s="3388"/>
      <c r="I5" s="3387" t="s">
        <v>2360</v>
      </c>
      <c r="J5" s="3388"/>
      <c r="K5" s="566"/>
      <c r="L5" s="2925"/>
      <c r="M5" s="2926"/>
      <c r="N5" s="2926"/>
      <c r="O5" s="2926"/>
      <c r="P5" s="3375"/>
      <c r="Q5" s="3376"/>
      <c r="R5" s="3381"/>
      <c r="S5" s="3382"/>
      <c r="T5" s="3381"/>
      <c r="U5" s="3382"/>
      <c r="V5" s="3366"/>
      <c r="W5" s="3366"/>
      <c r="X5" s="1529"/>
      <c r="Y5" s="3381"/>
      <c r="Z5" s="3382"/>
      <c r="AA5" s="3368"/>
      <c r="AB5" s="3368"/>
      <c r="AC5" s="3368"/>
    </row>
    <row r="6" spans="1:29" ht="15.75" thickBot="1">
      <c r="A6" s="365"/>
      <c r="B6" s="366"/>
      <c r="C6" s="3385" t="s">
        <v>2361</v>
      </c>
      <c r="D6" s="3386"/>
      <c r="E6" s="3392" t="s">
        <v>2361</v>
      </c>
      <c r="F6" s="3393"/>
      <c r="G6" s="3385" t="s">
        <v>2361</v>
      </c>
      <c r="H6" s="3386"/>
      <c r="I6" s="3385" t="s">
        <v>2361</v>
      </c>
      <c r="J6" s="3386"/>
      <c r="K6" s="566" t="s">
        <v>2362</v>
      </c>
      <c r="L6" s="2925"/>
      <c r="M6" s="2926"/>
      <c r="N6" s="2926"/>
      <c r="O6" s="2926"/>
      <c r="P6" s="3377"/>
      <c r="Q6" s="3378"/>
      <c r="R6" s="3381"/>
      <c r="S6" s="3382"/>
      <c r="T6" s="3383"/>
      <c r="U6" s="3384"/>
      <c r="V6" s="3366"/>
      <c r="W6" s="3366"/>
      <c r="X6" s="1529"/>
      <c r="Y6" s="3383"/>
      <c r="Z6" s="3384"/>
      <c r="AA6" s="3369"/>
      <c r="AB6" s="3369"/>
      <c r="AC6" s="3369"/>
    </row>
    <row r="7" spans="1:29" s="113" customFormat="1" ht="15.75" thickBot="1">
      <c r="A7" s="367" t="s">
        <v>2363</v>
      </c>
      <c r="B7" s="368"/>
      <c r="C7" s="369">
        <f>'数据-取费表'!B2</f>
        <v>44280</v>
      </c>
      <c r="D7" s="370">
        <v>100</v>
      </c>
      <c r="E7" s="371"/>
      <c r="F7" s="372">
        <f>SUMIF(46:46,YEAR(E7)&amp;"-"&amp;MONTH(E7),47:47)</f>
        <v>0</v>
      </c>
      <c r="G7" s="2147"/>
      <c r="H7" s="370">
        <f>SUMIF(46:46,YEAR(G7)&amp;"-"&amp;MONTH(G7),47:47)</f>
        <v>0</v>
      </c>
      <c r="I7" s="371"/>
      <c r="J7" s="370">
        <f>SUMIF(46:46,YEAR(I7)&amp;"-"&amp;MONTH(I7),47:47)</f>
        <v>0</v>
      </c>
      <c r="K7" s="567"/>
      <c r="L7" s="2927"/>
      <c r="M7" s="2928"/>
      <c r="N7" s="2928"/>
      <c r="O7" s="2928"/>
      <c r="P7" s="3389" t="s">
        <v>2364</v>
      </c>
      <c r="Q7" s="3391"/>
      <c r="R7" s="708" t="s">
        <v>17</v>
      </c>
      <c r="S7" s="709">
        <f t="shared" ref="S7:S14" si="0">F7</f>
        <v>0</v>
      </c>
      <c r="T7" s="708" t="s">
        <v>17</v>
      </c>
      <c r="U7" s="709">
        <f t="shared" ref="U7:U14" si="1">H7</f>
        <v>0</v>
      </c>
      <c r="V7" s="708" t="s">
        <v>17</v>
      </c>
      <c r="W7" s="709">
        <f t="shared" ref="W7:W14" si="2">J7</f>
        <v>0</v>
      </c>
      <c r="X7" s="710"/>
      <c r="Y7" s="3389" t="s">
        <v>2364</v>
      </c>
      <c r="Z7" s="3390"/>
      <c r="AA7" s="711" t="e">
        <f>D7/F7</f>
        <v>#DIV/0!</v>
      </c>
      <c r="AB7" s="711" t="e">
        <f>D7/H7</f>
        <v>#DIV/0!</v>
      </c>
      <c r="AC7" s="711" t="e">
        <f>D7/J7</f>
        <v>#DIV/0!</v>
      </c>
    </row>
    <row r="8" spans="1:29" s="113" customFormat="1" ht="15.75" thickBot="1">
      <c r="A8" s="367" t="s">
        <v>2365</v>
      </c>
      <c r="B8" s="368"/>
      <c r="C8" s="373" t="s">
        <v>2467</v>
      </c>
      <c r="D8" s="370">
        <v>100</v>
      </c>
      <c r="E8" s="373"/>
      <c r="F8" s="372">
        <f>SUMIF(49:49,E8,50:50)-SUMIF(49:49,C8,50:50)+100</f>
        <v>0</v>
      </c>
      <c r="G8" s="373"/>
      <c r="H8" s="370">
        <f>SUMIF(49:49,G8,50:50)-SUMIF(49:49,C8,50:50)+100</f>
        <v>0</v>
      </c>
      <c r="I8" s="373"/>
      <c r="J8" s="370">
        <f>SUMIF(49:49,I8,50:50)-SUMIF(49:49,C8,50:50)+100</f>
        <v>0</v>
      </c>
      <c r="K8" s="567"/>
      <c r="L8" s="2927"/>
      <c r="M8" s="2928"/>
      <c r="N8" s="2928"/>
      <c r="O8" s="2928"/>
      <c r="P8" s="3389" t="s">
        <v>2367</v>
      </c>
      <c r="Q8" s="3390"/>
      <c r="R8" s="708" t="s">
        <v>17</v>
      </c>
      <c r="S8" s="709">
        <f t="shared" si="0"/>
        <v>0</v>
      </c>
      <c r="T8" s="708" t="s">
        <v>17</v>
      </c>
      <c r="U8" s="709">
        <f t="shared" si="1"/>
        <v>0</v>
      </c>
      <c r="V8" s="708" t="s">
        <v>17</v>
      </c>
      <c r="W8" s="709">
        <f t="shared" si="2"/>
        <v>0</v>
      </c>
      <c r="X8" s="710"/>
      <c r="Y8" s="3389" t="s">
        <v>2367</v>
      </c>
      <c r="Z8" s="3390"/>
      <c r="AA8" s="711" t="e">
        <f t="shared" ref="AA8:AA34" si="3">D8/F8</f>
        <v>#DIV/0!</v>
      </c>
      <c r="AB8" s="711" t="e">
        <f t="shared" ref="AB8:AB34" si="4">D8/H8</f>
        <v>#DIV/0!</v>
      </c>
      <c r="AC8" s="711" t="e">
        <f t="shared" ref="AC8:AC34" si="5">D8/J8</f>
        <v>#DIV/0!</v>
      </c>
    </row>
    <row r="9" spans="1:29" s="113" customFormat="1">
      <c r="A9" s="374" t="s">
        <v>2368</v>
      </c>
      <c r="B9" s="67" t="s">
        <v>2369</v>
      </c>
      <c r="C9" s="375"/>
      <c r="D9" s="131">
        <v>100</v>
      </c>
      <c r="E9" s="378"/>
      <c r="F9" s="377">
        <f>SUMIF(51:51,E9,52:52)-SUMIF(51:51,C9,52:52)+100</f>
        <v>100</v>
      </c>
      <c r="G9" s="378"/>
      <c r="H9" s="131">
        <f>SUMIF(51:51,G9,52:52)-SUMIF(51:51,C9,52:52)+100</f>
        <v>100</v>
      </c>
      <c r="I9" s="378"/>
      <c r="J9" s="131">
        <f>SUMIF(51:51,I9,52:52)-SUMIF(51:51,C9,52:52)+100</f>
        <v>100</v>
      </c>
      <c r="K9" s="567"/>
      <c r="L9" s="2927"/>
      <c r="M9" s="2928"/>
      <c r="N9" s="2928"/>
      <c r="O9" s="2982"/>
      <c r="P9" s="3360" t="s">
        <v>2370</v>
      </c>
      <c r="Q9" s="1517" t="str">
        <f t="shared" ref="Q9:Q14" si="6">B9</f>
        <v>用途</v>
      </c>
      <c r="R9" s="708" t="s">
        <v>17</v>
      </c>
      <c r="S9" s="709">
        <f t="shared" si="0"/>
        <v>100</v>
      </c>
      <c r="T9" s="708" t="s">
        <v>17</v>
      </c>
      <c r="U9" s="709">
        <f t="shared" si="1"/>
        <v>100</v>
      </c>
      <c r="V9" s="708" t="s">
        <v>17</v>
      </c>
      <c r="W9" s="709">
        <f t="shared" si="2"/>
        <v>100</v>
      </c>
      <c r="X9" s="710"/>
      <c r="Y9" s="3257" t="s">
        <v>2371</v>
      </c>
      <c r="Z9" s="55" t="str">
        <f t="shared" ref="Z9:Z14" si="7">Q9</f>
        <v>用途</v>
      </c>
      <c r="AA9" s="711">
        <f t="shared" si="3"/>
        <v>1</v>
      </c>
      <c r="AB9" s="711">
        <f t="shared" si="4"/>
        <v>1</v>
      </c>
      <c r="AC9" s="711">
        <f t="shared" si="5"/>
        <v>1</v>
      </c>
    </row>
    <row r="10" spans="1:29" s="385" customFormat="1" ht="27">
      <c r="A10" s="379"/>
      <c r="B10" s="380" t="s">
        <v>2372</v>
      </c>
      <c r="C10" s="381"/>
      <c r="D10" s="132">
        <v>100</v>
      </c>
      <c r="E10" s="381"/>
      <c r="F10" s="383">
        <f>SUMIF(53:53,E10,54:54)-SUMIF(53:53,C10,54:54)+100</f>
        <v>100</v>
      </c>
      <c r="G10" s="381"/>
      <c r="H10" s="132">
        <f>SUMIF(53:53,G10,54:54)-SUMIF(53:53,C10,54:54)+100</f>
        <v>100</v>
      </c>
      <c r="I10" s="381"/>
      <c r="J10" s="132">
        <f>SUMIF(53:53,I10,54:54)-SUMIF(53:53,C10,54:54)+100</f>
        <v>100</v>
      </c>
      <c r="K10" s="568"/>
      <c r="L10" s="2929"/>
      <c r="M10" s="2930"/>
      <c r="N10" s="2930"/>
      <c r="O10" s="2983"/>
      <c r="P10" s="3360"/>
      <c r="Q10" s="1517" t="str">
        <f t="shared" si="6"/>
        <v>土地使用年限（年）</v>
      </c>
      <c r="R10" s="708" t="s">
        <v>17</v>
      </c>
      <c r="S10" s="709">
        <f t="shared" si="0"/>
        <v>100</v>
      </c>
      <c r="T10" s="708" t="s">
        <v>17</v>
      </c>
      <c r="U10" s="709">
        <f t="shared" si="1"/>
        <v>100</v>
      </c>
      <c r="V10" s="708" t="s">
        <v>17</v>
      </c>
      <c r="W10" s="709">
        <f t="shared" si="2"/>
        <v>100</v>
      </c>
      <c r="X10" s="710"/>
      <c r="Y10" s="3257"/>
      <c r="Z10" s="55" t="str">
        <f t="shared" si="7"/>
        <v>土地使用年限（年）</v>
      </c>
      <c r="AA10" s="711">
        <f t="shared" si="3"/>
        <v>1</v>
      </c>
      <c r="AB10" s="711">
        <f t="shared" si="4"/>
        <v>1</v>
      </c>
      <c r="AC10" s="711">
        <f t="shared" si="5"/>
        <v>1</v>
      </c>
    </row>
    <row r="11" spans="1:29" ht="15">
      <c r="A11" s="386"/>
      <c r="B11" s="2066">
        <v>111</v>
      </c>
      <c r="C11" s="390"/>
      <c r="D11" s="132">
        <v>100</v>
      </c>
      <c r="E11" s="427"/>
      <c r="F11" s="383">
        <f>SUMIF(55:55,E11,56:56)-SUMIF(55:55,C11,56:56)+100</f>
        <v>100</v>
      </c>
      <c r="G11" s="427"/>
      <c r="H11" s="132">
        <f>SUMIF(55:55,G11,56:56)-SUMIF(55:55,C11,56:56)+100</f>
        <v>100</v>
      </c>
      <c r="I11" s="427"/>
      <c r="J11" s="132">
        <f>SUMIF(55:55,I11,56:56)-SUMIF(55:55,C11,56:56)+100</f>
        <v>100</v>
      </c>
      <c r="K11" s="569"/>
      <c r="L11" s="2931"/>
      <c r="M11" s="2926"/>
      <c r="N11" s="2926"/>
      <c r="O11" s="2984"/>
      <c r="P11" s="3360"/>
      <c r="Q11" s="1517">
        <f t="shared" si="6"/>
        <v>111</v>
      </c>
      <c r="R11" s="708" t="s">
        <v>17</v>
      </c>
      <c r="S11" s="709">
        <f t="shared" si="0"/>
        <v>100</v>
      </c>
      <c r="T11" s="708" t="s">
        <v>17</v>
      </c>
      <c r="U11" s="709">
        <f t="shared" si="1"/>
        <v>100</v>
      </c>
      <c r="V11" s="708" t="s">
        <v>17</v>
      </c>
      <c r="W11" s="709">
        <f t="shared" si="2"/>
        <v>100</v>
      </c>
      <c r="X11" s="710"/>
      <c r="Y11" s="3257"/>
      <c r="Z11" s="55">
        <f t="shared" si="7"/>
        <v>111</v>
      </c>
      <c r="AA11" s="711">
        <f t="shared" si="3"/>
        <v>1</v>
      </c>
      <c r="AB11" s="711">
        <f t="shared" si="4"/>
        <v>1</v>
      </c>
      <c r="AC11" s="711">
        <f t="shared" si="5"/>
        <v>1</v>
      </c>
    </row>
    <row r="12" spans="1:29" s="113" customFormat="1" ht="15">
      <c r="A12" s="389"/>
      <c r="B12" s="2066">
        <v>111</v>
      </c>
      <c r="C12" s="390"/>
      <c r="D12" s="391">
        <v>100</v>
      </c>
      <c r="E12" s="427"/>
      <c r="F12" s="383">
        <f>SUMIF(57:57,E12,58:58)-SUMIF(57:57,C12,58:58)+100</f>
        <v>100</v>
      </c>
      <c r="G12" s="427"/>
      <c r="H12" s="132">
        <f>SUMIF(57:57,G12,58:58)-SUMIF(57:57,C12,58:58)+100</f>
        <v>100</v>
      </c>
      <c r="I12" s="427"/>
      <c r="J12" s="132">
        <f>SUMIF(57:57,I12,58:58)-SUMIF(57:57,C12,58:58)+100</f>
        <v>100</v>
      </c>
      <c r="K12" s="569"/>
      <c r="L12" s="2927"/>
      <c r="M12" s="2928"/>
      <c r="N12" s="2928"/>
      <c r="O12" s="2982"/>
      <c r="P12" s="3360"/>
      <c r="Q12" s="1517">
        <f t="shared" si="6"/>
        <v>111</v>
      </c>
      <c r="R12" s="708" t="s">
        <v>17</v>
      </c>
      <c r="S12" s="709">
        <f t="shared" si="0"/>
        <v>100</v>
      </c>
      <c r="T12" s="708" t="s">
        <v>17</v>
      </c>
      <c r="U12" s="709">
        <f t="shared" si="1"/>
        <v>100</v>
      </c>
      <c r="V12" s="708" t="s">
        <v>17</v>
      </c>
      <c r="W12" s="709">
        <f t="shared" si="2"/>
        <v>100</v>
      </c>
      <c r="X12" s="710"/>
      <c r="Y12" s="3257"/>
      <c r="Z12" s="55">
        <f t="shared" si="7"/>
        <v>111</v>
      </c>
      <c r="AA12" s="711">
        <f>D12/F12</f>
        <v>1</v>
      </c>
      <c r="AB12" s="711">
        <f>D12/H12</f>
        <v>1</v>
      </c>
      <c r="AC12" s="711">
        <f>D12/J12</f>
        <v>1</v>
      </c>
    </row>
    <row r="13" spans="1:29" ht="15.75" thickBot="1">
      <c r="A13" s="386"/>
      <c r="B13" s="2066">
        <v>111</v>
      </c>
      <c r="C13" s="392"/>
      <c r="D13" s="393">
        <v>100</v>
      </c>
      <c r="E13" s="427"/>
      <c r="F13" s="383">
        <f>SUMIF(59:59,E13,60:60)-SUMIF(59:59,C13,60:60)+100</f>
        <v>100</v>
      </c>
      <c r="G13" s="2148"/>
      <c r="H13" s="396">
        <f>SUMIF(59:59,G13,60:60)-SUMIF(59:59,C13,60:60)+100</f>
        <v>100</v>
      </c>
      <c r="I13" s="427"/>
      <c r="J13" s="393">
        <f>SUMIF(59:59,I13,60:60)-SUMIF(59:59,C13,60:60)+100</f>
        <v>100</v>
      </c>
      <c r="K13" s="569"/>
      <c r="L13" s="2932"/>
      <c r="M13" s="2926"/>
      <c r="N13" s="2926"/>
      <c r="O13" s="2984"/>
      <c r="P13" s="3360"/>
      <c r="Q13" s="1517">
        <f t="shared" si="6"/>
        <v>111</v>
      </c>
      <c r="R13" s="708" t="s">
        <v>17</v>
      </c>
      <c r="S13" s="709">
        <f t="shared" si="0"/>
        <v>100</v>
      </c>
      <c r="T13" s="708" t="s">
        <v>17</v>
      </c>
      <c r="U13" s="709">
        <f t="shared" si="1"/>
        <v>100</v>
      </c>
      <c r="V13" s="708" t="s">
        <v>17</v>
      </c>
      <c r="W13" s="709">
        <f t="shared" si="2"/>
        <v>100</v>
      </c>
      <c r="X13" s="710"/>
      <c r="Y13" s="3257"/>
      <c r="Z13" s="55">
        <f t="shared" si="7"/>
        <v>111</v>
      </c>
      <c r="AA13" s="711">
        <f t="shared" si="3"/>
        <v>1</v>
      </c>
      <c r="AB13" s="711">
        <f t="shared" si="4"/>
        <v>1</v>
      </c>
      <c r="AC13" s="711">
        <f t="shared" si="5"/>
        <v>1</v>
      </c>
    </row>
    <row r="14" spans="1:29" ht="15">
      <c r="A14" s="398" t="s">
        <v>2374</v>
      </c>
      <c r="B14" s="65" t="s">
        <v>2524</v>
      </c>
      <c r="C14" s="2144">
        <f>IF(B1="工业",估价对象房地状况!G4,估价对象房地状况!C6)</f>
        <v>0</v>
      </c>
      <c r="D14" s="399">
        <v>100</v>
      </c>
      <c r="E14" s="400"/>
      <c r="F14" s="401">
        <f>SUMIF(61:61,E15,62:62)-SUMIF(61:61,C15,62:62)+100</f>
        <v>100</v>
      </c>
      <c r="G14" s="402"/>
      <c r="H14" s="399">
        <f>SUMIF(61:61,G15,62:62)-SUMIF(61:61,C15,62:62)+100</f>
        <v>100</v>
      </c>
      <c r="I14" s="400"/>
      <c r="J14" s="399">
        <f>SUMIF(61:61,I15,62:62)-SUMIF(61:61,C15,62:62)+100</f>
        <v>100</v>
      </c>
      <c r="K14" s="570"/>
      <c r="L14" s="2932"/>
      <c r="M14" s="2926"/>
      <c r="N14" s="2926"/>
      <c r="O14" s="2984"/>
      <c r="P14" s="3362" t="s">
        <v>2375</v>
      </c>
      <c r="Q14" s="1526" t="str">
        <f t="shared" si="6"/>
        <v>交通便捷度</v>
      </c>
      <c r="R14" s="712" t="s">
        <v>17</v>
      </c>
      <c r="S14" s="713">
        <f t="shared" si="0"/>
        <v>100</v>
      </c>
      <c r="T14" s="712" t="s">
        <v>17</v>
      </c>
      <c r="U14" s="713">
        <f t="shared" si="1"/>
        <v>100</v>
      </c>
      <c r="V14" s="712" t="s">
        <v>17</v>
      </c>
      <c r="W14" s="713">
        <f t="shared" si="2"/>
        <v>100</v>
      </c>
      <c r="X14" s="1529"/>
      <c r="Y14" s="3362" t="s">
        <v>2375</v>
      </c>
      <c r="Z14" s="1530" t="str">
        <f t="shared" si="7"/>
        <v>交通便捷度</v>
      </c>
      <c r="AA14" s="1527">
        <f t="shared" si="3"/>
        <v>1</v>
      </c>
      <c r="AB14" s="1527">
        <f t="shared" si="4"/>
        <v>1</v>
      </c>
      <c r="AC14" s="1527">
        <f t="shared" si="5"/>
        <v>1</v>
      </c>
    </row>
    <row r="15" spans="1:29" ht="15">
      <c r="A15" s="386"/>
      <c r="B15" s="404"/>
      <c r="C15" s="405"/>
      <c r="D15" s="406"/>
      <c r="E15" s="405"/>
      <c r="F15" s="407"/>
      <c r="G15" s="405"/>
      <c r="H15" s="408"/>
      <c r="I15" s="405"/>
      <c r="J15" s="406"/>
      <c r="K15" s="571"/>
      <c r="L15" s="2932"/>
      <c r="M15" s="2926"/>
      <c r="N15" s="2926"/>
      <c r="O15" s="2984"/>
      <c r="P15" s="3363"/>
      <c r="Q15" s="1526"/>
      <c r="R15" s="712"/>
      <c r="S15" s="713"/>
      <c r="T15" s="712"/>
      <c r="U15" s="713"/>
      <c r="V15" s="712"/>
      <c r="W15" s="713"/>
      <c r="X15" s="1529"/>
      <c r="Y15" s="3363"/>
      <c r="Z15" s="1530"/>
      <c r="AA15" s="1527">
        <v>1</v>
      </c>
      <c r="AB15" s="1527">
        <v>1</v>
      </c>
      <c r="AC15" s="1527">
        <v>1</v>
      </c>
    </row>
    <row r="16" spans="1:29" ht="15">
      <c r="A16" s="386"/>
      <c r="B16" s="409" t="s">
        <v>2503</v>
      </c>
      <c r="C16" s="2073">
        <f>IF(B1="工业",估价对象房地状况!G5,估价对象房地状况!C7)</f>
        <v>0</v>
      </c>
      <c r="D16" s="413">
        <v>100</v>
      </c>
      <c r="E16" s="415"/>
      <c r="F16" s="416">
        <f>SUMIF(63:63,E17,64:64)-SUMIF(63:63,C17,64:64)+100</f>
        <v>100</v>
      </c>
      <c r="G16" s="417"/>
      <c r="H16" s="413">
        <f>SUMIF(63:63,G17,64:64)-SUMIF(63:63,C17,64:64)+100</f>
        <v>100</v>
      </c>
      <c r="I16" s="415"/>
      <c r="J16" s="413">
        <f>SUMIF(63:63,I17,64:64)-SUMIF(63:63,C17,64:64)+100</f>
        <v>100</v>
      </c>
      <c r="K16" s="570"/>
      <c r="L16" s="2932"/>
      <c r="M16" s="2926"/>
      <c r="N16" s="2926"/>
      <c r="O16" s="2984"/>
      <c r="P16" s="3363"/>
      <c r="Q16" s="1526" t="str">
        <f>B16</f>
        <v>公共配套设施</v>
      </c>
      <c r="R16" s="712" t="s">
        <v>17</v>
      </c>
      <c r="S16" s="713">
        <f>F16</f>
        <v>100</v>
      </c>
      <c r="T16" s="712" t="s">
        <v>17</v>
      </c>
      <c r="U16" s="713">
        <f>H16</f>
        <v>100</v>
      </c>
      <c r="V16" s="712" t="s">
        <v>17</v>
      </c>
      <c r="W16" s="713">
        <f>J16</f>
        <v>100</v>
      </c>
      <c r="X16" s="1529"/>
      <c r="Y16" s="3363"/>
      <c r="Z16" s="1530" t="str">
        <f>Q16</f>
        <v>公共配套设施</v>
      </c>
      <c r="AA16" s="1527">
        <f t="shared" si="3"/>
        <v>1</v>
      </c>
      <c r="AB16" s="1527">
        <f t="shared" si="4"/>
        <v>1</v>
      </c>
      <c r="AC16" s="1527">
        <f t="shared" si="5"/>
        <v>1</v>
      </c>
    </row>
    <row r="17" spans="1:29" ht="15">
      <c r="A17" s="386"/>
      <c r="B17" s="414"/>
      <c r="C17" s="2074"/>
      <c r="D17" s="406"/>
      <c r="E17" s="405"/>
      <c r="F17" s="407"/>
      <c r="G17" s="405"/>
      <c r="H17" s="406"/>
      <c r="I17" s="405"/>
      <c r="J17" s="406"/>
      <c r="K17" s="571"/>
      <c r="L17" s="2932"/>
      <c r="M17" s="2926"/>
      <c r="N17" s="2926"/>
      <c r="O17" s="2984"/>
      <c r="P17" s="3363"/>
      <c r="Q17" s="1526"/>
      <c r="R17" s="712"/>
      <c r="S17" s="713"/>
      <c r="T17" s="712"/>
      <c r="U17" s="713"/>
      <c r="V17" s="712"/>
      <c r="W17" s="713"/>
      <c r="X17" s="1529"/>
      <c r="Y17" s="3363"/>
      <c r="Z17" s="1530"/>
      <c r="AA17" s="1527">
        <v>1</v>
      </c>
      <c r="AB17" s="1527">
        <v>1</v>
      </c>
      <c r="AC17" s="1527">
        <v>1</v>
      </c>
    </row>
    <row r="18" spans="1:29" ht="15">
      <c r="A18" s="386"/>
      <c r="B18" s="1284" t="s">
        <v>2504</v>
      </c>
      <c r="C18" s="2073">
        <f>IF(B1="工业",估价对象房地状况!G6,估价对象房地状况!C8)</f>
        <v>0</v>
      </c>
      <c r="D18" s="413">
        <v>100</v>
      </c>
      <c r="E18" s="410"/>
      <c r="F18" s="416">
        <f>SUMIF(65:65,E19,66:66)-SUMIF(65:65,C19,66:66)+100</f>
        <v>100</v>
      </c>
      <c r="G18" s="412"/>
      <c r="H18" s="413">
        <f>SUMIF(65:65,G19,66:66)-SUMIF(65:65,C19,66:66)+100</f>
        <v>100</v>
      </c>
      <c r="I18" s="415"/>
      <c r="J18" s="413">
        <f>SUMIF(65:65,I19,66:66)-SUMIF(65:65,C19,66:66)+100</f>
        <v>100</v>
      </c>
      <c r="K18" s="570"/>
      <c r="L18" s="2932"/>
      <c r="M18" s="2926"/>
      <c r="N18" s="2926"/>
      <c r="O18" s="2984"/>
      <c r="P18" s="3363"/>
      <c r="Q18" s="1526" t="str">
        <f>B18</f>
        <v>基础设施水平</v>
      </c>
      <c r="R18" s="712" t="s">
        <v>17</v>
      </c>
      <c r="S18" s="713">
        <f>F18</f>
        <v>100</v>
      </c>
      <c r="T18" s="712" t="s">
        <v>17</v>
      </c>
      <c r="U18" s="713">
        <f>H18</f>
        <v>100</v>
      </c>
      <c r="V18" s="712" t="s">
        <v>17</v>
      </c>
      <c r="W18" s="713">
        <f>J18</f>
        <v>100</v>
      </c>
      <c r="X18" s="1529"/>
      <c r="Y18" s="3363"/>
      <c r="Z18" s="1530" t="str">
        <f>Q18</f>
        <v>基础设施水平</v>
      </c>
      <c r="AA18" s="1527">
        <f t="shared" ref="AA18" si="8">D18/F18</f>
        <v>1</v>
      </c>
      <c r="AB18" s="1527">
        <f t="shared" ref="AB18" si="9">D18/H18</f>
        <v>1</v>
      </c>
      <c r="AC18" s="1527">
        <f t="shared" ref="AC18" si="10">D18/J18</f>
        <v>1</v>
      </c>
    </row>
    <row r="19" spans="1:29" ht="15">
      <c r="A19" s="386"/>
      <c r="B19" s="1284"/>
      <c r="C19" s="2074"/>
      <c r="D19" s="408"/>
      <c r="E19" s="2074"/>
      <c r="F19" s="411"/>
      <c r="G19" s="2074"/>
      <c r="H19" s="406"/>
      <c r="I19" s="405"/>
      <c r="J19" s="406"/>
      <c r="K19" s="1283"/>
      <c r="L19" s="2932"/>
      <c r="M19" s="2926"/>
      <c r="N19" s="2926"/>
      <c r="O19" s="2984"/>
      <c r="P19" s="3363"/>
      <c r="Q19" s="1526"/>
      <c r="R19" s="712"/>
      <c r="S19" s="713"/>
      <c r="T19" s="712"/>
      <c r="U19" s="713"/>
      <c r="V19" s="712"/>
      <c r="W19" s="713"/>
      <c r="X19" s="1529"/>
      <c r="Y19" s="3363"/>
      <c r="Z19" s="1530"/>
      <c r="AA19" s="1527">
        <v>1</v>
      </c>
      <c r="AB19" s="1527">
        <v>1</v>
      </c>
      <c r="AC19" s="1527">
        <v>1</v>
      </c>
    </row>
    <row r="20" spans="1:29" ht="15">
      <c r="A20" s="386"/>
      <c r="B20" s="409" t="s">
        <v>2525</v>
      </c>
      <c r="C20" s="2073">
        <f>IF(B1="工业",估价对象房地状况!G7,估价对象房地状况!C9)</f>
        <v>0</v>
      </c>
      <c r="D20" s="413">
        <v>100</v>
      </c>
      <c r="E20" s="415"/>
      <c r="F20" s="416">
        <f>SUMIF(67:67,E21,68:68)-SUMIF(67:67,C21,68:68)+100</f>
        <v>100</v>
      </c>
      <c r="G20" s="417"/>
      <c r="H20" s="408">
        <f>SUMIF(67:67,G21,68:68)-SUMIF(67:67,C21,68:68)+100</f>
        <v>100</v>
      </c>
      <c r="I20" s="410"/>
      <c r="J20" s="408">
        <f>SUMIF(67:67,I21,68:68)-SUMIF(67:67,C21,68:68)+100</f>
        <v>100</v>
      </c>
      <c r="K20" s="570"/>
      <c r="L20" s="2932"/>
      <c r="M20" s="2926"/>
      <c r="N20" s="2926"/>
      <c r="O20" s="2984"/>
      <c r="P20" s="3363"/>
      <c r="Q20" s="1526" t="str">
        <f>B20</f>
        <v>自然及人文环境</v>
      </c>
      <c r="R20" s="712" t="s">
        <v>17</v>
      </c>
      <c r="S20" s="713">
        <f>F20</f>
        <v>100</v>
      </c>
      <c r="T20" s="712" t="s">
        <v>17</v>
      </c>
      <c r="U20" s="713">
        <f>H20</f>
        <v>100</v>
      </c>
      <c r="V20" s="712" t="s">
        <v>17</v>
      </c>
      <c r="W20" s="713">
        <f>J20</f>
        <v>100</v>
      </c>
      <c r="X20" s="1529"/>
      <c r="Y20" s="3363"/>
      <c r="Z20" s="1530" t="str">
        <f>Q20</f>
        <v>自然及人文环境</v>
      </c>
      <c r="AA20" s="1527">
        <f t="shared" si="3"/>
        <v>1</v>
      </c>
      <c r="AB20" s="1527">
        <f t="shared" si="4"/>
        <v>1</v>
      </c>
      <c r="AC20" s="1527">
        <f t="shared" si="5"/>
        <v>1</v>
      </c>
    </row>
    <row r="21" spans="1:29" ht="15">
      <c r="A21" s="386"/>
      <c r="B21" s="414"/>
      <c r="C21" s="405"/>
      <c r="D21" s="406"/>
      <c r="E21" s="405"/>
      <c r="F21" s="407"/>
      <c r="G21" s="405"/>
      <c r="H21" s="406"/>
      <c r="I21" s="405"/>
      <c r="J21" s="406"/>
      <c r="K21" s="571"/>
      <c r="L21" s="2932"/>
      <c r="M21" s="2926"/>
      <c r="N21" s="2926"/>
      <c r="O21" s="2984"/>
      <c r="P21" s="3363"/>
      <c r="Q21" s="1526"/>
      <c r="R21" s="712"/>
      <c r="S21" s="713"/>
      <c r="T21" s="712"/>
      <c r="U21" s="713"/>
      <c r="V21" s="712"/>
      <c r="W21" s="713"/>
      <c r="X21" s="1529"/>
      <c r="Y21" s="3363"/>
      <c r="Z21" s="1530"/>
      <c r="AA21" s="1527">
        <v>1</v>
      </c>
      <c r="AB21" s="1527">
        <v>1</v>
      </c>
      <c r="AC21" s="1527">
        <v>1</v>
      </c>
    </row>
    <row r="22" spans="1:29" ht="15">
      <c r="A22" s="386"/>
      <c r="B22" s="409" t="s">
        <v>2526</v>
      </c>
      <c r="C22" s="572"/>
      <c r="D22" s="408">
        <v>100</v>
      </c>
      <c r="E22" s="572"/>
      <c r="F22" s="419">
        <f>SUMIF(69:69,E22,70:70)-SUMIF(69:69,C22,70:70)+100</f>
        <v>100</v>
      </c>
      <c r="G22" s="572"/>
      <c r="H22" s="393">
        <f>SUMIF(69:69,G22,70:70)-SUMIF(69:69,C22,70:70)+100</f>
        <v>100</v>
      </c>
      <c r="I22" s="572"/>
      <c r="J22" s="393">
        <f>SUMIF(69:69,I22,70:70)-SUMIF(69:69,C22,70:70)+100</f>
        <v>100</v>
      </c>
      <c r="K22" s="568"/>
      <c r="L22" s="2932"/>
      <c r="M22" s="2926"/>
      <c r="N22" s="2926"/>
      <c r="O22" s="2984"/>
      <c r="P22" s="3363"/>
      <c r="Q22" s="1526" t="str">
        <f>B22</f>
        <v>楼层</v>
      </c>
      <c r="R22" s="712" t="s">
        <v>17</v>
      </c>
      <c r="S22" s="713">
        <f>F22</f>
        <v>100</v>
      </c>
      <c r="T22" s="712" t="s">
        <v>17</v>
      </c>
      <c r="U22" s="713">
        <f>H22</f>
        <v>100</v>
      </c>
      <c r="V22" s="712" t="s">
        <v>17</v>
      </c>
      <c r="W22" s="713">
        <f>J22</f>
        <v>100</v>
      </c>
      <c r="X22" s="1529"/>
      <c r="Y22" s="3363"/>
      <c r="Z22" s="1530" t="str">
        <f>Q22</f>
        <v>楼层</v>
      </c>
      <c r="AA22" s="1527">
        <f t="shared" si="3"/>
        <v>1</v>
      </c>
      <c r="AB22" s="1527">
        <f t="shared" si="4"/>
        <v>1</v>
      </c>
      <c r="AC22" s="1527">
        <f t="shared" si="5"/>
        <v>1</v>
      </c>
    </row>
    <row r="23" spans="1:29" ht="15">
      <c r="A23" s="363"/>
      <c r="B23" s="2066">
        <v>111</v>
      </c>
      <c r="C23" s="390"/>
      <c r="D23" s="393">
        <v>100</v>
      </c>
      <c r="E23" s="392"/>
      <c r="F23" s="419">
        <f>SUMIF(71:71,E23,72:72)-SUMIF(71:71,C23,72:72)+100</f>
        <v>100</v>
      </c>
      <c r="G23" s="392"/>
      <c r="H23" s="393">
        <f>SUMIF(71:71,G23,72:72)-SUMIF(71:71,C23,72:72)+100</f>
        <v>100</v>
      </c>
      <c r="I23" s="392"/>
      <c r="J23" s="393">
        <f>SUMIF(71:71,I23,72:72)-SUMIF(71:71,C23,72:72)+100</f>
        <v>100</v>
      </c>
      <c r="K23" s="569"/>
      <c r="L23" s="2932"/>
      <c r="M23" s="2926"/>
      <c r="N23" s="2926"/>
      <c r="O23" s="2984"/>
      <c r="P23" s="3363"/>
      <c r="Q23" s="1526">
        <f>B23</f>
        <v>111</v>
      </c>
      <c r="R23" s="712" t="s">
        <v>17</v>
      </c>
      <c r="S23" s="713">
        <f>F23</f>
        <v>100</v>
      </c>
      <c r="T23" s="712" t="s">
        <v>17</v>
      </c>
      <c r="U23" s="713">
        <f>H23</f>
        <v>100</v>
      </c>
      <c r="V23" s="712" t="s">
        <v>17</v>
      </c>
      <c r="W23" s="713">
        <f>J23</f>
        <v>100</v>
      </c>
      <c r="X23" s="1529"/>
      <c r="Y23" s="3363"/>
      <c r="Z23" s="1530">
        <f>Q23</f>
        <v>111</v>
      </c>
      <c r="AA23" s="1527">
        <f t="shared" si="3"/>
        <v>1</v>
      </c>
      <c r="AB23" s="1527">
        <f t="shared" si="4"/>
        <v>1</v>
      </c>
      <c r="AC23" s="1527">
        <f t="shared" si="5"/>
        <v>1</v>
      </c>
    </row>
    <row r="24" spans="1:29" ht="15">
      <c r="A24" s="386"/>
      <c r="B24" s="2066">
        <v>111</v>
      </c>
      <c r="C24" s="390"/>
      <c r="D24" s="393">
        <v>100</v>
      </c>
      <c r="E24" s="392"/>
      <c r="F24" s="419">
        <f>SUMIF(73:73,E24,74:74)-SUMIF(73:73,C24,74:74)+100</f>
        <v>100</v>
      </c>
      <c r="G24" s="392"/>
      <c r="H24" s="393">
        <f>SUMIF(73:73,G24,74:74)-SUMIF(73:73,C24,74:74)+100</f>
        <v>100</v>
      </c>
      <c r="I24" s="392"/>
      <c r="J24" s="393">
        <f>SUMIF(73:73,I24,74:74)-SUMIF(73:73,C24,74:74)+100</f>
        <v>100</v>
      </c>
      <c r="K24" s="569"/>
      <c r="L24" s="2932"/>
      <c r="M24" s="2926"/>
      <c r="N24" s="2926"/>
      <c r="O24" s="2984"/>
      <c r="P24" s="3363"/>
      <c r="Q24" s="1526">
        <f t="shared" ref="Q24:Q34" si="11">B24</f>
        <v>111</v>
      </c>
      <c r="R24" s="712" t="s">
        <v>17</v>
      </c>
      <c r="S24" s="713">
        <f>F24</f>
        <v>100</v>
      </c>
      <c r="T24" s="712" t="s">
        <v>17</v>
      </c>
      <c r="U24" s="713">
        <f>H24</f>
        <v>100</v>
      </c>
      <c r="V24" s="712" t="s">
        <v>17</v>
      </c>
      <c r="W24" s="713">
        <f>J24</f>
        <v>100</v>
      </c>
      <c r="X24" s="1529"/>
      <c r="Y24" s="3363"/>
      <c r="Z24" s="1530">
        <f>Q24</f>
        <v>111</v>
      </c>
      <c r="AA24" s="1527">
        <f t="shared" si="3"/>
        <v>1</v>
      </c>
      <c r="AB24" s="1527">
        <f t="shared" si="4"/>
        <v>1</v>
      </c>
      <c r="AC24" s="1527">
        <f t="shared" si="5"/>
        <v>1</v>
      </c>
    </row>
    <row r="25" spans="1:29" s="113" customFormat="1" ht="15.75" thickBot="1">
      <c r="A25" s="389"/>
      <c r="B25" s="2066">
        <v>111</v>
      </c>
      <c r="C25" s="2149"/>
      <c r="D25" s="620">
        <v>100</v>
      </c>
      <c r="E25" s="2149"/>
      <c r="F25" s="621">
        <f>SUMIF(75:75,E25,76:76)-SUMIF(75:75,C25,76:76)+100</f>
        <v>100</v>
      </c>
      <c r="G25" s="2149"/>
      <c r="H25" s="620">
        <f>SUMIF(75:75,G25,76:76)-SUMIF(75:75,C25,76:76)+100</f>
        <v>100</v>
      </c>
      <c r="I25" s="2149"/>
      <c r="J25" s="620">
        <f>SUMIF(75:75,I25,76:76)-SUMIF(75:75,C25,76:76)+100</f>
        <v>100</v>
      </c>
      <c r="K25" s="569"/>
      <c r="L25" s="2927"/>
      <c r="M25" s="2928"/>
      <c r="N25" s="2928"/>
      <c r="O25" s="2982"/>
      <c r="P25" s="3363"/>
      <c r="Q25" s="1517">
        <f t="shared" si="11"/>
        <v>111</v>
      </c>
      <c r="R25" s="708" t="s">
        <v>17</v>
      </c>
      <c r="S25" s="709">
        <f>F25</f>
        <v>100</v>
      </c>
      <c r="T25" s="708" t="s">
        <v>17</v>
      </c>
      <c r="U25" s="709">
        <f>H25</f>
        <v>100</v>
      </c>
      <c r="V25" s="708" t="s">
        <v>17</v>
      </c>
      <c r="W25" s="709">
        <f>J25</f>
        <v>100</v>
      </c>
      <c r="X25" s="710"/>
      <c r="Y25" s="3363"/>
      <c r="Z25" s="55">
        <f>Q25</f>
        <v>111</v>
      </c>
      <c r="AA25" s="1527">
        <f>D25/F25</f>
        <v>1</v>
      </c>
      <c r="AB25" s="1527">
        <f>D25/H25</f>
        <v>1</v>
      </c>
      <c r="AC25" s="1527">
        <f>D25/J25</f>
        <v>1</v>
      </c>
    </row>
    <row r="26" spans="1:29" ht="28.5">
      <c r="A26" s="424" t="s">
        <v>2378</v>
      </c>
      <c r="B26" s="67" t="s">
        <v>2529</v>
      </c>
      <c r="C26" s="2140"/>
      <c r="D26" s="425">
        <v>100</v>
      </c>
      <c r="E26" s="2140"/>
      <c r="F26" s="622">
        <f>SUMIF(77:77,E26,78:78)-SUMIF(77:77,C26,78:78)+100</f>
        <v>100</v>
      </c>
      <c r="G26" s="2140"/>
      <c r="H26" s="425">
        <f>SUMIF(77:77,G26,78:78)-SUMIF(77:77,C26,78:78)+100</f>
        <v>100</v>
      </c>
      <c r="I26" s="2140"/>
      <c r="J26" s="425">
        <f>SUMIF(77:77,I26,78:78)-SUMIF(77:77,C26,78:78)+100</f>
        <v>100</v>
      </c>
      <c r="K26" s="568"/>
      <c r="L26" s="2932"/>
      <c r="M26" s="2926"/>
      <c r="N26" s="2926"/>
      <c r="O26" s="2984"/>
      <c r="P26" s="3364" t="s">
        <v>2380</v>
      </c>
      <c r="Q26" s="1526" t="str">
        <f t="shared" si="11"/>
        <v>公共部分装修</v>
      </c>
      <c r="R26" s="712" t="s">
        <v>17</v>
      </c>
      <c r="S26" s="713">
        <f t="shared" ref="S26:S34" si="12">F26</f>
        <v>100</v>
      </c>
      <c r="T26" s="712" t="s">
        <v>17</v>
      </c>
      <c r="U26" s="713">
        <f t="shared" ref="U26:U34" si="13">H26</f>
        <v>100</v>
      </c>
      <c r="V26" s="712" t="s">
        <v>17</v>
      </c>
      <c r="W26" s="713">
        <f t="shared" ref="W26:W34" si="14">J26</f>
        <v>100</v>
      </c>
      <c r="X26" s="1529"/>
      <c r="Y26" s="3365" t="s">
        <v>2380</v>
      </c>
      <c r="Z26" s="1530" t="str">
        <f t="shared" ref="Z26:Z34" si="15">Q26</f>
        <v>公共部分装修</v>
      </c>
      <c r="AA26" s="1527">
        <f t="shared" si="3"/>
        <v>1</v>
      </c>
      <c r="AB26" s="1527">
        <f t="shared" si="4"/>
        <v>1</v>
      </c>
      <c r="AC26" s="1527">
        <f t="shared" si="5"/>
        <v>1</v>
      </c>
    </row>
    <row r="27" spans="1:29" s="429" customFormat="1" ht="15">
      <c r="A27" s="426"/>
      <c r="B27" s="380" t="s">
        <v>2530</v>
      </c>
      <c r="C27" s="432"/>
      <c r="D27" s="132">
        <v>100</v>
      </c>
      <c r="E27" s="433"/>
      <c r="F27" s="419" t="e">
        <f>LOOKUP(E27,80:80,81:81)-LOOKUP(C27,80:80,81:81)+100</f>
        <v>#N/A</v>
      </c>
      <c r="G27" s="434"/>
      <c r="H27" s="393" t="e">
        <f>LOOKUP(G27,80:80,81:81)-LOOKUP(C27,80:80,81:81)+100</f>
        <v>#N/A</v>
      </c>
      <c r="I27" s="434"/>
      <c r="J27" s="393" t="e">
        <f>LOOKUP(I27,80:80,81:81)-LOOKUP(C27,80:80,81:81)+100</f>
        <v>#N/A</v>
      </c>
      <c r="K27" s="568"/>
      <c r="L27" s="2931"/>
      <c r="M27" s="2933"/>
      <c r="N27" s="2933"/>
      <c r="O27" s="2985"/>
      <c r="P27" s="3365"/>
      <c r="Q27" s="714" t="str">
        <f t="shared" si="11"/>
        <v>成新率</v>
      </c>
      <c r="R27" s="715" t="s">
        <v>17</v>
      </c>
      <c r="S27" s="716" t="e">
        <f t="shared" si="12"/>
        <v>#N/A</v>
      </c>
      <c r="T27" s="715" t="s">
        <v>17</v>
      </c>
      <c r="U27" s="716" t="e">
        <f t="shared" si="13"/>
        <v>#N/A</v>
      </c>
      <c r="V27" s="715" t="s">
        <v>17</v>
      </c>
      <c r="W27" s="716" t="e">
        <f t="shared" si="14"/>
        <v>#N/A</v>
      </c>
      <c r="X27" s="717"/>
      <c r="Y27" s="3365"/>
      <c r="Z27" s="718" t="str">
        <f t="shared" si="15"/>
        <v>成新率</v>
      </c>
      <c r="AA27" s="1527" t="e">
        <f t="shared" si="3"/>
        <v>#N/A</v>
      </c>
      <c r="AB27" s="1527" t="e">
        <f t="shared" si="4"/>
        <v>#N/A</v>
      </c>
      <c r="AC27" s="1527" t="e">
        <f t="shared" si="5"/>
        <v>#N/A</v>
      </c>
    </row>
    <row r="28" spans="1:29" ht="15">
      <c r="A28" s="430"/>
      <c r="B28" s="380" t="s">
        <v>2531</v>
      </c>
      <c r="C28" s="418"/>
      <c r="D28" s="393">
        <v>100</v>
      </c>
      <c r="E28" s="418"/>
      <c r="F28" s="419">
        <f>SUMIF(82:82,E28,83:83)-SUMIF(82:82,C28,83:83)+100</f>
        <v>100</v>
      </c>
      <c r="G28" s="418"/>
      <c r="H28" s="393">
        <f>SUMIF(82:82,G28,83:83)-SUMIF(82:82,C28,83:83)+100</f>
        <v>100</v>
      </c>
      <c r="I28" s="418"/>
      <c r="J28" s="393">
        <f>SUMIF(82:82,I28,83:83)-SUMIF(82:82,C28,83:83)+100</f>
        <v>100</v>
      </c>
      <c r="K28" s="568"/>
      <c r="L28" s="2932"/>
      <c r="M28" s="2926"/>
      <c r="N28" s="2926"/>
      <c r="O28" s="2984"/>
      <c r="P28" s="3365"/>
      <c r="Q28" s="1526" t="str">
        <f t="shared" si="11"/>
        <v>物业等级</v>
      </c>
      <c r="R28" s="712" t="s">
        <v>17</v>
      </c>
      <c r="S28" s="713">
        <f t="shared" si="12"/>
        <v>100</v>
      </c>
      <c r="T28" s="712" t="s">
        <v>17</v>
      </c>
      <c r="U28" s="713">
        <f t="shared" si="13"/>
        <v>100</v>
      </c>
      <c r="V28" s="712" t="s">
        <v>17</v>
      </c>
      <c r="W28" s="713">
        <f t="shared" si="14"/>
        <v>100</v>
      </c>
      <c r="X28" s="1529"/>
      <c r="Y28" s="3365"/>
      <c r="Z28" s="1530" t="str">
        <f t="shared" si="15"/>
        <v>物业等级</v>
      </c>
      <c r="AA28" s="1527">
        <f t="shared" si="3"/>
        <v>1</v>
      </c>
      <c r="AB28" s="1527">
        <f t="shared" si="4"/>
        <v>1</v>
      </c>
      <c r="AC28" s="1527">
        <f t="shared" si="5"/>
        <v>1</v>
      </c>
    </row>
    <row r="29" spans="1:29" ht="15">
      <c r="A29" s="430"/>
      <c r="B29" s="380" t="s">
        <v>2552</v>
      </c>
      <c r="C29" s="612"/>
      <c r="D29" s="393">
        <v>100</v>
      </c>
      <c r="E29" s="612"/>
      <c r="F29" s="419">
        <f>SUMIF(84:84,E29,85:85)-SUMIF(84:84,C29,85:85)+100</f>
        <v>100</v>
      </c>
      <c r="G29" s="612"/>
      <c r="H29" s="393">
        <f>SUMIF(84:84,G29,85:85)-SUMIF(84:84,C29,85:85)+100</f>
        <v>100</v>
      </c>
      <c r="I29" s="612"/>
      <c r="J29" s="393">
        <f>SUMIF(84:84,I29,85:85)-SUMIF(84:84,C29,85:85)+100</f>
        <v>100</v>
      </c>
      <c r="K29" s="568"/>
      <c r="L29" s="2932"/>
      <c r="M29" s="2926"/>
      <c r="N29" s="2926"/>
      <c r="O29" s="2984"/>
      <c r="P29" s="3365"/>
      <c r="Q29" s="1526" t="str">
        <f t="shared" si="11"/>
        <v>有无电梯</v>
      </c>
      <c r="R29" s="712" t="s">
        <v>17</v>
      </c>
      <c r="S29" s="713">
        <f t="shared" si="12"/>
        <v>100</v>
      </c>
      <c r="T29" s="712" t="s">
        <v>17</v>
      </c>
      <c r="U29" s="713">
        <f t="shared" si="13"/>
        <v>100</v>
      </c>
      <c r="V29" s="712" t="s">
        <v>17</v>
      </c>
      <c r="W29" s="713">
        <f t="shared" si="14"/>
        <v>100</v>
      </c>
      <c r="X29" s="1529"/>
      <c r="Y29" s="3365"/>
      <c r="Z29" s="1530" t="str">
        <f t="shared" si="15"/>
        <v>有无电梯</v>
      </c>
      <c r="AA29" s="1527">
        <f t="shared" si="3"/>
        <v>1</v>
      </c>
      <c r="AB29" s="1527">
        <f t="shared" si="4"/>
        <v>1</v>
      </c>
      <c r="AC29" s="1527">
        <f t="shared" si="5"/>
        <v>1</v>
      </c>
    </row>
    <row r="30" spans="1:29" ht="15">
      <c r="A30" s="430"/>
      <c r="B30" s="380" t="s">
        <v>2553</v>
      </c>
      <c r="C30" s="427"/>
      <c r="D30" s="393">
        <v>100</v>
      </c>
      <c r="E30" s="427"/>
      <c r="F30" s="419" t="e">
        <f>LOOKUP(E30,87:87,88:88)-LOOKUP(C30,87:87,88:88)+100</f>
        <v>#N/A</v>
      </c>
      <c r="G30" s="427"/>
      <c r="H30" s="393" t="e">
        <f>LOOKUP(G30,87:87,88:88)-LOOKUP(C30,87:87,88:88)+100</f>
        <v>#N/A</v>
      </c>
      <c r="I30" s="427"/>
      <c r="J30" s="393" t="e">
        <f>LOOKUP(I30,87:87,88:88)-LOOKUP(C30,87:87,88:88)+100</f>
        <v>#N/A</v>
      </c>
      <c r="K30" s="569"/>
      <c r="L30" s="2932"/>
      <c r="M30" s="2926"/>
      <c r="N30" s="2926"/>
      <c r="O30" s="2984"/>
      <c r="P30" s="3365"/>
      <c r="Q30" s="1526" t="str">
        <f t="shared" si="11"/>
        <v>建筑面积</v>
      </c>
      <c r="R30" s="712" t="s">
        <v>17</v>
      </c>
      <c r="S30" s="713" t="e">
        <f t="shared" si="12"/>
        <v>#N/A</v>
      </c>
      <c r="T30" s="712" t="s">
        <v>17</v>
      </c>
      <c r="U30" s="713" t="e">
        <f t="shared" si="13"/>
        <v>#N/A</v>
      </c>
      <c r="V30" s="712" t="s">
        <v>17</v>
      </c>
      <c r="W30" s="713" t="e">
        <f t="shared" si="14"/>
        <v>#N/A</v>
      </c>
      <c r="X30" s="1529"/>
      <c r="Y30" s="3365"/>
      <c r="Z30" s="1530" t="str">
        <f t="shared" si="15"/>
        <v>建筑面积</v>
      </c>
      <c r="AA30" s="1527" t="e">
        <f t="shared" si="3"/>
        <v>#N/A</v>
      </c>
      <c r="AB30" s="1527" t="e">
        <f t="shared" si="4"/>
        <v>#N/A</v>
      </c>
      <c r="AC30" s="1527" t="e">
        <f t="shared" si="5"/>
        <v>#N/A</v>
      </c>
    </row>
    <row r="31" spans="1:29" s="113" customFormat="1" ht="15">
      <c r="A31" s="431"/>
      <c r="B31" s="380" t="s">
        <v>2554</v>
      </c>
      <c r="C31" s="612"/>
      <c r="D31" s="132">
        <v>100</v>
      </c>
      <c r="E31" s="612"/>
      <c r="F31" s="419">
        <f>SUMIF(89:89,E31,90:90)-SUMIF(89:89,C31,90:90)+100</f>
        <v>100</v>
      </c>
      <c r="G31" s="612"/>
      <c r="H31" s="393">
        <f>SUMIF(89:89,G31,90:90)-SUMIF(89:89,C31,90:90)+100</f>
        <v>100</v>
      </c>
      <c r="I31" s="612"/>
      <c r="J31" s="393">
        <f>SUMIF(89:89,I31,90:90)-SUMIF(89:89,C31,90:90)+100</f>
        <v>100</v>
      </c>
      <c r="K31" s="568"/>
      <c r="L31" s="2927"/>
      <c r="M31" s="2928"/>
      <c r="N31" s="2928"/>
      <c r="O31" s="2982"/>
      <c r="P31" s="3365"/>
      <c r="Q31" s="1517" t="str">
        <f t="shared" si="11"/>
        <v>是否封闭</v>
      </c>
      <c r="R31" s="708" t="s">
        <v>17</v>
      </c>
      <c r="S31" s="709">
        <f t="shared" si="12"/>
        <v>100</v>
      </c>
      <c r="T31" s="708" t="s">
        <v>17</v>
      </c>
      <c r="U31" s="709">
        <f t="shared" si="13"/>
        <v>100</v>
      </c>
      <c r="V31" s="708" t="s">
        <v>17</v>
      </c>
      <c r="W31" s="709">
        <f t="shared" si="14"/>
        <v>100</v>
      </c>
      <c r="X31" s="710"/>
      <c r="Y31" s="3365"/>
      <c r="Z31" s="55" t="str">
        <f t="shared" si="15"/>
        <v>是否封闭</v>
      </c>
      <c r="AA31" s="711">
        <f t="shared" si="3"/>
        <v>1</v>
      </c>
      <c r="AB31" s="711">
        <f t="shared" si="4"/>
        <v>1</v>
      </c>
      <c r="AC31" s="711">
        <f t="shared" si="5"/>
        <v>1</v>
      </c>
    </row>
    <row r="32" spans="1:29" ht="15">
      <c r="A32" s="430"/>
      <c r="B32" s="2066">
        <v>111</v>
      </c>
      <c r="C32" s="390"/>
      <c r="D32" s="393">
        <v>100</v>
      </c>
      <c r="E32" s="427"/>
      <c r="F32" s="419">
        <f>SUMIF(91:91,E32,92:92)-SUMIF(91:91,C32,92:92)+100</f>
        <v>100</v>
      </c>
      <c r="G32" s="427"/>
      <c r="H32" s="393">
        <f>SUMIF(91:91,G32,92:92)-SUMIF(91:91,C32,92:92)+100</f>
        <v>100</v>
      </c>
      <c r="I32" s="427"/>
      <c r="J32" s="393">
        <f>SUMIF(91:91,I32,92:92)-SUMIF(91:91,C32,92:92)+100</f>
        <v>100</v>
      </c>
      <c r="K32" s="569"/>
      <c r="L32" s="2932"/>
      <c r="M32" s="2926"/>
      <c r="N32" s="2926"/>
      <c r="O32" s="2984"/>
      <c r="P32" s="3365" t="s">
        <v>2380</v>
      </c>
      <c r="Q32" s="1526">
        <f t="shared" si="11"/>
        <v>111</v>
      </c>
      <c r="R32" s="712" t="s">
        <v>17</v>
      </c>
      <c r="S32" s="713">
        <f t="shared" si="12"/>
        <v>100</v>
      </c>
      <c r="T32" s="712" t="s">
        <v>17</v>
      </c>
      <c r="U32" s="713">
        <f t="shared" si="13"/>
        <v>100</v>
      </c>
      <c r="V32" s="712" t="s">
        <v>17</v>
      </c>
      <c r="W32" s="713">
        <f t="shared" si="14"/>
        <v>100</v>
      </c>
      <c r="X32" s="1529"/>
      <c r="Y32" s="3365" t="s">
        <v>2380</v>
      </c>
      <c r="Z32" s="1530">
        <f t="shared" si="15"/>
        <v>111</v>
      </c>
      <c r="AA32" s="1527">
        <f t="shared" si="3"/>
        <v>1</v>
      </c>
      <c r="AB32" s="1527">
        <f t="shared" si="4"/>
        <v>1</v>
      </c>
      <c r="AC32" s="1527">
        <f t="shared" si="5"/>
        <v>1</v>
      </c>
    </row>
    <row r="33" spans="1:30" ht="15">
      <c r="A33" s="430"/>
      <c r="B33" s="2066">
        <v>111</v>
      </c>
      <c r="C33" s="390"/>
      <c r="D33" s="393">
        <v>100</v>
      </c>
      <c r="E33" s="427"/>
      <c r="F33" s="419">
        <f>SUMIF(93:93,E33,94:94)-SUMIF(93:93,C33,94:94)+100</f>
        <v>100</v>
      </c>
      <c r="G33" s="427"/>
      <c r="H33" s="393">
        <f>SUMIF(93:93,G33,94:94)-SUMIF(93:93,C33,94:94)+100</f>
        <v>100</v>
      </c>
      <c r="I33" s="427"/>
      <c r="J33" s="393">
        <f>SUMIF(93:93,I33,94:94)-SUMIF(93:93,C33,94:94)+100</f>
        <v>100</v>
      </c>
      <c r="K33" s="569"/>
      <c r="L33" s="2932"/>
      <c r="M33" s="2926"/>
      <c r="N33" s="2926"/>
      <c r="O33" s="2984"/>
      <c r="P33" s="3365"/>
      <c r="Q33" s="1526">
        <f t="shared" si="11"/>
        <v>111</v>
      </c>
      <c r="R33" s="712" t="s">
        <v>17</v>
      </c>
      <c r="S33" s="713">
        <f t="shared" si="12"/>
        <v>100</v>
      </c>
      <c r="T33" s="712" t="s">
        <v>17</v>
      </c>
      <c r="U33" s="713">
        <f t="shared" si="13"/>
        <v>100</v>
      </c>
      <c r="V33" s="712" t="s">
        <v>17</v>
      </c>
      <c r="W33" s="713">
        <f t="shared" si="14"/>
        <v>100</v>
      </c>
      <c r="X33" s="1529"/>
      <c r="Y33" s="3365"/>
      <c r="Z33" s="1530">
        <f t="shared" si="15"/>
        <v>111</v>
      </c>
      <c r="AA33" s="1527">
        <f t="shared" si="3"/>
        <v>1</v>
      </c>
      <c r="AB33" s="1527">
        <f t="shared" si="4"/>
        <v>1</v>
      </c>
      <c r="AC33" s="1527">
        <f t="shared" si="5"/>
        <v>1</v>
      </c>
    </row>
    <row r="34" spans="1:30" ht="15.75" thickBot="1">
      <c r="A34" s="436"/>
      <c r="B34" s="2068">
        <v>111</v>
      </c>
      <c r="C34" s="395"/>
      <c r="D34" s="396">
        <v>100</v>
      </c>
      <c r="E34" s="2148"/>
      <c r="F34" s="397">
        <f>SUMIF(95:95,E34,96:96)-SUMIF(95:95,C34,96:96)+100</f>
        <v>100</v>
      </c>
      <c r="G34" s="2148"/>
      <c r="H34" s="396">
        <f>SUMIF(95:95,G34,96:96)-SUMIF(95:95,C34,96:96)+100</f>
        <v>100</v>
      </c>
      <c r="I34" s="2148"/>
      <c r="J34" s="396">
        <f>SUMIF(95:95,I34,96:96)-SUMIF(95:95,C34,96:96)+100</f>
        <v>100</v>
      </c>
      <c r="K34" s="569"/>
      <c r="L34" s="2932"/>
      <c r="M34" s="2926"/>
      <c r="N34" s="2926"/>
      <c r="O34" s="2984"/>
      <c r="P34" s="3365"/>
      <c r="Q34" s="1526">
        <f t="shared" si="11"/>
        <v>111</v>
      </c>
      <c r="R34" s="712" t="s">
        <v>17</v>
      </c>
      <c r="S34" s="713">
        <f t="shared" si="12"/>
        <v>100</v>
      </c>
      <c r="T34" s="712" t="s">
        <v>17</v>
      </c>
      <c r="U34" s="713">
        <f t="shared" si="13"/>
        <v>100</v>
      </c>
      <c r="V34" s="712" t="s">
        <v>17</v>
      </c>
      <c r="W34" s="713">
        <f t="shared" si="14"/>
        <v>100</v>
      </c>
      <c r="X34" s="1529"/>
      <c r="Y34" s="3365"/>
      <c r="Z34" s="1530">
        <f t="shared" si="15"/>
        <v>111</v>
      </c>
      <c r="AA34" s="1527">
        <f t="shared" si="3"/>
        <v>1</v>
      </c>
      <c r="AB34" s="1527">
        <f t="shared" si="4"/>
        <v>1</v>
      </c>
      <c r="AC34" s="1527">
        <f t="shared" si="5"/>
        <v>1</v>
      </c>
    </row>
    <row r="35" spans="1:30" ht="15">
      <c r="A35" s="437" t="s">
        <v>2392</v>
      </c>
      <c r="B35" s="438"/>
      <c r="C35" s="1305" t="s">
        <v>1</v>
      </c>
      <c r="D35" s="1306"/>
      <c r="E35" s="1307"/>
      <c r="F35" s="1308"/>
      <c r="G35" s="1309"/>
      <c r="H35" s="1310"/>
      <c r="I35" s="1307"/>
      <c r="J35" s="1310"/>
      <c r="K35" s="721"/>
      <c r="L35" s="2934"/>
      <c r="M35" s="2935"/>
      <c r="N35" s="2926"/>
      <c r="O35" s="2935"/>
      <c r="P35" s="3360" t="str">
        <f>A35</f>
        <v>成交单价（元/平方米）</v>
      </c>
      <c r="Q35" s="3360"/>
      <c r="R35" s="3457">
        <f>E35</f>
        <v>0</v>
      </c>
      <c r="S35" s="3457"/>
      <c r="T35" s="3457">
        <f>G35</f>
        <v>0</v>
      </c>
      <c r="U35" s="3457"/>
      <c r="V35" s="3457">
        <f>I35</f>
        <v>0</v>
      </c>
      <c r="W35" s="3457"/>
      <c r="X35" s="697"/>
      <c r="Y35" s="719"/>
      <c r="Z35" s="697"/>
      <c r="AA35" s="697"/>
      <c r="AB35" s="697"/>
      <c r="AC35" s="697"/>
    </row>
    <row r="36" spans="1:30" ht="15.75" thickBot="1">
      <c r="A36" s="444" t="s">
        <v>2484</v>
      </c>
      <c r="B36" s="445"/>
      <c r="C36" s="1311" t="e">
        <f>R37</f>
        <v>#DIV/0!</v>
      </c>
      <c r="D36" s="2522" t="s">
        <v>2864</v>
      </c>
      <c r="E36" s="1312" t="e">
        <f>R36</f>
        <v>#DIV/0!</v>
      </c>
      <c r="F36" s="2523"/>
      <c r="G36" s="1311" t="e">
        <f>T36</f>
        <v>#DIV/0!</v>
      </c>
      <c r="H36" s="2523"/>
      <c r="I36" s="1312" t="e">
        <f>V36</f>
        <v>#DIV/0!</v>
      </c>
      <c r="J36" s="2523"/>
      <c r="K36" s="2525">
        <f>F36+H36+J36</f>
        <v>0</v>
      </c>
      <c r="L36" s="2934"/>
      <c r="M36" s="2935"/>
      <c r="N36" s="2926"/>
      <c r="O36" s="2935"/>
      <c r="P36" s="3360" t="str">
        <f>A36</f>
        <v>比较价值（元/平方米）</v>
      </c>
      <c r="Q36" s="3360"/>
      <c r="R36" s="3457" t="e">
        <f>IF(F1="售价",ROUND(PRODUCT(R35,AA7:AA34),0),ROUND(PRODUCT(R35,AA7:AA34),1))</f>
        <v>#DIV/0!</v>
      </c>
      <c r="S36" s="3457"/>
      <c r="T36" s="3457" t="e">
        <f>IF(F1="售价",ROUND(PRODUCT(T35,AB7:AB34),0),ROUND(PRODUCT(T35,AB7:AB34),1))</f>
        <v>#DIV/0!</v>
      </c>
      <c r="U36" s="3457"/>
      <c r="V36" s="3457" t="e">
        <f>IF(F1="售价",ROUND(PRODUCT(V35,AC7:AC34),0),ROUND(PRODUCT(V35,AC7:AC34),1))</f>
        <v>#DIV/0!</v>
      </c>
      <c r="W36" s="3457"/>
      <c r="X36" s="697"/>
      <c r="Y36" s="697"/>
      <c r="Z36" s="697"/>
      <c r="AA36" s="697"/>
      <c r="AB36" s="697"/>
      <c r="AC36" s="697"/>
    </row>
    <row r="37" spans="1:30" ht="15.75" thickBot="1">
      <c r="A37" s="448" t="s">
        <v>2485</v>
      </c>
      <c r="B37" s="449"/>
      <c r="C37" s="1314" t="e">
        <f>R37</f>
        <v>#DIV/0!</v>
      </c>
      <c r="D37" s="1314"/>
      <c r="E37" s="1314"/>
      <c r="F37" s="1314"/>
      <c r="G37" s="1314"/>
      <c r="H37" s="1314"/>
      <c r="I37" s="1314"/>
      <c r="J37" s="1314"/>
      <c r="K37" s="722"/>
      <c r="L37" s="2934"/>
      <c r="M37" s="2935"/>
      <c r="N37" s="2935"/>
      <c r="O37" s="2935"/>
      <c r="P37" s="3354" t="str">
        <f>A37</f>
        <v>估价对象XX用房的比较价值（楼面单价，元/平方米）</v>
      </c>
      <c r="Q37" s="3355"/>
      <c r="R37" s="3479" t="e">
        <f>IF(F1="售价",ROUND(IF(D36="简单平均",AVERAGE(R36:W36),R36*F36+T36*H36+V36*J36),0),ROUND(IF(D36="简单平均",AVERAGE(R36:V36),R36*F36+T36*H36+V36*J36),1))</f>
        <v>#DIV/0!</v>
      </c>
      <c r="S37" s="3479"/>
      <c r="T37" s="3479"/>
      <c r="U37" s="3479"/>
      <c r="V37" s="3479"/>
      <c r="W37" s="3479"/>
      <c r="X37" s="697"/>
      <c r="Y37" s="697"/>
      <c r="Z37" s="697"/>
      <c r="AA37" s="697"/>
      <c r="AB37" s="697"/>
      <c r="AC37" s="697"/>
    </row>
    <row r="38" spans="1:30">
      <c r="A38" s="2935"/>
      <c r="B38" s="2935"/>
      <c r="C38" s="2935"/>
      <c r="D38" s="2935"/>
      <c r="E38" s="2935"/>
      <c r="F38" s="2935"/>
      <c r="G38" s="2939"/>
      <c r="H38" s="2935"/>
      <c r="I38" s="2935"/>
      <c r="J38" s="2935"/>
      <c r="K38" s="2940"/>
      <c r="L38" s="2936"/>
      <c r="M38" s="2935"/>
      <c r="N38" s="2935"/>
      <c r="O38" s="2935"/>
      <c r="P38" s="2935"/>
      <c r="Q38" s="2935"/>
      <c r="R38" s="2935"/>
      <c r="S38" s="2935"/>
      <c r="T38" s="2935"/>
      <c r="U38" s="2935"/>
      <c r="V38" s="2935"/>
      <c r="W38" s="2935"/>
      <c r="X38" s="2935"/>
      <c r="Y38" s="2935"/>
      <c r="Z38" s="2935"/>
      <c r="AA38" s="2935"/>
      <c r="AB38" s="2935"/>
      <c r="AC38" s="2935"/>
      <c r="AD38" s="2935"/>
    </row>
    <row r="39" spans="1:30">
      <c r="A39" s="2935"/>
      <c r="B39" s="2935"/>
      <c r="C39" s="2935"/>
      <c r="D39" s="2935"/>
      <c r="E39" s="2935"/>
      <c r="F39" s="2935"/>
      <c r="G39" s="2935"/>
      <c r="H39" s="2935"/>
      <c r="I39" s="2935"/>
      <c r="J39" s="2935"/>
      <c r="K39" s="2940"/>
      <c r="L39" s="2936"/>
      <c r="M39" s="2935"/>
      <c r="N39" s="2935"/>
      <c r="O39" s="2935"/>
      <c r="P39" s="2935"/>
      <c r="Q39" s="2935"/>
      <c r="R39" s="2935"/>
      <c r="S39" s="2935"/>
      <c r="T39" s="2935"/>
      <c r="U39" s="2935"/>
      <c r="V39" s="2935"/>
      <c r="W39" s="2935"/>
      <c r="X39" s="2935"/>
      <c r="Y39" s="2935"/>
      <c r="Z39" s="2935"/>
      <c r="AA39" s="2935"/>
      <c r="AB39" s="2935"/>
      <c r="AC39" s="2935"/>
      <c r="AD39" s="2935"/>
    </row>
    <row r="40" spans="1:30" ht="13.5" customHeight="1">
      <c r="A40" s="2935"/>
      <c r="B40" s="2935"/>
      <c r="C40" s="453" t="s">
        <v>2486</v>
      </c>
      <c r="D40" s="454"/>
      <c r="E40" s="455" t="e">
        <f>IF(E35&lt;E36,E36/E35-1,E35/E36-1)</f>
        <v>#DIV/0!</v>
      </c>
      <c r="F40" s="456" t="e">
        <f>IF(OR(E40&gt;=0.3,E40&lt;=-0.3),"超过30%","")</f>
        <v>#DIV/0!</v>
      </c>
      <c r="G40" s="455" t="e">
        <f>IF(G35&lt;G36,G36/G35-1,G35/G36-1)</f>
        <v>#DIV/0!</v>
      </c>
      <c r="H40" s="456" t="e">
        <f>IF(OR(G40&gt;=0.3,G40&lt;=-0.3),"超过30%","")</f>
        <v>#DIV/0!</v>
      </c>
      <c r="I40" s="455" t="e">
        <f>IF(I35&lt;I36,I36/I35-1,I35/I36-1)</f>
        <v>#DIV/0!</v>
      </c>
      <c r="J40" s="456" t="e">
        <f>IF(OR(I40&gt;=0.3,I40&lt;=-0.3),"超过30%","")</f>
        <v>#DIV/0!</v>
      </c>
      <c r="K40" s="2940"/>
      <c r="L40" s="2936"/>
      <c r="M40" s="2935"/>
      <c r="N40" s="2935"/>
      <c r="O40" s="2935"/>
      <c r="P40" s="2935"/>
      <c r="Q40" s="2935"/>
      <c r="R40" s="2935"/>
      <c r="S40" s="2935"/>
      <c r="T40" s="2935"/>
      <c r="U40" s="2935"/>
      <c r="V40" s="2935"/>
      <c r="W40" s="2935"/>
      <c r="X40" s="2935"/>
      <c r="Y40" s="2935"/>
      <c r="Z40" s="2935"/>
      <c r="AA40" s="2935"/>
      <c r="AB40" s="2935"/>
      <c r="AC40" s="2935"/>
      <c r="AD40" s="2935"/>
    </row>
    <row r="41" spans="1:30" ht="13.5" customHeight="1">
      <c r="A41" s="2935"/>
      <c r="B41" s="2935"/>
      <c r="C41" s="453" t="s">
        <v>2487</v>
      </c>
      <c r="D41" s="457"/>
      <c r="E41" s="455" t="e">
        <f>IF(E36&lt;G36,G36/E36-1,E36/G36-1)</f>
        <v>#DIV/0!</v>
      </c>
      <c r="F41" s="456" t="e">
        <f>IF(OR(E41&gt;=0.2,E41&lt;=-0.2),"超过20%","")</f>
        <v>#DIV/0!</v>
      </c>
      <c r="G41" s="455" t="e">
        <f>IF(G36&lt;I36,I36/G36-1,G36/I36-1)</f>
        <v>#DIV/0!</v>
      </c>
      <c r="H41" s="456" t="e">
        <f>IF(OR(G41&gt;=0.2,G41&lt;=-0.2),"超过20%","")</f>
        <v>#DIV/0!</v>
      </c>
      <c r="I41" s="455" t="e">
        <f>IF(I36&lt;E36,E36/I36-1,I36/E36-1)</f>
        <v>#DIV/0!</v>
      </c>
      <c r="J41" s="456" t="e">
        <f>IF(OR(I41&gt;=0.2,I41&lt;=-0.2),"超过20%","")</f>
        <v>#DIV/0!</v>
      </c>
      <c r="K41" s="2940"/>
      <c r="L41" s="2936"/>
      <c r="M41" s="2935"/>
      <c r="N41" s="2935"/>
      <c r="O41" s="2935"/>
      <c r="P41" s="2935"/>
      <c r="Q41" s="2935"/>
      <c r="R41" s="2935"/>
      <c r="S41" s="2935"/>
      <c r="T41" s="2935"/>
      <c r="U41" s="2935"/>
      <c r="V41" s="2935"/>
      <c r="W41" s="2935"/>
      <c r="X41" s="2935"/>
      <c r="Y41" s="2935"/>
      <c r="Z41" s="2935"/>
      <c r="AA41" s="2935"/>
      <c r="AB41" s="2935"/>
      <c r="AC41" s="2935"/>
      <c r="AD41" s="2935"/>
    </row>
    <row r="42" spans="1:30" s="458" customFormat="1" ht="13.5" customHeight="1">
      <c r="A42" s="2938"/>
      <c r="B42" s="2938"/>
      <c r="C42" s="453" t="s">
        <v>2488</v>
      </c>
      <c r="D42" s="457"/>
      <c r="E42" s="455" t="e">
        <f>IF(E35&lt;G35,G35/E35-1,E35/G35-1)</f>
        <v>#DIV/0!</v>
      </c>
      <c r="F42" s="456" t="e">
        <f>IF(OR(E42&gt;=0.3,E42&lt;=-0.3),"超过30%","")</f>
        <v>#DIV/0!</v>
      </c>
      <c r="G42" s="455" t="e">
        <f>IF(G35&lt;I35,I35/G35-1,G35/I35-1)</f>
        <v>#DIV/0!</v>
      </c>
      <c r="H42" s="456" t="e">
        <f>IF(OR(G42&gt;=0.3,G42&lt;=-0.3),"超过30%","")</f>
        <v>#DIV/0!</v>
      </c>
      <c r="I42" s="455" t="e">
        <f>IF(I35&lt;E35,E35/I35-1,I35/E35-1)</f>
        <v>#DIV/0!</v>
      </c>
      <c r="J42" s="456" t="e">
        <f>IF(OR(I42&gt;=0.3,I42&lt;=-0.3),"超过30%","")</f>
        <v>#DIV/0!</v>
      </c>
      <c r="K42" s="2943"/>
      <c r="L42" s="2937"/>
      <c r="M42" s="2938"/>
      <c r="N42" s="2938"/>
      <c r="O42" s="2938"/>
      <c r="P42" s="2938"/>
      <c r="Q42" s="2938"/>
      <c r="R42" s="2938"/>
      <c r="S42" s="2938"/>
      <c r="T42" s="2938"/>
      <c r="U42" s="2938"/>
      <c r="V42" s="2938"/>
      <c r="W42" s="2938"/>
      <c r="X42" s="2938"/>
      <c r="Y42" s="2938"/>
      <c r="Z42" s="2938"/>
      <c r="AA42" s="2938"/>
      <c r="AB42" s="2938"/>
      <c r="AC42" s="2938"/>
      <c r="AD42" s="2938"/>
    </row>
    <row r="43" spans="1:30" s="458" customFormat="1">
      <c r="A43" s="2938"/>
      <c r="B43" s="2941"/>
      <c r="C43" s="2942"/>
      <c r="D43" s="2938"/>
      <c r="E43" s="2938"/>
      <c r="F43" s="2938"/>
      <c r="G43" s="2938"/>
      <c r="H43" s="2938"/>
      <c r="I43" s="2938"/>
      <c r="J43" s="2938"/>
      <c r="K43" s="2943"/>
      <c r="L43" s="2937"/>
      <c r="M43" s="2938"/>
      <c r="N43" s="2938"/>
      <c r="O43" s="2938"/>
      <c r="P43" s="2938"/>
      <c r="Q43" s="2938"/>
      <c r="R43" s="2938"/>
      <c r="S43" s="2938"/>
      <c r="T43" s="2938"/>
      <c r="U43" s="2938"/>
      <c r="V43" s="2938"/>
      <c r="W43" s="2938"/>
      <c r="X43" s="2938"/>
      <c r="Y43" s="2938"/>
      <c r="Z43" s="2938"/>
      <c r="AA43" s="2938"/>
      <c r="AB43" s="2938"/>
      <c r="AC43" s="2938"/>
      <c r="AD43" s="2938"/>
    </row>
    <row r="44" spans="1:30">
      <c r="A44" s="2935"/>
      <c r="B44" s="2941"/>
      <c r="C44" s="2942"/>
      <c r="D44" s="2935"/>
      <c r="E44" s="2935"/>
      <c r="F44" s="2935"/>
      <c r="G44" s="2935"/>
      <c r="H44" s="2935"/>
      <c r="I44" s="2935"/>
      <c r="J44" s="2935"/>
      <c r="K44" s="2940"/>
      <c r="L44" s="2936"/>
      <c r="M44" s="2935"/>
      <c r="N44" s="2935"/>
      <c r="O44" s="2935"/>
      <c r="P44" s="2935"/>
      <c r="Q44" s="2935"/>
      <c r="R44" s="2935"/>
      <c r="S44" s="2935"/>
      <c r="T44" s="2935"/>
      <c r="U44" s="2935"/>
      <c r="V44" s="2935"/>
      <c r="W44" s="2935"/>
      <c r="X44" s="2935"/>
      <c r="Y44" s="2935"/>
      <c r="Z44" s="2935"/>
      <c r="AA44" s="2935"/>
      <c r="AB44" s="2935"/>
      <c r="AC44" s="2935"/>
      <c r="AD44" s="2935"/>
    </row>
    <row r="45" spans="1:30" ht="21.75" thickBot="1">
      <c r="A45" s="701" t="s">
        <v>2489</v>
      </c>
      <c r="B45" s="697"/>
      <c r="C45" s="702"/>
      <c r="D45" s="702"/>
      <c r="E45" s="702"/>
      <c r="F45" s="703"/>
      <c r="G45" s="703"/>
      <c r="H45" s="702"/>
      <c r="I45" s="702"/>
      <c r="J45" s="702"/>
      <c r="K45" s="704"/>
      <c r="L45" s="705"/>
      <c r="M45" s="702"/>
      <c r="N45" s="2979"/>
      <c r="O45" s="2979"/>
      <c r="P45" s="2979"/>
      <c r="Q45" s="2949"/>
      <c r="R45" s="2935"/>
      <c r="S45" s="2935"/>
      <c r="T45" s="2935"/>
      <c r="U45" s="2935"/>
      <c r="V45" s="2935"/>
      <c r="W45" s="2935"/>
      <c r="X45" s="2935"/>
      <c r="Y45" s="2935"/>
      <c r="Z45" s="2935"/>
      <c r="AA45" s="2935"/>
      <c r="AB45" s="2935"/>
      <c r="AC45" s="2935"/>
      <c r="AD45" s="2935"/>
    </row>
    <row r="46" spans="1:30" s="464" customFormat="1" ht="15">
      <c r="A46" s="461" t="s">
        <v>2363</v>
      </c>
      <c r="B46" s="462"/>
      <c r="C46" s="1334" t="str">
        <f>YEAR(C7)&amp;"-"&amp;MONTH(C7)</f>
        <v>2021-3</v>
      </c>
      <c r="D46" s="1335">
        <f>EDATE(C46,-1)</f>
        <v>44228</v>
      </c>
      <c r="E46" s="1335">
        <f t="shared" ref="E46:O46" si="16">EDATE(D46,-1)</f>
        <v>44197</v>
      </c>
      <c r="F46" s="1335">
        <f t="shared" si="16"/>
        <v>44166</v>
      </c>
      <c r="G46" s="1335">
        <f t="shared" si="16"/>
        <v>44136</v>
      </c>
      <c r="H46" s="1335">
        <f t="shared" si="16"/>
        <v>44105</v>
      </c>
      <c r="I46" s="1335">
        <f t="shared" si="16"/>
        <v>44075</v>
      </c>
      <c r="J46" s="1335">
        <f t="shared" si="16"/>
        <v>44044</v>
      </c>
      <c r="K46" s="1335">
        <f t="shared" si="16"/>
        <v>44013</v>
      </c>
      <c r="L46" s="1335">
        <f t="shared" si="16"/>
        <v>43983</v>
      </c>
      <c r="M46" s="1335">
        <f t="shared" si="16"/>
        <v>43952</v>
      </c>
      <c r="N46" s="1335">
        <f t="shared" si="16"/>
        <v>43922</v>
      </c>
      <c r="O46" s="1335">
        <f t="shared" si="16"/>
        <v>43891</v>
      </c>
      <c r="P46" s="2986"/>
      <c r="Q46" s="2951"/>
      <c r="R46" s="2951"/>
      <c r="S46" s="2951"/>
      <c r="T46" s="2951"/>
      <c r="U46" s="2951"/>
      <c r="V46" s="2951"/>
      <c r="W46" s="2951"/>
      <c r="X46" s="2951"/>
      <c r="Y46" s="2951"/>
      <c r="Z46" s="2951"/>
      <c r="AA46" s="2951"/>
      <c r="AB46" s="2951"/>
      <c r="AC46" s="2951"/>
      <c r="AD46" s="2951"/>
    </row>
    <row r="47" spans="1:30" s="113" customFormat="1" ht="15">
      <c r="A47" s="465"/>
      <c r="B47" s="466"/>
      <c r="C47" s="1333">
        <v>100</v>
      </c>
      <c r="D47" s="468"/>
      <c r="E47" s="468"/>
      <c r="F47" s="468"/>
      <c r="G47" s="468"/>
      <c r="H47" s="468"/>
      <c r="I47" s="468"/>
      <c r="J47" s="468"/>
      <c r="K47" s="468"/>
      <c r="L47" s="468"/>
      <c r="M47" s="469"/>
      <c r="N47" s="468"/>
      <c r="O47" s="470"/>
      <c r="P47" s="2949"/>
      <c r="Q47" s="2870"/>
      <c r="R47" s="2870"/>
      <c r="S47" s="2870"/>
      <c r="T47" s="2870"/>
      <c r="U47" s="2870"/>
      <c r="V47" s="2870"/>
      <c r="W47" s="2870"/>
      <c r="X47" s="2870"/>
      <c r="Y47" s="2870"/>
      <c r="Z47" s="2870"/>
      <c r="AA47" s="2870"/>
      <c r="AB47" s="2870"/>
      <c r="AC47" s="2870"/>
      <c r="AD47" s="2870"/>
    </row>
    <row r="48" spans="1:30" s="113" customFormat="1" ht="15.75" thickBot="1">
      <c r="A48" s="471" t="s">
        <v>2400</v>
      </c>
      <c r="B48" s="472"/>
      <c r="C48" s="473"/>
      <c r="D48" s="474"/>
      <c r="E48" s="474"/>
      <c r="F48" s="474"/>
      <c r="G48" s="474"/>
      <c r="H48" s="474"/>
      <c r="I48" s="474"/>
      <c r="J48" s="474"/>
      <c r="K48" s="474"/>
      <c r="L48" s="474"/>
      <c r="M48" s="475"/>
      <c r="N48" s="474"/>
      <c r="O48" s="476"/>
      <c r="P48" s="2949"/>
      <c r="Q48" s="2949"/>
      <c r="R48" s="2870"/>
      <c r="S48" s="2870"/>
      <c r="T48" s="2870"/>
      <c r="U48" s="2870"/>
      <c r="V48" s="2870"/>
      <c r="W48" s="2870"/>
      <c r="X48" s="2870"/>
      <c r="Y48" s="2870"/>
      <c r="Z48" s="2870"/>
      <c r="AA48" s="2870"/>
      <c r="AB48" s="2870"/>
      <c r="AC48" s="2870"/>
      <c r="AD48" s="2870"/>
    </row>
    <row r="49" spans="1:30" s="113" customFormat="1" ht="15">
      <c r="A49" s="477" t="s">
        <v>2365</v>
      </c>
      <c r="B49" s="466"/>
      <c r="C49" s="478" t="s">
        <v>2467</v>
      </c>
      <c r="D49" s="479"/>
      <c r="E49" s="479"/>
      <c r="F49" s="479"/>
      <c r="G49" s="479"/>
      <c r="H49" s="479"/>
      <c r="I49" s="479"/>
      <c r="J49" s="479"/>
      <c r="K49" s="479"/>
      <c r="L49" s="480"/>
      <c r="M49" s="481"/>
      <c r="N49" s="2962"/>
      <c r="O49" s="2962"/>
      <c r="P49" s="2987"/>
      <c r="Q49" s="2949"/>
      <c r="R49" s="2870"/>
      <c r="S49" s="2870"/>
      <c r="T49" s="2870"/>
      <c r="U49" s="2870"/>
      <c r="V49" s="2870"/>
      <c r="W49" s="2870"/>
      <c r="X49" s="2870"/>
      <c r="Y49" s="2870"/>
      <c r="Z49" s="2870"/>
      <c r="AA49" s="2870"/>
      <c r="AB49" s="2870"/>
      <c r="AC49" s="2870"/>
      <c r="AD49" s="2870"/>
    </row>
    <row r="50" spans="1:30" s="113" customFormat="1" ht="15.75" thickBot="1">
      <c r="A50" s="477"/>
      <c r="B50" s="466"/>
      <c r="C50" s="594">
        <v>100</v>
      </c>
      <c r="D50" s="468"/>
      <c r="E50" s="468"/>
      <c r="F50" s="468"/>
      <c r="G50" s="468"/>
      <c r="H50" s="468"/>
      <c r="I50" s="468"/>
      <c r="J50" s="468"/>
      <c r="K50" s="468"/>
      <c r="L50" s="468"/>
      <c r="M50" s="470"/>
      <c r="N50" s="2962"/>
      <c r="O50" s="2962"/>
      <c r="P50" s="2949"/>
      <c r="Q50" s="2949"/>
      <c r="R50" s="2870"/>
      <c r="S50" s="2870"/>
      <c r="T50" s="2870"/>
      <c r="U50" s="2870"/>
      <c r="V50" s="2870"/>
      <c r="W50" s="2870"/>
      <c r="X50" s="2870"/>
      <c r="Y50" s="2870"/>
      <c r="Z50" s="2870"/>
      <c r="AA50" s="2870"/>
      <c r="AB50" s="2870"/>
      <c r="AC50" s="2870"/>
      <c r="AD50" s="2870"/>
    </row>
    <row r="51" spans="1:30">
      <c r="A51" s="483" t="s">
        <v>2403</v>
      </c>
      <c r="B51" s="484" t="s">
        <v>2369</v>
      </c>
      <c r="C51" s="485">
        <f>C9</f>
        <v>0</v>
      </c>
      <c r="D51" s="486"/>
      <c r="E51" s="486"/>
      <c r="F51" s="486"/>
      <c r="G51" s="486"/>
      <c r="H51" s="486"/>
      <c r="I51" s="486"/>
      <c r="J51" s="486"/>
      <c r="K51" s="487"/>
      <c r="L51" s="488"/>
      <c r="M51" s="489"/>
      <c r="N51" s="2963"/>
      <c r="O51" s="2963"/>
      <c r="P51" s="2988"/>
      <c r="Q51" s="2949"/>
      <c r="R51" s="2935"/>
      <c r="S51" s="2935"/>
      <c r="T51" s="2935"/>
      <c r="U51" s="2935"/>
      <c r="V51" s="2935"/>
      <c r="W51" s="2935"/>
      <c r="X51" s="2935"/>
      <c r="Y51" s="2935"/>
      <c r="Z51" s="2935"/>
      <c r="AA51" s="2935"/>
      <c r="AB51" s="2935"/>
      <c r="AC51" s="2935"/>
      <c r="AD51" s="2935"/>
    </row>
    <row r="52" spans="1:30" ht="15.75" thickBot="1">
      <c r="A52" s="490"/>
      <c r="B52" s="491"/>
      <c r="C52" s="492">
        <v>100</v>
      </c>
      <c r="D52" s="492"/>
      <c r="E52" s="492"/>
      <c r="F52" s="492"/>
      <c r="G52" s="492"/>
      <c r="H52" s="492"/>
      <c r="I52" s="492"/>
      <c r="J52" s="492"/>
      <c r="K52" s="492"/>
      <c r="L52" s="492"/>
      <c r="M52" s="493"/>
      <c r="N52" s="2964"/>
      <c r="O52" s="2964"/>
      <c r="P52" s="2988"/>
      <c r="Q52" s="2949"/>
      <c r="R52" s="2935"/>
      <c r="S52" s="2935"/>
      <c r="T52" s="2935"/>
      <c r="U52" s="2935"/>
      <c r="V52" s="2935"/>
      <c r="W52" s="2935"/>
      <c r="X52" s="2935"/>
      <c r="Y52" s="2935"/>
      <c r="Z52" s="2935"/>
      <c r="AA52" s="2935"/>
      <c r="AB52" s="2935"/>
      <c r="AC52" s="2935"/>
      <c r="AD52" s="2935"/>
    </row>
    <row r="53" spans="1:30" ht="27.75" thickTop="1">
      <c r="A53" s="490"/>
      <c r="B53" s="494" t="s">
        <v>2372</v>
      </c>
      <c r="C53" s="495" t="s">
        <v>2404</v>
      </c>
      <c r="D53" s="495" t="s">
        <v>2405</v>
      </c>
      <c r="E53" s="495" t="s">
        <v>2406</v>
      </c>
      <c r="F53" s="495" t="s">
        <v>2407</v>
      </c>
      <c r="G53" s="495" t="s">
        <v>2408</v>
      </c>
      <c r="H53" s="495" t="s">
        <v>2409</v>
      </c>
      <c r="I53" s="495" t="s">
        <v>2410</v>
      </c>
      <c r="J53" s="495"/>
      <c r="K53" s="496"/>
      <c r="L53" s="497"/>
      <c r="M53" s="498"/>
      <c r="N53" s="2963"/>
      <c r="O53" s="2963"/>
      <c r="P53" s="2988"/>
      <c r="Q53" s="2949"/>
      <c r="R53" s="2935"/>
      <c r="S53" s="2935"/>
      <c r="T53" s="2935"/>
      <c r="U53" s="2935"/>
      <c r="V53" s="2935"/>
      <c r="W53" s="2935"/>
      <c r="X53" s="2935"/>
      <c r="Y53" s="2935"/>
      <c r="Z53" s="2935"/>
      <c r="AA53" s="2935"/>
      <c r="AB53" s="2935"/>
      <c r="AC53" s="2935"/>
      <c r="AD53" s="2935"/>
    </row>
    <row r="54" spans="1:30" ht="15.75" thickBot="1">
      <c r="A54" s="490"/>
      <c r="B54" s="499"/>
      <c r="C54" s="500" t="s">
        <v>24</v>
      </c>
      <c r="D54" s="500" t="s">
        <v>25</v>
      </c>
      <c r="E54" s="500">
        <v>100</v>
      </c>
      <c r="F54" s="500">
        <f>E54-$K10</f>
        <v>100</v>
      </c>
      <c r="G54" s="500">
        <f>F54-$K10</f>
        <v>100</v>
      </c>
      <c r="H54" s="500">
        <f>G54-$K10</f>
        <v>100</v>
      </c>
      <c r="I54" s="500">
        <f>H54-$K10</f>
        <v>100</v>
      </c>
      <c r="J54" s="500"/>
      <c r="K54" s="500"/>
      <c r="L54" s="500"/>
      <c r="M54" s="501"/>
      <c r="N54" s="2964"/>
      <c r="O54" s="2964"/>
      <c r="P54" s="2988"/>
      <c r="Q54" s="2949"/>
      <c r="R54" s="2935"/>
      <c r="S54" s="2935"/>
      <c r="T54" s="2935"/>
      <c r="U54" s="2935"/>
      <c r="V54" s="2935"/>
      <c r="W54" s="2935"/>
      <c r="X54" s="2935"/>
      <c r="Y54" s="2935"/>
      <c r="Z54" s="2935"/>
      <c r="AA54" s="2935"/>
      <c r="AB54" s="2935"/>
      <c r="AC54" s="2935"/>
      <c r="AD54" s="2935"/>
    </row>
    <row r="55" spans="1:30" ht="15.75" thickTop="1">
      <c r="A55" s="490"/>
      <c r="B55" s="615">
        <f>B11</f>
        <v>111</v>
      </c>
      <c r="C55" s="505"/>
      <c r="D55" s="505"/>
      <c r="E55" s="505"/>
      <c r="F55" s="505"/>
      <c r="G55" s="505"/>
      <c r="H55" s="505"/>
      <c r="I55" s="505"/>
      <c r="J55" s="505"/>
      <c r="K55" s="506"/>
      <c r="L55" s="507"/>
      <c r="M55" s="508"/>
      <c r="N55" s="2963"/>
      <c r="O55" s="2963"/>
      <c r="P55" s="2988"/>
      <c r="Q55" s="2949"/>
      <c r="R55" s="2935"/>
      <c r="S55" s="2935"/>
      <c r="T55" s="2935"/>
      <c r="U55" s="2935"/>
      <c r="V55" s="2935"/>
      <c r="W55" s="2935"/>
      <c r="X55" s="2935"/>
      <c r="Y55" s="2935"/>
      <c r="Z55" s="2935"/>
      <c r="AA55" s="2935"/>
      <c r="AB55" s="2935"/>
      <c r="AC55" s="2935"/>
      <c r="AD55" s="2935"/>
    </row>
    <row r="56" spans="1:30" ht="15.75" thickBot="1">
      <c r="A56" s="490"/>
      <c r="B56" s="491"/>
      <c r="C56" s="516"/>
      <c r="D56" s="492"/>
      <c r="E56" s="492"/>
      <c r="F56" s="492"/>
      <c r="G56" s="492"/>
      <c r="H56" s="492"/>
      <c r="I56" s="492"/>
      <c r="J56" s="492"/>
      <c r="K56" s="492"/>
      <c r="L56" s="492"/>
      <c r="M56" s="493"/>
      <c r="N56" s="2964"/>
      <c r="O56" s="2964"/>
      <c r="P56" s="2988"/>
      <c r="Q56" s="2949"/>
      <c r="R56" s="2935"/>
      <c r="S56" s="2935"/>
      <c r="T56" s="2935"/>
      <c r="U56" s="2935"/>
      <c r="V56" s="2935"/>
      <c r="W56" s="2935"/>
      <c r="X56" s="2935"/>
      <c r="Y56" s="2935"/>
      <c r="Z56" s="2935"/>
      <c r="AA56" s="2935"/>
      <c r="AB56" s="2935"/>
      <c r="AC56" s="2935"/>
      <c r="AD56" s="2935"/>
    </row>
    <row r="57" spans="1:30" s="429" customFormat="1" ht="15.75" thickTop="1">
      <c r="A57" s="509"/>
      <c r="B57" s="494">
        <f>B12</f>
        <v>111</v>
      </c>
      <c r="C57" s="505"/>
      <c r="D57" s="505"/>
      <c r="E57" s="505"/>
      <c r="F57" s="505"/>
      <c r="G57" s="510"/>
      <c r="H57" s="511"/>
      <c r="I57" s="511"/>
      <c r="J57" s="511"/>
      <c r="K57" s="511"/>
      <c r="L57" s="512"/>
      <c r="M57" s="513"/>
      <c r="N57" s="2965"/>
      <c r="O57" s="2965"/>
      <c r="P57" s="2989"/>
      <c r="Q57" s="2956"/>
      <c r="R57" s="2957"/>
      <c r="S57" s="2957"/>
      <c r="T57" s="2957"/>
      <c r="U57" s="2957"/>
      <c r="V57" s="2957"/>
      <c r="W57" s="2957"/>
      <c r="X57" s="2957"/>
      <c r="Y57" s="2957"/>
      <c r="Z57" s="2957"/>
      <c r="AA57" s="2957"/>
      <c r="AB57" s="2957"/>
      <c r="AC57" s="2957"/>
      <c r="AD57" s="2957"/>
    </row>
    <row r="58" spans="1:30" s="429" customFormat="1" ht="15.75" thickBot="1">
      <c r="A58" s="509"/>
      <c r="B58" s="499"/>
      <c r="C58" s="516"/>
      <c r="D58" s="492"/>
      <c r="E58" s="492"/>
      <c r="F58" s="492"/>
      <c r="G58" s="492"/>
      <c r="H58" s="492"/>
      <c r="I58" s="492"/>
      <c r="J58" s="492"/>
      <c r="K58" s="492"/>
      <c r="L58" s="492"/>
      <c r="M58" s="493"/>
      <c r="N58" s="2964"/>
      <c r="O58" s="2964"/>
      <c r="P58" s="2989"/>
      <c r="Q58" s="2956"/>
      <c r="R58" s="2957"/>
      <c r="S58" s="2957"/>
      <c r="T58" s="2957"/>
      <c r="U58" s="2957"/>
      <c r="V58" s="2957"/>
      <c r="W58" s="2957"/>
      <c r="X58" s="2957"/>
      <c r="Y58" s="2957"/>
      <c r="Z58" s="2957"/>
      <c r="AA58" s="2957"/>
      <c r="AB58" s="2957"/>
      <c r="AC58" s="2957"/>
      <c r="AD58" s="2957"/>
    </row>
    <row r="59" spans="1:30" s="429" customFormat="1" ht="15.75" thickTop="1">
      <c r="A59" s="509"/>
      <c r="B59" s="494">
        <f>B13</f>
        <v>111</v>
      </c>
      <c r="C59" s="505"/>
      <c r="D59" s="505"/>
      <c r="E59" s="505"/>
      <c r="F59" s="505"/>
      <c r="G59" s="510"/>
      <c r="H59" s="511"/>
      <c r="I59" s="511"/>
      <c r="J59" s="511"/>
      <c r="K59" s="511"/>
      <c r="L59" s="512"/>
      <c r="M59" s="513"/>
      <c r="N59" s="2965"/>
      <c r="O59" s="2965"/>
      <c r="P59" s="2933"/>
      <c r="Q59" s="2959"/>
      <c r="R59" s="2957"/>
      <c r="S59" s="2957"/>
      <c r="T59" s="2957"/>
      <c r="U59" s="2957"/>
      <c r="V59" s="2957"/>
      <c r="W59" s="2957"/>
      <c r="X59" s="2957"/>
      <c r="Y59" s="2957"/>
      <c r="Z59" s="2957"/>
      <c r="AA59" s="2957"/>
      <c r="AB59" s="2957"/>
      <c r="AC59" s="2957"/>
      <c r="AD59" s="2957"/>
    </row>
    <row r="60" spans="1:30" s="429" customFormat="1" ht="15.75" thickBot="1">
      <c r="A60" s="509"/>
      <c r="B60" s="499"/>
      <c r="C60" s="516"/>
      <c r="D60" s="516"/>
      <c r="E60" s="516"/>
      <c r="F60" s="516"/>
      <c r="G60" s="516"/>
      <c r="H60" s="518"/>
      <c r="I60" s="518"/>
      <c r="J60" s="518"/>
      <c r="K60" s="518"/>
      <c r="L60" s="518"/>
      <c r="M60" s="519"/>
      <c r="N60" s="2965"/>
      <c r="O60" s="2965"/>
      <c r="P60" s="2989"/>
      <c r="Q60" s="2956"/>
      <c r="R60" s="2957"/>
      <c r="S60" s="2957"/>
      <c r="T60" s="2957"/>
      <c r="U60" s="2957"/>
      <c r="V60" s="2957"/>
      <c r="W60" s="2957"/>
      <c r="X60" s="2957"/>
      <c r="Y60" s="2957"/>
      <c r="Z60" s="2957"/>
      <c r="AA60" s="2957"/>
      <c r="AB60" s="2957"/>
      <c r="AC60" s="2957"/>
      <c r="AD60" s="2957"/>
    </row>
    <row r="61" spans="1:30" ht="15" thickTop="1">
      <c r="A61" s="483" t="s">
        <v>2374</v>
      </c>
      <c r="B61" s="484" t="s">
        <v>2417</v>
      </c>
      <c r="C61" s="529" t="s">
        <v>2412</v>
      </c>
      <c r="D61" s="529" t="s">
        <v>2413</v>
      </c>
      <c r="E61" s="529" t="s">
        <v>2414</v>
      </c>
      <c r="F61" s="529" t="s">
        <v>2415</v>
      </c>
      <c r="G61" s="529" t="s">
        <v>2416</v>
      </c>
      <c r="H61" s="485"/>
      <c r="I61" s="485"/>
      <c r="J61" s="485"/>
      <c r="K61" s="530"/>
      <c r="L61" s="531"/>
      <c r="M61" s="532"/>
      <c r="N61" s="2963"/>
      <c r="O61" s="2963"/>
      <c r="P61" s="2990"/>
      <c r="Q61" s="2949"/>
      <c r="R61" s="2935"/>
      <c r="S61" s="2935"/>
      <c r="T61" s="2935"/>
      <c r="U61" s="2935"/>
      <c r="V61" s="2935"/>
      <c r="W61" s="2935"/>
      <c r="X61" s="2935"/>
      <c r="Y61" s="2935"/>
      <c r="Z61" s="2935"/>
      <c r="AA61" s="2935"/>
      <c r="AB61" s="2935"/>
      <c r="AC61" s="2935"/>
      <c r="AD61" s="2935"/>
    </row>
    <row r="62" spans="1:30" ht="15.75" thickBot="1">
      <c r="A62" s="490"/>
      <c r="B62" s="499"/>
      <c r="C62" s="500">
        <v>100</v>
      </c>
      <c r="D62" s="500">
        <f>C62-$K14</f>
        <v>100</v>
      </c>
      <c r="E62" s="500">
        <f>D62-$K14</f>
        <v>100</v>
      </c>
      <c r="F62" s="500">
        <f>E62-$K14</f>
        <v>100</v>
      </c>
      <c r="G62" s="500">
        <f>F62-$K14</f>
        <v>100</v>
      </c>
      <c r="H62" s="500"/>
      <c r="I62" s="500"/>
      <c r="J62" s="500"/>
      <c r="K62" s="500"/>
      <c r="L62" s="500"/>
      <c r="M62" s="501"/>
      <c r="N62" s="2964"/>
      <c r="O62" s="2964"/>
      <c r="P62" s="2988"/>
      <c r="Q62" s="2949"/>
      <c r="R62" s="2935"/>
      <c r="S62" s="2935"/>
      <c r="T62" s="2935"/>
      <c r="U62" s="2935"/>
      <c r="V62" s="2935"/>
      <c r="W62" s="2935"/>
      <c r="X62" s="2935"/>
      <c r="Y62" s="2935"/>
      <c r="Z62" s="2935"/>
      <c r="AA62" s="2935"/>
      <c r="AB62" s="2935"/>
      <c r="AC62" s="2935"/>
      <c r="AD62" s="2935"/>
    </row>
    <row r="63" spans="1:30" ht="27.75" thickTop="1">
      <c r="A63" s="490"/>
      <c r="B63" s="494" t="s">
        <v>2555</v>
      </c>
      <c r="C63" s="534" t="s">
        <v>2412</v>
      </c>
      <c r="D63" s="534" t="s">
        <v>2413</v>
      </c>
      <c r="E63" s="534" t="s">
        <v>2414</v>
      </c>
      <c r="F63" s="534" t="s">
        <v>2415</v>
      </c>
      <c r="G63" s="534" t="s">
        <v>2416</v>
      </c>
      <c r="H63" s="495"/>
      <c r="I63" s="495"/>
      <c r="J63" s="495"/>
      <c r="K63" s="496"/>
      <c r="L63" s="497"/>
      <c r="M63" s="498"/>
      <c r="N63" s="2963"/>
      <c r="O63" s="2963"/>
      <c r="P63" s="2988"/>
      <c r="Q63" s="2949"/>
      <c r="R63" s="2935"/>
      <c r="S63" s="2935"/>
      <c r="T63" s="2935"/>
      <c r="U63" s="2935"/>
      <c r="V63" s="2935"/>
      <c r="W63" s="2935"/>
      <c r="X63" s="2935"/>
      <c r="Y63" s="2935"/>
      <c r="Z63" s="2935"/>
      <c r="AA63" s="2935"/>
      <c r="AB63" s="2935"/>
      <c r="AC63" s="2935"/>
      <c r="AD63" s="2935"/>
    </row>
    <row r="64" spans="1:30" ht="15.75" thickBot="1">
      <c r="A64" s="490"/>
      <c r="B64" s="499"/>
      <c r="C64" s="500">
        <v>100</v>
      </c>
      <c r="D64" s="500">
        <f>C64-$K16</f>
        <v>100</v>
      </c>
      <c r="E64" s="500">
        <f>D64-$K16</f>
        <v>100</v>
      </c>
      <c r="F64" s="500">
        <f>E64-$K16</f>
        <v>100</v>
      </c>
      <c r="G64" s="500">
        <f>F64-$K16</f>
        <v>100</v>
      </c>
      <c r="H64" s="500"/>
      <c r="I64" s="500"/>
      <c r="J64" s="500"/>
      <c r="K64" s="500"/>
      <c r="L64" s="500"/>
      <c r="M64" s="501"/>
      <c r="N64" s="2964"/>
      <c r="O64" s="2964"/>
      <c r="P64" s="2988"/>
      <c r="Q64" s="2949"/>
      <c r="R64" s="2935"/>
      <c r="S64" s="2935"/>
      <c r="T64" s="2935"/>
      <c r="U64" s="2935"/>
      <c r="V64" s="2935"/>
      <c r="W64" s="2935"/>
      <c r="X64" s="2935"/>
      <c r="Y64" s="2935"/>
      <c r="Z64" s="2935"/>
      <c r="AA64" s="2935"/>
      <c r="AB64" s="2935"/>
      <c r="AC64" s="2935"/>
      <c r="AD64" s="2935"/>
    </row>
    <row r="65" spans="1:30" ht="15.75" thickTop="1">
      <c r="A65" s="490"/>
      <c r="B65" s="502" t="s">
        <v>2504</v>
      </c>
      <c r="C65" s="615" t="s">
        <v>2490</v>
      </c>
      <c r="D65" s="615" t="s">
        <v>2491</v>
      </c>
      <c r="E65" s="615" t="s">
        <v>2492</v>
      </c>
      <c r="F65" s="615" t="s">
        <v>2493</v>
      </c>
      <c r="G65" s="615" t="s">
        <v>2494</v>
      </c>
      <c r="H65" s="495"/>
      <c r="I65" s="495"/>
      <c r="J65" s="495"/>
      <c r="K65" s="495"/>
      <c r="L65" s="495"/>
      <c r="M65" s="1282"/>
      <c r="N65" s="2964"/>
      <c r="O65" s="2964"/>
      <c r="P65" s="2988"/>
      <c r="Q65" s="2949"/>
      <c r="R65" s="2935"/>
      <c r="S65" s="2935"/>
      <c r="T65" s="2935"/>
      <c r="U65" s="2935"/>
      <c r="V65" s="2935"/>
      <c r="W65" s="2935"/>
      <c r="X65" s="2935"/>
      <c r="Y65" s="2935"/>
      <c r="Z65" s="2935"/>
      <c r="AA65" s="2935"/>
      <c r="AB65" s="2935"/>
      <c r="AC65" s="2935"/>
      <c r="AD65" s="2935"/>
    </row>
    <row r="66" spans="1:30" ht="15.75" thickBot="1">
      <c r="A66" s="490"/>
      <c r="B66" s="502"/>
      <c r="C66" s="500">
        <v>100</v>
      </c>
      <c r="D66" s="500">
        <f>C66-$K18</f>
        <v>100</v>
      </c>
      <c r="E66" s="500">
        <f>D66-$K18</f>
        <v>100</v>
      </c>
      <c r="F66" s="500">
        <f>E66-$K18</f>
        <v>100</v>
      </c>
      <c r="G66" s="500">
        <f>F66-$K18</f>
        <v>100</v>
      </c>
      <c r="H66" s="615"/>
      <c r="I66" s="615"/>
      <c r="J66" s="615"/>
      <c r="K66" s="615"/>
      <c r="L66" s="615"/>
      <c r="M66" s="408"/>
      <c r="N66" s="2964"/>
      <c r="O66" s="2964"/>
      <c r="P66" s="2988"/>
      <c r="Q66" s="2949"/>
      <c r="R66" s="2935"/>
      <c r="S66" s="2935"/>
      <c r="T66" s="2935"/>
      <c r="U66" s="2935"/>
      <c r="V66" s="2935"/>
      <c r="W66" s="2935"/>
      <c r="X66" s="2935"/>
      <c r="Y66" s="2935"/>
      <c r="Z66" s="2935"/>
      <c r="AA66" s="2935"/>
      <c r="AB66" s="2935"/>
      <c r="AC66" s="2935"/>
      <c r="AD66" s="2935"/>
    </row>
    <row r="67" spans="1:30" ht="15.75" thickTop="1">
      <c r="A67" s="490"/>
      <c r="B67" s="494" t="s">
        <v>2424</v>
      </c>
      <c r="C67" s="534" t="s">
        <v>2412</v>
      </c>
      <c r="D67" s="534" t="s">
        <v>2413</v>
      </c>
      <c r="E67" s="534" t="s">
        <v>2414</v>
      </c>
      <c r="F67" s="534" t="s">
        <v>2415</v>
      </c>
      <c r="G67" s="534" t="s">
        <v>2416</v>
      </c>
      <c r="H67" s="495"/>
      <c r="I67" s="495"/>
      <c r="J67" s="495"/>
      <c r="K67" s="496"/>
      <c r="L67" s="497"/>
      <c r="M67" s="498"/>
      <c r="N67" s="2963"/>
      <c r="O67" s="2963"/>
      <c r="P67" s="2988"/>
      <c r="Q67" s="2949"/>
      <c r="R67" s="2935"/>
      <c r="S67" s="2935"/>
      <c r="T67" s="2935"/>
      <c r="U67" s="2935"/>
      <c r="V67" s="2935"/>
      <c r="W67" s="2935"/>
      <c r="X67" s="2935"/>
      <c r="Y67" s="2935"/>
      <c r="Z67" s="2935"/>
      <c r="AA67" s="2935"/>
      <c r="AB67" s="2935"/>
      <c r="AC67" s="2935"/>
      <c r="AD67" s="2935"/>
    </row>
    <row r="68" spans="1:30" ht="15.75" thickBot="1">
      <c r="A68" s="490"/>
      <c r="B68" s="499"/>
      <c r="C68" s="500">
        <v>100</v>
      </c>
      <c r="D68" s="500">
        <f>C68-$K20</f>
        <v>100</v>
      </c>
      <c r="E68" s="500">
        <f>D68-$K20</f>
        <v>100</v>
      </c>
      <c r="F68" s="500">
        <f>E68-$K20</f>
        <v>100</v>
      </c>
      <c r="G68" s="500">
        <f>F68-$K20</f>
        <v>100</v>
      </c>
      <c r="H68" s="500"/>
      <c r="I68" s="500"/>
      <c r="J68" s="500"/>
      <c r="K68" s="500"/>
      <c r="L68" s="500"/>
      <c r="M68" s="501"/>
      <c r="N68" s="2964"/>
      <c r="O68" s="2964"/>
      <c r="P68" s="2988"/>
      <c r="Q68" s="2949"/>
      <c r="R68" s="2935"/>
      <c r="S68" s="2935"/>
      <c r="T68" s="2935"/>
      <c r="U68" s="2935"/>
      <c r="V68" s="2935"/>
      <c r="W68" s="2935"/>
      <c r="X68" s="2935"/>
      <c r="Y68" s="2935"/>
      <c r="Z68" s="2935"/>
      <c r="AA68" s="2935"/>
      <c r="AB68" s="2935"/>
      <c r="AC68" s="2935"/>
      <c r="AD68" s="2935"/>
    </row>
    <row r="69" spans="1:30" ht="15.75" thickTop="1">
      <c r="A69" s="490"/>
      <c r="B69" s="494" t="s">
        <v>2544</v>
      </c>
      <c r="C69" s="510"/>
      <c r="D69" s="510"/>
      <c r="E69" s="510"/>
      <c r="F69" s="510"/>
      <c r="G69" s="510"/>
      <c r="H69" s="539"/>
      <c r="I69" s="539"/>
      <c r="J69" s="539"/>
      <c r="K69" s="540"/>
      <c r="L69" s="541"/>
      <c r="M69" s="542"/>
      <c r="N69" s="2963"/>
      <c r="O69" s="2963"/>
      <c r="P69" s="2988"/>
      <c r="Q69" s="2949"/>
      <c r="R69" s="2935"/>
      <c r="S69" s="2935"/>
      <c r="T69" s="2935"/>
      <c r="U69" s="2935"/>
      <c r="V69" s="2935"/>
      <c r="W69" s="2935"/>
      <c r="X69" s="2935"/>
      <c r="Y69" s="2935"/>
      <c r="Z69" s="2935"/>
      <c r="AA69" s="2935"/>
      <c r="AB69" s="2935"/>
      <c r="AC69" s="2935"/>
      <c r="AD69" s="2935"/>
    </row>
    <row r="70" spans="1:30" ht="15.75" thickBot="1">
      <c r="A70" s="490"/>
      <c r="B70" s="499"/>
      <c r="C70" s="500">
        <v>100</v>
      </c>
      <c r="D70" s="500">
        <f>C70-$K22</f>
        <v>100</v>
      </c>
      <c r="E70" s="500"/>
      <c r="F70" s="500"/>
      <c r="G70" s="500"/>
      <c r="H70" s="500"/>
      <c r="I70" s="500"/>
      <c r="J70" s="500"/>
      <c r="K70" s="500"/>
      <c r="L70" s="500"/>
      <c r="M70" s="501"/>
      <c r="N70" s="2964"/>
      <c r="O70" s="2964"/>
      <c r="P70" s="2988"/>
      <c r="Q70" s="2949"/>
      <c r="R70" s="2935"/>
      <c r="S70" s="2935"/>
      <c r="T70" s="2935"/>
      <c r="U70" s="2935"/>
      <c r="V70" s="2935"/>
      <c r="W70" s="2935"/>
      <c r="X70" s="2935"/>
      <c r="Y70" s="2935"/>
      <c r="Z70" s="2935"/>
      <c r="AA70" s="2935"/>
      <c r="AB70" s="2935"/>
      <c r="AC70" s="2935"/>
      <c r="AD70" s="2935"/>
    </row>
    <row r="71" spans="1:30" s="113" customFormat="1" ht="15.75" thickTop="1">
      <c r="A71" s="535"/>
      <c r="B71" s="494">
        <f>B23</f>
        <v>111</v>
      </c>
      <c r="C71" s="505"/>
      <c r="D71" s="505"/>
      <c r="E71" s="505"/>
      <c r="F71" s="505"/>
      <c r="G71" s="510"/>
      <c r="H71" s="510"/>
      <c r="I71" s="510"/>
      <c r="J71" s="510"/>
      <c r="K71" s="510"/>
      <c r="L71" s="536"/>
      <c r="M71" s="537"/>
      <c r="N71" s="2962"/>
      <c r="O71" s="2962"/>
      <c r="P71" s="2988"/>
      <c r="Q71" s="2949"/>
      <c r="R71" s="2870"/>
      <c r="S71" s="2870"/>
      <c r="T71" s="2870"/>
      <c r="U71" s="2870"/>
      <c r="V71" s="2870"/>
      <c r="W71" s="2870"/>
      <c r="X71" s="2870"/>
      <c r="Y71" s="2870"/>
      <c r="Z71" s="2870"/>
      <c r="AA71" s="2870"/>
      <c r="AB71" s="2870"/>
      <c r="AC71" s="2870"/>
      <c r="AD71" s="2870"/>
    </row>
    <row r="72" spans="1:30" s="113" customFormat="1" ht="15.75" thickBot="1">
      <c r="A72" s="535"/>
      <c r="B72" s="499"/>
      <c r="C72" s="516"/>
      <c r="D72" s="492"/>
      <c r="E72" s="492"/>
      <c r="F72" s="492"/>
      <c r="G72" s="492"/>
      <c r="H72" s="492"/>
      <c r="I72" s="492"/>
      <c r="J72" s="492"/>
      <c r="K72" s="492"/>
      <c r="L72" s="492"/>
      <c r="M72" s="493"/>
      <c r="N72" s="2964"/>
      <c r="O72" s="2964"/>
      <c r="P72" s="2988"/>
      <c r="Q72" s="2949"/>
      <c r="R72" s="2870"/>
      <c r="S72" s="2870"/>
      <c r="T72" s="2870"/>
      <c r="U72" s="2870"/>
      <c r="V72" s="2870"/>
      <c r="W72" s="2870"/>
      <c r="X72" s="2870"/>
      <c r="Y72" s="2870"/>
      <c r="Z72" s="2870"/>
      <c r="AA72" s="2870"/>
      <c r="AB72" s="2870"/>
      <c r="AC72" s="2870"/>
      <c r="AD72" s="2870"/>
    </row>
    <row r="73" spans="1:30" s="113" customFormat="1" ht="15.75" thickTop="1">
      <c r="A73" s="535"/>
      <c r="B73" s="494">
        <f>B24</f>
        <v>111</v>
      </c>
      <c r="C73" s="505"/>
      <c r="D73" s="505"/>
      <c r="E73" s="505"/>
      <c r="F73" s="505"/>
      <c r="G73" s="510"/>
      <c r="H73" s="510"/>
      <c r="I73" s="510"/>
      <c r="J73" s="510"/>
      <c r="K73" s="510"/>
      <c r="L73" s="510"/>
      <c r="M73" s="537"/>
      <c r="N73" s="2962"/>
      <c r="O73" s="2962"/>
      <c r="P73" s="2988"/>
      <c r="Q73" s="2949"/>
      <c r="R73" s="2870"/>
      <c r="S73" s="2870"/>
      <c r="T73" s="2870"/>
      <c r="U73" s="2870"/>
      <c r="V73" s="2870"/>
      <c r="W73" s="2870"/>
      <c r="X73" s="2870"/>
      <c r="Y73" s="2870"/>
      <c r="Z73" s="2870"/>
      <c r="AA73" s="2870"/>
      <c r="AB73" s="2870"/>
      <c r="AC73" s="2870"/>
      <c r="AD73" s="2870"/>
    </row>
    <row r="74" spans="1:30" s="113" customFormat="1" ht="15.75" thickBot="1">
      <c r="A74" s="535"/>
      <c r="B74" s="499"/>
      <c r="C74" s="516"/>
      <c r="D74" s="492"/>
      <c r="E74" s="492"/>
      <c r="F74" s="492"/>
      <c r="G74" s="492"/>
      <c r="H74" s="492"/>
      <c r="I74" s="492"/>
      <c r="J74" s="492"/>
      <c r="K74" s="492"/>
      <c r="L74" s="492"/>
      <c r="M74" s="493"/>
      <c r="N74" s="2964"/>
      <c r="O74" s="2964"/>
      <c r="P74" s="2988"/>
      <c r="Q74" s="2949"/>
      <c r="R74" s="2870"/>
      <c r="S74" s="2870"/>
      <c r="T74" s="2870"/>
      <c r="U74" s="2870"/>
      <c r="V74" s="2870"/>
      <c r="W74" s="2870"/>
      <c r="X74" s="2870"/>
      <c r="Y74" s="2870"/>
      <c r="Z74" s="2870"/>
      <c r="AA74" s="2870"/>
      <c r="AB74" s="2870"/>
      <c r="AC74" s="2870"/>
      <c r="AD74" s="2870"/>
    </row>
    <row r="75" spans="1:30" s="429" customFormat="1" ht="15.75" thickTop="1">
      <c r="A75" s="509"/>
      <c r="B75" s="494">
        <f>B25</f>
        <v>111</v>
      </c>
      <c r="C75" s="505"/>
      <c r="D75" s="505"/>
      <c r="E75" s="505"/>
      <c r="F75" s="505"/>
      <c r="G75" s="510"/>
      <c r="H75" s="511"/>
      <c r="I75" s="511"/>
      <c r="J75" s="511"/>
      <c r="K75" s="511"/>
      <c r="L75" s="512"/>
      <c r="M75" s="513"/>
      <c r="N75" s="2965"/>
      <c r="O75" s="2965"/>
      <c r="P75" s="2989"/>
      <c r="Q75" s="2956"/>
      <c r="R75" s="2957"/>
      <c r="S75" s="2957"/>
      <c r="T75" s="2957"/>
      <c r="U75" s="2957"/>
      <c r="V75" s="2957"/>
      <c r="W75" s="2957"/>
      <c r="X75" s="2957"/>
      <c r="Y75" s="2957"/>
      <c r="Z75" s="2957"/>
      <c r="AA75" s="2957"/>
      <c r="AB75" s="2957"/>
      <c r="AC75" s="2957"/>
      <c r="AD75" s="2957"/>
    </row>
    <row r="76" spans="1:30" s="429" customFormat="1" ht="15.75" thickBot="1">
      <c r="A76" s="509"/>
      <c r="B76" s="499"/>
      <c r="C76" s="516"/>
      <c r="D76" s="516"/>
      <c r="E76" s="516"/>
      <c r="F76" s="516"/>
      <c r="G76" s="492"/>
      <c r="H76" s="492"/>
      <c r="I76" s="492"/>
      <c r="J76" s="492"/>
      <c r="K76" s="492"/>
      <c r="L76" s="492"/>
      <c r="M76" s="493"/>
      <c r="N76" s="2965"/>
      <c r="O76" s="2965"/>
      <c r="P76" s="2989"/>
      <c r="Q76" s="2956"/>
      <c r="R76" s="2957"/>
      <c r="S76" s="2957"/>
      <c r="T76" s="2957"/>
      <c r="U76" s="2957"/>
      <c r="V76" s="2957"/>
      <c r="W76" s="2957"/>
      <c r="X76" s="2957"/>
      <c r="Y76" s="2957"/>
      <c r="Z76" s="2957"/>
      <c r="AA76" s="2957"/>
      <c r="AB76" s="2957"/>
      <c r="AC76" s="2957"/>
      <c r="AD76" s="2957"/>
    </row>
    <row r="77" spans="1:30" ht="15" thickTop="1">
      <c r="A77" s="483" t="s">
        <v>2378</v>
      </c>
      <c r="B77" s="484" t="s">
        <v>2431</v>
      </c>
      <c r="C77" s="510"/>
      <c r="D77" s="510"/>
      <c r="E77" s="486"/>
      <c r="F77" s="486"/>
      <c r="G77" s="486"/>
      <c r="H77" s="486"/>
      <c r="I77" s="486"/>
      <c r="J77" s="486"/>
      <c r="K77" s="487"/>
      <c r="L77" s="488"/>
      <c r="M77" s="489"/>
      <c r="N77" s="2963"/>
      <c r="O77" s="2963"/>
      <c r="P77" s="2988"/>
      <c r="Q77" s="2949"/>
      <c r="R77" s="2935"/>
      <c r="S77" s="2935"/>
      <c r="T77" s="2935"/>
      <c r="U77" s="2935"/>
      <c r="V77" s="2935"/>
      <c r="W77" s="2935"/>
      <c r="X77" s="2935"/>
      <c r="Y77" s="2935"/>
      <c r="Z77" s="2935"/>
      <c r="AA77" s="2935"/>
      <c r="AB77" s="2935"/>
      <c r="AC77" s="2935"/>
      <c r="AD77" s="2935"/>
    </row>
    <row r="78" spans="1:30" ht="15.75" thickBot="1">
      <c r="A78" s="490"/>
      <c r="B78" s="499"/>
      <c r="C78" s="500">
        <v>100</v>
      </c>
      <c r="D78" s="500">
        <f t="shared" ref="D78:M78" si="17">C78-$K26</f>
        <v>100</v>
      </c>
      <c r="E78" s="500">
        <f t="shared" si="17"/>
        <v>100</v>
      </c>
      <c r="F78" s="500">
        <f t="shared" si="17"/>
        <v>100</v>
      </c>
      <c r="G78" s="500">
        <f t="shared" si="17"/>
        <v>100</v>
      </c>
      <c r="H78" s="500">
        <f t="shared" si="17"/>
        <v>100</v>
      </c>
      <c r="I78" s="500">
        <f t="shared" si="17"/>
        <v>100</v>
      </c>
      <c r="J78" s="500">
        <f t="shared" si="17"/>
        <v>100</v>
      </c>
      <c r="K78" s="500">
        <f t="shared" si="17"/>
        <v>100</v>
      </c>
      <c r="L78" s="500">
        <f t="shared" si="17"/>
        <v>100</v>
      </c>
      <c r="M78" s="501">
        <f t="shared" si="17"/>
        <v>100</v>
      </c>
      <c r="N78" s="2964"/>
      <c r="O78" s="2964"/>
      <c r="P78" s="2988"/>
      <c r="Q78" s="2949"/>
      <c r="R78" s="2935"/>
      <c r="S78" s="2935"/>
      <c r="T78" s="2935"/>
      <c r="U78" s="2935"/>
      <c r="V78" s="2935"/>
      <c r="W78" s="2935"/>
      <c r="X78" s="2935"/>
      <c r="Y78" s="2935"/>
      <c r="Z78" s="2935"/>
      <c r="AA78" s="2935"/>
      <c r="AB78" s="2935"/>
      <c r="AC78" s="2935"/>
      <c r="AD78" s="2935"/>
    </row>
    <row r="79" spans="1:30" ht="15.75" thickTop="1">
      <c r="A79" s="490"/>
      <c r="B79" s="494" t="s">
        <v>2547</v>
      </c>
      <c r="C79" s="534" t="str">
        <f>C80&amp;"(含)"&amp;"-"&amp;D80</f>
        <v>0.5(含)-0.6</v>
      </c>
      <c r="D79" s="534" t="str">
        <f>D80&amp;"(含)"&amp;"-"&amp;E80</f>
        <v>0.6(含)-0.7</v>
      </c>
      <c r="E79" s="534" t="str">
        <f>E80&amp;"(含)"&amp;"-"&amp;F80</f>
        <v>0.7(含)-0.8</v>
      </c>
      <c r="F79" s="534" t="str">
        <f>F80&amp;"(含)"&amp;"-"&amp;G80</f>
        <v>0.8(含)-0.9</v>
      </c>
      <c r="G79" s="534" t="str">
        <f>G80&amp;"(含)"&amp;"-"&amp;ROUND(H80,0)&amp;"(含)"</f>
        <v>0.9(含)-1(含)</v>
      </c>
      <c r="H79" s="534"/>
      <c r="I79" s="495"/>
      <c r="J79" s="495"/>
      <c r="K79" s="496"/>
      <c r="L79" s="497"/>
      <c r="M79" s="498"/>
      <c r="N79" s="2962"/>
      <c r="O79" s="2962"/>
      <c r="P79" s="2988"/>
      <c r="Q79" s="2949"/>
      <c r="R79" s="2935"/>
      <c r="S79" s="2935"/>
      <c r="T79" s="2935"/>
      <c r="U79" s="2935"/>
      <c r="V79" s="2935"/>
      <c r="W79" s="2935"/>
      <c r="X79" s="2935"/>
      <c r="Y79" s="2935"/>
      <c r="Z79" s="2935"/>
      <c r="AA79" s="2935"/>
      <c r="AB79" s="2935"/>
      <c r="AC79" s="2935"/>
      <c r="AD79" s="2935"/>
    </row>
    <row r="80" spans="1:30" ht="15">
      <c r="A80" s="490"/>
      <c r="B80" s="502"/>
      <c r="C80" s="559">
        <v>0.5</v>
      </c>
      <c r="D80" s="559">
        <v>0.6</v>
      </c>
      <c r="E80" s="559">
        <v>0.7</v>
      </c>
      <c r="F80" s="559">
        <v>0.8</v>
      </c>
      <c r="G80" s="559">
        <v>0.9</v>
      </c>
      <c r="H80" s="559">
        <v>1.0001</v>
      </c>
      <c r="I80" s="615"/>
      <c r="J80" s="615"/>
      <c r="K80" s="623"/>
      <c r="L80" s="624"/>
      <c r="M80" s="625"/>
      <c r="N80" s="2962"/>
      <c r="O80" s="2962"/>
      <c r="P80" s="2988"/>
      <c r="Q80" s="2949"/>
      <c r="R80" s="2935"/>
      <c r="S80" s="2935"/>
      <c r="T80" s="2935"/>
      <c r="U80" s="2935"/>
      <c r="V80" s="2935"/>
      <c r="W80" s="2935"/>
      <c r="X80" s="2935"/>
      <c r="Y80" s="2935"/>
      <c r="Z80" s="2935"/>
      <c r="AA80" s="2935"/>
      <c r="AB80" s="2935"/>
      <c r="AC80" s="2935"/>
      <c r="AD80" s="2935"/>
    </row>
    <row r="81" spans="1:30" s="429" customFormat="1" ht="15.75" thickBot="1">
      <c r="A81" s="509"/>
      <c r="B81" s="499"/>
      <c r="C81" s="538">
        <v>100</v>
      </c>
      <c r="D81" s="500">
        <f t="shared" ref="D81:M81" si="18">C81+$K27</f>
        <v>100</v>
      </c>
      <c r="E81" s="500">
        <f t="shared" si="18"/>
        <v>100</v>
      </c>
      <c r="F81" s="500">
        <f t="shared" si="18"/>
        <v>100</v>
      </c>
      <c r="G81" s="500">
        <f t="shared" si="18"/>
        <v>100</v>
      </c>
      <c r="H81" s="500">
        <f t="shared" si="18"/>
        <v>100</v>
      </c>
      <c r="I81" s="500">
        <f t="shared" si="18"/>
        <v>100</v>
      </c>
      <c r="J81" s="500">
        <f t="shared" si="18"/>
        <v>100</v>
      </c>
      <c r="K81" s="500">
        <f t="shared" si="18"/>
        <v>100</v>
      </c>
      <c r="L81" s="500">
        <f t="shared" si="18"/>
        <v>100</v>
      </c>
      <c r="M81" s="500">
        <f t="shared" si="18"/>
        <v>100</v>
      </c>
      <c r="N81" s="2964"/>
      <c r="O81" s="2964"/>
      <c r="P81" s="2989"/>
      <c r="Q81" s="2956"/>
      <c r="R81" s="2957"/>
      <c r="S81" s="2957"/>
      <c r="T81" s="2957"/>
      <c r="U81" s="2957"/>
      <c r="V81" s="2957"/>
      <c r="W81" s="2957"/>
      <c r="X81" s="2957"/>
      <c r="Y81" s="2957"/>
      <c r="Z81" s="2957"/>
      <c r="AA81" s="2957"/>
      <c r="AB81" s="2957"/>
      <c r="AC81" s="2957"/>
      <c r="AD81" s="2957"/>
    </row>
    <row r="82" spans="1:30" ht="15" thickTop="1">
      <c r="A82" s="555"/>
      <c r="B82" s="502" t="s">
        <v>2548</v>
      </c>
      <c r="C82" s="510"/>
      <c r="D82" s="510"/>
      <c r="E82" s="539"/>
      <c r="F82" s="539"/>
      <c r="G82" s="539"/>
      <c r="H82" s="539"/>
      <c r="I82" s="539"/>
      <c r="J82" s="539"/>
      <c r="K82" s="540"/>
      <c r="L82" s="541"/>
      <c r="M82" s="542"/>
      <c r="N82" s="2963"/>
      <c r="O82" s="2963"/>
      <c r="P82" s="2988"/>
      <c r="Q82" s="2949"/>
      <c r="R82" s="2935"/>
      <c r="S82" s="2935"/>
      <c r="T82" s="2935"/>
      <c r="U82" s="2935"/>
      <c r="V82" s="2935"/>
      <c r="W82" s="2935"/>
      <c r="X82" s="2935"/>
      <c r="Y82" s="2935"/>
      <c r="Z82" s="2935"/>
      <c r="AA82" s="2935"/>
      <c r="AB82" s="2935"/>
      <c r="AC82" s="2935"/>
      <c r="AD82" s="2935"/>
    </row>
    <row r="83" spans="1:30" ht="15.75" thickBot="1">
      <c r="A83" s="490"/>
      <c r="B83" s="499"/>
      <c r="C83" s="500">
        <v>100</v>
      </c>
      <c r="D83" s="500">
        <f t="shared" ref="D83:M83" si="19">C83-$K28</f>
        <v>100</v>
      </c>
      <c r="E83" s="500">
        <f t="shared" si="19"/>
        <v>100</v>
      </c>
      <c r="F83" s="500">
        <f t="shared" si="19"/>
        <v>100</v>
      </c>
      <c r="G83" s="500">
        <f t="shared" si="19"/>
        <v>100</v>
      </c>
      <c r="H83" s="500">
        <f t="shared" si="19"/>
        <v>100</v>
      </c>
      <c r="I83" s="500">
        <f t="shared" si="19"/>
        <v>100</v>
      </c>
      <c r="J83" s="500">
        <f t="shared" si="19"/>
        <v>100</v>
      </c>
      <c r="K83" s="500">
        <f t="shared" si="19"/>
        <v>100</v>
      </c>
      <c r="L83" s="500">
        <f t="shared" si="19"/>
        <v>100</v>
      </c>
      <c r="M83" s="501">
        <f t="shared" si="19"/>
        <v>100</v>
      </c>
      <c r="N83" s="2964"/>
      <c r="O83" s="2964"/>
      <c r="P83" s="2988"/>
      <c r="Q83" s="2949"/>
      <c r="R83" s="2935"/>
      <c r="S83" s="2935"/>
      <c r="T83" s="2935"/>
      <c r="U83" s="2935"/>
      <c r="V83" s="2935"/>
      <c r="W83" s="2935"/>
      <c r="X83" s="2935"/>
      <c r="Y83" s="2935"/>
      <c r="Z83" s="2935"/>
      <c r="AA83" s="2935"/>
      <c r="AB83" s="2935"/>
      <c r="AC83" s="2935"/>
      <c r="AD83" s="2935"/>
    </row>
    <row r="84" spans="1:30" ht="15" thickTop="1">
      <c r="A84" s="555"/>
      <c r="B84" s="494" t="s">
        <v>2556</v>
      </c>
      <c r="C84" s="510"/>
      <c r="D84" s="510"/>
      <c r="E84" s="510"/>
      <c r="F84" s="510"/>
      <c r="G84" s="510"/>
      <c r="H84" s="510"/>
      <c r="I84" s="539"/>
      <c r="J84" s="539"/>
      <c r="K84" s="540"/>
      <c r="L84" s="541"/>
      <c r="M84" s="542"/>
      <c r="N84" s="2963"/>
      <c r="O84" s="2963"/>
      <c r="P84" s="2988"/>
      <c r="Q84" s="2949"/>
      <c r="R84" s="2935"/>
      <c r="S84" s="2935"/>
      <c r="T84" s="2935"/>
      <c r="U84" s="2935"/>
      <c r="V84" s="2935"/>
      <c r="W84" s="2935"/>
      <c r="X84" s="2935"/>
      <c r="Y84" s="2935"/>
      <c r="Z84" s="2935"/>
      <c r="AA84" s="2935"/>
      <c r="AB84" s="2935"/>
      <c r="AC84" s="2935"/>
      <c r="AD84" s="2935"/>
    </row>
    <row r="85" spans="1:30" ht="15.75" thickBot="1">
      <c r="A85" s="490"/>
      <c r="B85" s="499"/>
      <c r="C85" s="538">
        <v>100</v>
      </c>
      <c r="D85" s="500">
        <f t="shared" ref="D85:M85" si="20">C85+$K29</f>
        <v>100</v>
      </c>
      <c r="E85" s="500">
        <f t="shared" si="20"/>
        <v>100</v>
      </c>
      <c r="F85" s="500">
        <f t="shared" si="20"/>
        <v>100</v>
      </c>
      <c r="G85" s="500">
        <f t="shared" si="20"/>
        <v>100</v>
      </c>
      <c r="H85" s="500">
        <f t="shared" si="20"/>
        <v>100</v>
      </c>
      <c r="I85" s="500">
        <f t="shared" si="20"/>
        <v>100</v>
      </c>
      <c r="J85" s="500">
        <f t="shared" si="20"/>
        <v>100</v>
      </c>
      <c r="K85" s="500">
        <f t="shared" si="20"/>
        <v>100</v>
      </c>
      <c r="L85" s="500">
        <f t="shared" si="20"/>
        <v>100</v>
      </c>
      <c r="M85" s="500">
        <f t="shared" si="20"/>
        <v>100</v>
      </c>
      <c r="N85" s="2964"/>
      <c r="O85" s="2964"/>
      <c r="P85" s="2988"/>
      <c r="Q85" s="2949"/>
      <c r="R85" s="2935"/>
      <c r="S85" s="2935"/>
      <c r="T85" s="2935"/>
      <c r="U85" s="2935"/>
      <c r="V85" s="2935"/>
      <c r="W85" s="2935"/>
      <c r="X85" s="2935"/>
      <c r="Y85" s="2935"/>
      <c r="Z85" s="2935"/>
      <c r="AA85" s="2935"/>
      <c r="AB85" s="2935"/>
      <c r="AC85" s="2935"/>
      <c r="AD85" s="2935"/>
    </row>
    <row r="86" spans="1:30" ht="15" thickTop="1">
      <c r="A86" s="555"/>
      <c r="B86" s="502" t="s">
        <v>2557</v>
      </c>
      <c r="C86" s="534" t="str">
        <f t="shared" ref="C86:L86" si="21">C87&amp;"(含)"&amp;"-"&amp;D87</f>
        <v>(含)-</v>
      </c>
      <c r="D86" s="534" t="str">
        <f t="shared" si="21"/>
        <v>(含)-</v>
      </c>
      <c r="E86" s="534" t="str">
        <f t="shared" si="21"/>
        <v>(含)-</v>
      </c>
      <c r="F86" s="534" t="str">
        <f t="shared" si="21"/>
        <v>(含)-</v>
      </c>
      <c r="G86" s="534" t="str">
        <f t="shared" si="21"/>
        <v>(含)-</v>
      </c>
      <c r="H86" s="534" t="str">
        <f t="shared" si="21"/>
        <v>(含)-</v>
      </c>
      <c r="I86" s="534" t="str">
        <f t="shared" si="21"/>
        <v>(含)-</v>
      </c>
      <c r="J86" s="534" t="str">
        <f t="shared" si="21"/>
        <v>(含)-</v>
      </c>
      <c r="K86" s="534" t="str">
        <f t="shared" si="21"/>
        <v>(含)-</v>
      </c>
      <c r="L86" s="534" t="str">
        <f t="shared" si="21"/>
        <v>(含)-</v>
      </c>
      <c r="M86" s="577" t="str">
        <f>M87&amp;"(含)"&amp;"-"&amp;P87</f>
        <v>(含)-</v>
      </c>
      <c r="N86" s="2963"/>
      <c r="O86" s="2963"/>
      <c r="P86" s="2988"/>
      <c r="Q86" s="2949"/>
      <c r="R86" s="2935"/>
      <c r="S86" s="2935"/>
      <c r="T86" s="2935"/>
      <c r="U86" s="2935"/>
      <c r="V86" s="2935"/>
      <c r="W86" s="2935"/>
      <c r="X86" s="2935"/>
      <c r="Y86" s="2935"/>
      <c r="Z86" s="2935"/>
      <c r="AA86" s="2935"/>
      <c r="AB86" s="2935"/>
      <c r="AC86" s="2935"/>
      <c r="AD86" s="2935"/>
    </row>
    <row r="87" spans="1:30">
      <c r="A87" s="555"/>
      <c r="B87" s="502"/>
      <c r="C87" s="551"/>
      <c r="D87" s="551"/>
      <c r="E87" s="551"/>
      <c r="F87" s="551"/>
      <c r="G87" s="551"/>
      <c r="H87" s="551"/>
      <c r="I87" s="551"/>
      <c r="J87" s="552"/>
      <c r="K87" s="552"/>
      <c r="L87" s="553"/>
      <c r="M87" s="554"/>
      <c r="N87" s="2963"/>
      <c r="O87" s="2963"/>
      <c r="P87" s="2988"/>
      <c r="Q87" s="2949"/>
      <c r="R87" s="2935"/>
      <c r="S87" s="2935"/>
      <c r="T87" s="2935"/>
      <c r="U87" s="2935"/>
      <c r="V87" s="2935"/>
      <c r="W87" s="2935"/>
      <c r="X87" s="2935"/>
      <c r="Y87" s="2935"/>
      <c r="Z87" s="2935"/>
      <c r="AA87" s="2935"/>
      <c r="AB87" s="2935"/>
      <c r="AC87" s="2935"/>
      <c r="AD87" s="2935"/>
    </row>
    <row r="88" spans="1:30" ht="15.75" thickBot="1">
      <c r="A88" s="490"/>
      <c r="B88" s="499"/>
      <c r="C88" s="516"/>
      <c r="D88" s="492"/>
      <c r="E88" s="492"/>
      <c r="F88" s="492"/>
      <c r="G88" s="492"/>
      <c r="H88" s="492"/>
      <c r="I88" s="492"/>
      <c r="J88" s="492"/>
      <c r="K88" s="492"/>
      <c r="L88" s="492"/>
      <c r="M88" s="492"/>
      <c r="N88" s="2964"/>
      <c r="O88" s="2964"/>
      <c r="P88" s="2988"/>
      <c r="Q88" s="2949"/>
      <c r="R88" s="2935"/>
      <c r="S88" s="2935"/>
      <c r="T88" s="2935"/>
      <c r="U88" s="2935"/>
      <c r="V88" s="2935"/>
      <c r="W88" s="2935"/>
      <c r="X88" s="2935"/>
      <c r="Y88" s="2935"/>
      <c r="Z88" s="2935"/>
      <c r="AA88" s="2935"/>
      <c r="AB88" s="2935"/>
      <c r="AC88" s="2935"/>
      <c r="AD88" s="2935"/>
    </row>
    <row r="89" spans="1:30" s="429" customFormat="1" ht="15" thickTop="1">
      <c r="A89" s="549"/>
      <c r="B89" s="494" t="s">
        <v>2558</v>
      </c>
      <c r="C89" s="510"/>
      <c r="D89" s="510"/>
      <c r="E89" s="510"/>
      <c r="F89" s="510"/>
      <c r="G89" s="510"/>
      <c r="H89" s="510"/>
      <c r="I89" s="510"/>
      <c r="J89" s="510"/>
      <c r="K89" s="510"/>
      <c r="L89" s="510"/>
      <c r="M89" s="537"/>
      <c r="N89" s="2965"/>
      <c r="O89" s="2965"/>
      <c r="P89" s="2989"/>
      <c r="Q89" s="2956"/>
      <c r="R89" s="2957"/>
      <c r="S89" s="2957"/>
      <c r="T89" s="2957"/>
      <c r="U89" s="2957"/>
      <c r="V89" s="2957"/>
      <c r="W89" s="2957"/>
      <c r="X89" s="2957"/>
      <c r="Y89" s="2957"/>
      <c r="Z89" s="2957"/>
      <c r="AA89" s="2957"/>
      <c r="AB89" s="2957"/>
      <c r="AC89" s="2957"/>
      <c r="AD89" s="2957"/>
    </row>
    <row r="90" spans="1:30" s="429" customFormat="1" ht="15.75" thickBot="1">
      <c r="A90" s="509"/>
      <c r="B90" s="499"/>
      <c r="C90" s="516"/>
      <c r="D90" s="492"/>
      <c r="E90" s="492"/>
      <c r="F90" s="492"/>
      <c r="G90" s="492"/>
      <c r="H90" s="492"/>
      <c r="I90" s="492"/>
      <c r="J90" s="492"/>
      <c r="K90" s="492"/>
      <c r="L90" s="492"/>
      <c r="M90" s="493"/>
      <c r="N90" s="2965"/>
      <c r="O90" s="2965"/>
      <c r="P90" s="2989"/>
      <c r="Q90" s="2956"/>
      <c r="R90" s="2957"/>
      <c r="S90" s="2957"/>
      <c r="T90" s="2957"/>
      <c r="U90" s="2957"/>
      <c r="V90" s="2957"/>
      <c r="W90" s="2957"/>
      <c r="X90" s="2957"/>
      <c r="Y90" s="2957"/>
      <c r="Z90" s="2957"/>
      <c r="AA90" s="2957"/>
      <c r="AB90" s="2957"/>
      <c r="AC90" s="2957"/>
      <c r="AD90" s="2957"/>
    </row>
    <row r="91" spans="1:30" ht="15" thickTop="1">
      <c r="A91" s="555"/>
      <c r="B91" s="494">
        <f>B32</f>
        <v>111</v>
      </c>
      <c r="C91" s="505"/>
      <c r="D91" s="505"/>
      <c r="E91" s="505"/>
      <c r="F91" s="505"/>
      <c r="G91" s="510"/>
      <c r="H91" s="511"/>
      <c r="I91" s="511"/>
      <c r="J91" s="511"/>
      <c r="K91" s="511"/>
      <c r="L91" s="512"/>
      <c r="M91" s="513"/>
      <c r="N91" s="2963"/>
      <c r="O91" s="2963"/>
      <c r="P91" s="2988"/>
      <c r="Q91" s="2949"/>
      <c r="R91" s="2935"/>
      <c r="S91" s="2935"/>
      <c r="T91" s="2935"/>
      <c r="U91" s="2935"/>
      <c r="V91" s="2935"/>
      <c r="W91" s="2935"/>
      <c r="X91" s="2935"/>
      <c r="Y91" s="2935"/>
      <c r="Z91" s="2935"/>
      <c r="AA91" s="2935"/>
      <c r="AB91" s="2935"/>
      <c r="AC91" s="2935"/>
      <c r="AD91" s="2935"/>
    </row>
    <row r="92" spans="1:30" ht="15.75" thickBot="1">
      <c r="A92" s="490"/>
      <c r="B92" s="499"/>
      <c r="C92" s="516"/>
      <c r="D92" s="492"/>
      <c r="E92" s="492"/>
      <c r="F92" s="492"/>
      <c r="G92" s="516"/>
      <c r="H92" s="518"/>
      <c r="I92" s="518"/>
      <c r="J92" s="518"/>
      <c r="K92" s="518"/>
      <c r="L92" s="518"/>
      <c r="M92" s="519"/>
      <c r="N92" s="2964"/>
      <c r="O92" s="2964"/>
      <c r="P92" s="2988"/>
      <c r="Q92" s="2949"/>
      <c r="R92" s="2935"/>
      <c r="S92" s="2935"/>
      <c r="T92" s="2935"/>
      <c r="U92" s="2935"/>
      <c r="V92" s="2935"/>
      <c r="W92" s="2935"/>
      <c r="X92" s="2935"/>
      <c r="Y92" s="2935"/>
      <c r="Z92" s="2935"/>
      <c r="AA92" s="2935"/>
      <c r="AB92" s="2935"/>
      <c r="AC92" s="2935"/>
      <c r="AD92" s="2935"/>
    </row>
    <row r="93" spans="1:30" ht="15" thickTop="1">
      <c r="A93" s="555"/>
      <c r="B93" s="494">
        <f>B33</f>
        <v>111</v>
      </c>
      <c r="C93" s="505"/>
      <c r="D93" s="505"/>
      <c r="E93" s="505"/>
      <c r="F93" s="505"/>
      <c r="G93" s="510"/>
      <c r="H93" s="511"/>
      <c r="I93" s="511"/>
      <c r="J93" s="511"/>
      <c r="K93" s="511"/>
      <c r="L93" s="512"/>
      <c r="M93" s="513"/>
      <c r="N93" s="2963"/>
      <c r="O93" s="2963"/>
      <c r="P93" s="2988"/>
      <c r="Q93" s="2949"/>
      <c r="R93" s="2935"/>
      <c r="S93" s="2935"/>
      <c r="T93" s="2935"/>
      <c r="U93" s="2935"/>
      <c r="V93" s="2935"/>
      <c r="W93" s="2935"/>
      <c r="X93" s="2935"/>
      <c r="Y93" s="2935"/>
      <c r="Z93" s="2935"/>
      <c r="AA93" s="2935"/>
      <c r="AB93" s="2935"/>
      <c r="AC93" s="2935"/>
      <c r="AD93" s="2935"/>
    </row>
    <row r="94" spans="1:30" ht="15.75" thickBot="1">
      <c r="A94" s="490"/>
      <c r="B94" s="499"/>
      <c r="C94" s="516"/>
      <c r="D94" s="492"/>
      <c r="E94" s="492"/>
      <c r="F94" s="492"/>
      <c r="G94" s="516"/>
      <c r="H94" s="518"/>
      <c r="I94" s="518"/>
      <c r="J94" s="518"/>
      <c r="K94" s="518"/>
      <c r="L94" s="518"/>
      <c r="M94" s="519"/>
      <c r="N94" s="2964"/>
      <c r="O94" s="2964"/>
      <c r="P94" s="2988"/>
      <c r="Q94" s="2949"/>
      <c r="R94" s="2935"/>
      <c r="S94" s="2935"/>
      <c r="T94" s="2935"/>
      <c r="U94" s="2935"/>
      <c r="V94" s="2935"/>
      <c r="W94" s="2935"/>
      <c r="X94" s="2935"/>
      <c r="Y94" s="2935"/>
      <c r="Z94" s="2935"/>
      <c r="AA94" s="2935"/>
      <c r="AB94" s="2935"/>
      <c r="AC94" s="2935"/>
      <c r="AD94" s="2935"/>
    </row>
    <row r="95" spans="1:30" ht="15" thickTop="1">
      <c r="A95" s="555"/>
      <c r="B95" s="591">
        <f>B34</f>
        <v>111</v>
      </c>
      <c r="C95" s="505"/>
      <c r="D95" s="505"/>
      <c r="E95" s="505"/>
      <c r="F95" s="505"/>
      <c r="G95" s="510"/>
      <c r="H95" s="511"/>
      <c r="I95" s="511"/>
      <c r="J95" s="511"/>
      <c r="K95" s="511"/>
      <c r="L95" s="512"/>
      <c r="M95" s="513"/>
      <c r="N95" s="2964"/>
      <c r="O95" s="2964"/>
      <c r="P95" s="2991"/>
      <c r="Q95" s="2978"/>
      <c r="R95" s="2935"/>
      <c r="S95" s="2935"/>
      <c r="T95" s="2935"/>
      <c r="U95" s="2935"/>
      <c r="V95" s="2935"/>
      <c r="W95" s="2935"/>
      <c r="X95" s="2935"/>
      <c r="Y95" s="2935"/>
      <c r="Z95" s="2935"/>
      <c r="AA95" s="2935"/>
      <c r="AB95" s="2935"/>
      <c r="AC95" s="2935"/>
      <c r="AD95" s="2935"/>
    </row>
    <row r="96" spans="1:30" ht="15.75" thickBot="1">
      <c r="A96" s="490"/>
      <c r="B96" s="499"/>
      <c r="C96" s="516"/>
      <c r="D96" s="516"/>
      <c r="E96" s="516"/>
      <c r="F96" s="516"/>
      <c r="G96" s="516"/>
      <c r="H96" s="518"/>
      <c r="I96" s="518"/>
      <c r="J96" s="518"/>
      <c r="K96" s="518"/>
      <c r="L96" s="518"/>
      <c r="M96" s="519"/>
      <c r="N96" s="2964"/>
      <c r="O96" s="2964"/>
      <c r="P96" s="2988"/>
      <c r="Q96" s="2949"/>
      <c r="R96" s="2935"/>
      <c r="S96" s="2935"/>
      <c r="T96" s="2935"/>
      <c r="U96" s="2935"/>
      <c r="V96" s="2935"/>
      <c r="W96" s="2935"/>
      <c r="X96" s="2935"/>
      <c r="Y96" s="2935"/>
      <c r="Z96" s="2935"/>
      <c r="AA96" s="2935"/>
      <c r="AB96" s="2935"/>
      <c r="AC96" s="2935"/>
      <c r="AD96" s="2935"/>
    </row>
    <row r="97" spans="1:30" ht="15" thickTop="1">
      <c r="N97" s="2935"/>
      <c r="O97" s="2935"/>
      <c r="P97" s="2935"/>
      <c r="Q97" s="2935"/>
      <c r="R97" s="2935"/>
      <c r="S97" s="2935"/>
      <c r="T97" s="2935"/>
      <c r="U97" s="2935"/>
      <c r="V97" s="2935"/>
      <c r="W97" s="2935"/>
      <c r="X97" s="2935"/>
      <c r="Y97" s="2935"/>
      <c r="Z97" s="2935"/>
      <c r="AA97" s="2935"/>
      <c r="AB97" s="2935"/>
      <c r="AC97" s="2935"/>
      <c r="AD97" s="2935"/>
    </row>
    <row r="98" spans="1:30">
      <c r="A98" s="1059"/>
      <c r="B98" s="1059"/>
      <c r="C98" s="1059"/>
      <c r="D98" s="1059"/>
      <c r="E98" s="1059"/>
      <c r="F98" s="1059"/>
      <c r="G98" s="1059"/>
      <c r="H98" s="1059"/>
      <c r="I98" s="1059"/>
      <c r="J98" s="1059"/>
      <c r="K98" s="1060"/>
      <c r="L98" s="1061"/>
      <c r="M98" s="1059"/>
      <c r="N98" s="2935"/>
      <c r="O98" s="2935"/>
      <c r="P98" s="2935"/>
      <c r="Q98" s="2935"/>
      <c r="R98" s="2935"/>
      <c r="S98" s="2935"/>
      <c r="T98" s="2935"/>
      <c r="U98" s="2935"/>
      <c r="V98" s="2935"/>
      <c r="W98" s="2935"/>
      <c r="X98" s="2935"/>
      <c r="Y98" s="2935"/>
      <c r="Z98" s="2935"/>
      <c r="AA98" s="2935"/>
      <c r="AB98" s="2935"/>
      <c r="AC98" s="2935"/>
      <c r="AD98" s="2935"/>
    </row>
    <row r="99" spans="1:30">
      <c r="A99" s="1059"/>
      <c r="B99" s="1059"/>
      <c r="C99" s="1059"/>
      <c r="D99" s="1059"/>
      <c r="E99" s="1059"/>
      <c r="F99" s="1059"/>
      <c r="G99" s="1059"/>
      <c r="H99" s="1059"/>
      <c r="I99" s="1059"/>
      <c r="J99" s="1059"/>
      <c r="K99" s="1060"/>
      <c r="L99" s="1061"/>
      <c r="M99" s="1059"/>
      <c r="N99" s="2935"/>
      <c r="O99" s="2935"/>
      <c r="P99" s="2935"/>
      <c r="Q99" s="2935"/>
      <c r="R99" s="2935"/>
      <c r="S99" s="2935"/>
      <c r="T99" s="2935"/>
      <c r="U99" s="2935"/>
      <c r="V99" s="2935"/>
      <c r="W99" s="2935"/>
      <c r="X99" s="2935"/>
      <c r="Y99" s="2935"/>
      <c r="Z99" s="2935"/>
      <c r="AA99" s="2935"/>
      <c r="AB99" s="2935"/>
      <c r="AC99" s="2935"/>
      <c r="AD99" s="2935"/>
    </row>
    <row r="100" spans="1:30">
      <c r="A100" s="1059"/>
      <c r="B100" s="1059"/>
      <c r="C100" s="1059"/>
      <c r="D100" s="1059"/>
      <c r="E100" s="1059"/>
      <c r="F100" s="1059"/>
      <c r="G100" s="1059"/>
      <c r="H100" s="1059"/>
      <c r="I100" s="1059"/>
      <c r="J100" s="1059"/>
      <c r="K100" s="1060"/>
      <c r="L100" s="1061"/>
      <c r="M100" s="1059"/>
      <c r="N100" s="2935"/>
      <c r="O100" s="2935"/>
      <c r="P100" s="2935"/>
      <c r="Q100" s="2935"/>
      <c r="R100" s="2935"/>
      <c r="S100" s="2935"/>
      <c r="T100" s="2935"/>
      <c r="U100" s="2935"/>
      <c r="V100" s="2935"/>
      <c r="W100" s="2935"/>
      <c r="X100" s="2935"/>
      <c r="Y100" s="2935"/>
      <c r="Z100" s="2935"/>
      <c r="AA100" s="2935"/>
      <c r="AB100" s="2935"/>
      <c r="AC100" s="2935"/>
      <c r="AD100" s="2935"/>
    </row>
    <row r="101" spans="1:30">
      <c r="A101" s="1059"/>
      <c r="B101" s="1059"/>
      <c r="C101" s="1059"/>
      <c r="D101" s="1059"/>
      <c r="E101" s="1059"/>
      <c r="F101" s="1059"/>
      <c r="G101" s="1059"/>
      <c r="H101" s="1059"/>
      <c r="I101" s="1059"/>
      <c r="J101" s="1059"/>
      <c r="K101" s="1060"/>
      <c r="L101" s="1061"/>
      <c r="M101" s="1059"/>
      <c r="N101" s="2935"/>
      <c r="O101" s="2935"/>
      <c r="P101" s="2935"/>
      <c r="Q101" s="2935"/>
      <c r="R101" s="2935"/>
      <c r="S101" s="2935"/>
      <c r="T101" s="2935"/>
      <c r="U101" s="2935"/>
      <c r="V101" s="2935"/>
      <c r="W101" s="2935"/>
      <c r="X101" s="2935"/>
      <c r="Y101" s="2935"/>
      <c r="Z101" s="2935"/>
      <c r="AA101" s="2935"/>
      <c r="AB101" s="2935"/>
      <c r="AC101" s="2935"/>
      <c r="AD101" s="2935"/>
    </row>
    <row r="102" spans="1:30">
      <c r="A102" s="1059"/>
      <c r="B102" s="1059"/>
      <c r="C102" s="1059"/>
      <c r="D102" s="1059"/>
      <c r="E102" s="1059"/>
      <c r="F102" s="1059"/>
      <c r="G102" s="1059"/>
      <c r="H102" s="1059"/>
      <c r="I102" s="1059"/>
      <c r="J102" s="1059"/>
      <c r="K102" s="1060"/>
      <c r="L102" s="1061"/>
      <c r="M102" s="1059"/>
      <c r="N102" s="2935"/>
      <c r="O102" s="2935"/>
      <c r="P102" s="2935"/>
      <c r="Q102" s="2935"/>
      <c r="R102" s="2935"/>
      <c r="S102" s="2935"/>
      <c r="T102" s="2935"/>
      <c r="U102" s="2935"/>
      <c r="V102" s="2935"/>
      <c r="W102" s="2935"/>
      <c r="X102" s="2935"/>
      <c r="Y102" s="2935"/>
      <c r="Z102" s="2935"/>
      <c r="AA102" s="2935"/>
      <c r="AB102" s="2935"/>
      <c r="AC102" s="2935"/>
      <c r="AD102" s="2935"/>
    </row>
    <row r="103" spans="1:30">
      <c r="A103" s="1059"/>
      <c r="B103" s="1059"/>
      <c r="C103" s="1059"/>
      <c r="D103" s="1059"/>
      <c r="E103" s="1059"/>
      <c r="F103" s="1059"/>
      <c r="G103" s="1059"/>
      <c r="H103" s="1059"/>
      <c r="I103" s="1059"/>
      <c r="J103" s="1059"/>
      <c r="K103" s="1060"/>
      <c r="L103" s="1061"/>
      <c r="M103" s="1059"/>
      <c r="N103" s="1059"/>
      <c r="O103" s="1059"/>
      <c r="P103" s="2935"/>
      <c r="Q103" s="2935"/>
      <c r="R103" s="2935"/>
      <c r="S103" s="2935"/>
      <c r="T103" s="2935"/>
      <c r="U103" s="2935"/>
      <c r="V103" s="2935"/>
      <c r="W103" s="2935"/>
      <c r="X103" s="2935"/>
      <c r="Y103" s="2935"/>
      <c r="Z103" s="2935"/>
      <c r="AA103" s="2935"/>
      <c r="AB103" s="2935"/>
      <c r="AC103" s="2935"/>
      <c r="AD103" s="2935"/>
    </row>
    <row r="104" spans="1:30">
      <c r="A104" s="1059"/>
      <c r="B104" s="1059"/>
      <c r="C104" s="1059"/>
      <c r="D104" s="1059"/>
      <c r="E104" s="1059"/>
      <c r="F104" s="1059"/>
      <c r="G104" s="1059"/>
      <c r="H104" s="1059"/>
      <c r="I104" s="1059"/>
      <c r="J104" s="1059"/>
      <c r="K104" s="1060"/>
      <c r="L104" s="1061"/>
      <c r="M104" s="1059"/>
      <c r="N104" s="1059"/>
      <c r="O104" s="1059"/>
      <c r="P104" s="1059"/>
      <c r="Q104" s="1059"/>
      <c r="R104" s="1059"/>
      <c r="S104" s="1059"/>
      <c r="T104" s="1059"/>
    </row>
    <row r="105" spans="1:30">
      <c r="A105" s="1059"/>
      <c r="B105" s="1059"/>
      <c r="C105" s="1059"/>
      <c r="D105" s="1059"/>
      <c r="E105" s="1059"/>
      <c r="F105" s="1059"/>
      <c r="G105" s="1059"/>
      <c r="H105" s="1059"/>
      <c r="I105" s="1059"/>
      <c r="J105" s="1059"/>
      <c r="K105" s="1060"/>
      <c r="L105" s="1061"/>
      <c r="M105" s="1059"/>
      <c r="N105" s="1059"/>
      <c r="O105" s="1059"/>
      <c r="P105" s="1059"/>
      <c r="Q105" s="1059"/>
      <c r="R105" s="1059"/>
      <c r="S105" s="1059"/>
      <c r="T105" s="1059"/>
    </row>
    <row r="106" spans="1:30">
      <c r="A106" s="1059"/>
      <c r="B106" s="1059"/>
      <c r="C106" s="1059"/>
      <c r="D106" s="1059"/>
      <c r="E106" s="1059"/>
      <c r="F106" s="1059"/>
      <c r="G106" s="1059"/>
      <c r="H106" s="1059"/>
      <c r="I106" s="1059"/>
      <c r="J106" s="1059"/>
      <c r="K106" s="1060"/>
      <c r="L106" s="1061"/>
      <c r="M106" s="1059"/>
      <c r="N106" s="1059"/>
      <c r="O106" s="1059"/>
      <c r="P106" s="1059"/>
      <c r="Q106" s="1059"/>
      <c r="R106" s="1059"/>
      <c r="S106" s="1059"/>
      <c r="T106" s="1059"/>
    </row>
    <row r="107" spans="1:30">
      <c r="A107" s="1059"/>
      <c r="B107" s="1059"/>
      <c r="C107" s="1059"/>
      <c r="D107" s="1059"/>
      <c r="E107" s="1059"/>
      <c r="F107" s="1059"/>
      <c r="G107" s="1059"/>
      <c r="H107" s="1059"/>
      <c r="I107" s="1059"/>
      <c r="J107" s="1059"/>
      <c r="K107" s="1060"/>
      <c r="L107" s="1061"/>
      <c r="M107" s="1059"/>
      <c r="N107" s="1059"/>
      <c r="O107" s="1059"/>
      <c r="P107" s="1059"/>
      <c r="Q107" s="1059"/>
      <c r="R107" s="1059"/>
      <c r="S107" s="1059"/>
      <c r="T107" s="1059"/>
    </row>
    <row r="108" spans="1:30">
      <c r="A108" s="1059"/>
      <c r="B108" s="1059"/>
      <c r="C108" s="1059"/>
      <c r="D108" s="1059"/>
      <c r="E108" s="1059"/>
      <c r="F108" s="1059"/>
      <c r="G108" s="1059"/>
      <c r="H108" s="1059"/>
      <c r="I108" s="1059"/>
      <c r="J108" s="1059"/>
      <c r="K108" s="1060"/>
      <c r="L108" s="1061"/>
      <c r="M108" s="1059"/>
      <c r="N108" s="1059"/>
      <c r="O108" s="1059"/>
      <c r="P108" s="1059"/>
      <c r="Q108" s="1059"/>
      <c r="R108" s="1059"/>
      <c r="S108" s="1059"/>
      <c r="T108" s="1059"/>
    </row>
    <row r="109" spans="1:30">
      <c r="A109" s="1059"/>
      <c r="B109" s="1059"/>
      <c r="C109" s="1059"/>
      <c r="D109" s="1059"/>
      <c r="E109" s="1059"/>
      <c r="F109" s="1059"/>
      <c r="G109" s="1059"/>
      <c r="H109" s="1059"/>
      <c r="I109" s="1059"/>
      <c r="J109" s="1059"/>
      <c r="K109" s="1060"/>
      <c r="L109" s="1061"/>
      <c r="M109" s="1059"/>
      <c r="N109" s="1059"/>
      <c r="O109" s="1059"/>
      <c r="P109" s="1059"/>
      <c r="Q109" s="1059"/>
      <c r="R109" s="1059"/>
      <c r="S109" s="1059"/>
      <c r="T109" s="1059"/>
    </row>
    <row r="110" spans="1:30">
      <c r="A110" s="1059"/>
      <c r="B110" s="1059"/>
      <c r="C110" s="1059"/>
      <c r="D110" s="1059"/>
      <c r="E110" s="1059"/>
      <c r="F110" s="1059"/>
      <c r="G110" s="1059"/>
      <c r="H110" s="1059"/>
      <c r="I110" s="1059"/>
      <c r="J110" s="1059"/>
      <c r="K110" s="1060"/>
      <c r="L110" s="1061"/>
      <c r="M110" s="1059"/>
      <c r="N110" s="1059"/>
      <c r="O110" s="1059"/>
      <c r="P110" s="1059"/>
      <c r="Q110" s="1059"/>
      <c r="R110" s="1059"/>
      <c r="S110" s="1059"/>
      <c r="T110" s="1059"/>
    </row>
    <row r="111" spans="1:30">
      <c r="A111" s="1059"/>
      <c r="B111" s="1059"/>
      <c r="C111" s="1059"/>
      <c r="D111" s="1059"/>
      <c r="E111" s="1059"/>
      <c r="F111" s="1059"/>
      <c r="G111" s="1059"/>
      <c r="H111" s="1059"/>
      <c r="I111" s="1059"/>
      <c r="J111" s="1059"/>
      <c r="K111" s="1060"/>
      <c r="L111" s="1061"/>
      <c r="M111" s="1059"/>
      <c r="N111" s="1059"/>
      <c r="O111" s="1059"/>
      <c r="P111" s="1059"/>
      <c r="Q111" s="1059"/>
      <c r="R111" s="1059"/>
      <c r="S111" s="1059"/>
      <c r="T111" s="1059"/>
    </row>
    <row r="112" spans="1:30">
      <c r="A112" s="1059"/>
      <c r="B112" s="1059"/>
      <c r="C112" s="1059"/>
      <c r="D112" s="1059"/>
      <c r="E112" s="1059"/>
      <c r="F112" s="1059"/>
      <c r="G112" s="1059"/>
      <c r="H112" s="1059"/>
      <c r="I112" s="1059"/>
      <c r="J112" s="1059"/>
      <c r="K112" s="1060"/>
      <c r="L112" s="1061"/>
      <c r="M112" s="1059"/>
      <c r="N112" s="1059"/>
      <c r="O112" s="1059"/>
      <c r="P112" s="1059"/>
      <c r="Q112" s="1059"/>
      <c r="R112" s="1059"/>
      <c r="S112" s="1059"/>
      <c r="T112" s="1059"/>
    </row>
    <row r="113" spans="1:20">
      <c r="A113" s="1059"/>
      <c r="B113" s="1059"/>
      <c r="C113" s="1059"/>
      <c r="D113" s="1059"/>
      <c r="E113" s="1059"/>
      <c r="F113" s="1059"/>
      <c r="G113" s="1059"/>
      <c r="H113" s="1059"/>
      <c r="I113" s="1059"/>
      <c r="J113" s="1059"/>
      <c r="K113" s="1060"/>
      <c r="L113" s="1061"/>
      <c r="M113" s="1059"/>
      <c r="N113" s="1059"/>
      <c r="O113" s="1059"/>
      <c r="P113" s="1059"/>
      <c r="Q113" s="1059"/>
      <c r="R113" s="1059"/>
      <c r="S113" s="1059"/>
      <c r="T113" s="1059"/>
    </row>
    <row r="114" spans="1:20">
      <c r="A114" s="1059"/>
      <c r="B114" s="1059"/>
      <c r="C114" s="1059"/>
      <c r="D114" s="1059"/>
      <c r="E114" s="1059"/>
      <c r="F114" s="1059"/>
      <c r="G114" s="1059"/>
      <c r="H114" s="1059"/>
      <c r="I114" s="1059"/>
      <c r="J114" s="1059"/>
      <c r="K114" s="1060"/>
      <c r="L114" s="1061"/>
      <c r="M114" s="1059"/>
      <c r="N114" s="1059"/>
      <c r="O114" s="1059"/>
      <c r="P114" s="1059"/>
      <c r="Q114" s="1059"/>
      <c r="R114" s="1059"/>
      <c r="S114" s="1059"/>
      <c r="T114" s="1059"/>
    </row>
    <row r="115" spans="1:20">
      <c r="A115" s="1059"/>
      <c r="B115" s="1059"/>
      <c r="C115" s="1059"/>
      <c r="D115" s="1059"/>
      <c r="E115" s="1059"/>
      <c r="F115" s="1059"/>
      <c r="G115" s="1059"/>
      <c r="H115" s="1059"/>
      <c r="I115" s="1059"/>
      <c r="J115" s="1059"/>
      <c r="K115" s="1060"/>
      <c r="L115" s="1061"/>
      <c r="M115" s="1059"/>
      <c r="N115" s="1059"/>
      <c r="O115" s="1059"/>
      <c r="P115" s="1059"/>
      <c r="Q115" s="1059"/>
      <c r="R115" s="1059"/>
      <c r="S115" s="1059"/>
      <c r="T115" s="1059"/>
    </row>
    <row r="116" spans="1:20">
      <c r="A116" s="1059"/>
      <c r="B116" s="1059"/>
      <c r="C116" s="1059"/>
      <c r="D116" s="1059"/>
      <c r="E116" s="1059"/>
      <c r="F116" s="1059"/>
      <c r="G116" s="1059"/>
      <c r="H116" s="1059"/>
      <c r="I116" s="1059"/>
      <c r="J116" s="1059"/>
      <c r="K116" s="1060"/>
      <c r="L116" s="1061"/>
      <c r="M116" s="1059"/>
      <c r="N116" s="1059"/>
      <c r="O116" s="1059"/>
      <c r="P116" s="1059"/>
      <c r="Q116" s="1059"/>
      <c r="R116" s="1059"/>
      <c r="S116" s="1059"/>
      <c r="T116" s="1059"/>
    </row>
    <row r="117" spans="1:20">
      <c r="A117" s="1059"/>
      <c r="B117" s="1059"/>
      <c r="C117" s="1059"/>
      <c r="D117" s="1059"/>
      <c r="E117" s="1059"/>
      <c r="F117" s="1059"/>
      <c r="G117" s="1059"/>
      <c r="H117" s="1059"/>
      <c r="I117" s="1059"/>
      <c r="J117" s="1059"/>
      <c r="K117" s="1060"/>
      <c r="L117" s="1061"/>
      <c r="M117" s="1059"/>
      <c r="N117" s="1059"/>
      <c r="O117" s="1059"/>
      <c r="P117" s="1059"/>
      <c r="Q117" s="1059"/>
      <c r="R117" s="1059"/>
      <c r="S117" s="1059"/>
      <c r="T117" s="1059"/>
    </row>
    <row r="118" spans="1:20">
      <c r="A118" s="1059"/>
      <c r="B118" s="1059"/>
      <c r="C118" s="1059"/>
      <c r="D118" s="1059"/>
      <c r="E118" s="1059"/>
      <c r="F118" s="1059"/>
      <c r="G118" s="1059"/>
      <c r="H118" s="1059"/>
      <c r="I118" s="1059"/>
      <c r="J118" s="1059"/>
      <c r="K118" s="1060"/>
      <c r="L118" s="1061"/>
      <c r="M118" s="1059"/>
      <c r="N118" s="1059"/>
      <c r="O118" s="1059"/>
      <c r="P118" s="1059"/>
      <c r="Q118" s="1059"/>
      <c r="R118" s="1059"/>
      <c r="S118" s="1059"/>
      <c r="T118" s="1059"/>
    </row>
    <row r="119" spans="1:20">
      <c r="A119" s="1059"/>
      <c r="B119" s="1059"/>
      <c r="C119" s="1059"/>
      <c r="D119" s="1059"/>
      <c r="E119" s="1059"/>
      <c r="F119" s="1059"/>
      <c r="G119" s="1059"/>
      <c r="H119" s="1059"/>
      <c r="I119" s="1059"/>
      <c r="J119" s="1059"/>
      <c r="K119" s="1060"/>
      <c r="L119" s="1061"/>
      <c r="M119" s="1059"/>
      <c r="N119" s="1059"/>
      <c r="O119" s="1059"/>
      <c r="P119" s="1059"/>
      <c r="Q119" s="1059"/>
      <c r="R119" s="1059"/>
      <c r="S119" s="1059"/>
      <c r="T119" s="1059"/>
    </row>
    <row r="120" spans="1:20">
      <c r="A120" s="1059"/>
      <c r="B120" s="1059"/>
      <c r="C120" s="1059"/>
      <c r="D120" s="1059"/>
      <c r="E120" s="1059"/>
      <c r="F120" s="1059"/>
      <c r="G120" s="1059"/>
      <c r="H120" s="1059"/>
      <c r="I120" s="1059"/>
      <c r="J120" s="1059"/>
      <c r="K120" s="1060"/>
      <c r="L120" s="1061"/>
      <c r="M120" s="1059"/>
      <c r="N120" s="1059"/>
      <c r="O120" s="1059"/>
      <c r="P120" s="1059"/>
      <c r="Q120" s="1059"/>
      <c r="R120" s="1059"/>
      <c r="S120" s="1059"/>
      <c r="T120" s="1059"/>
    </row>
    <row r="121" spans="1:20">
      <c r="A121" s="1059"/>
      <c r="B121" s="1059"/>
      <c r="C121" s="1059"/>
      <c r="D121" s="1059"/>
      <c r="E121" s="1059"/>
      <c r="F121" s="1059"/>
      <c r="G121" s="1059"/>
      <c r="H121" s="1059"/>
      <c r="I121" s="1059"/>
      <c r="J121" s="1059"/>
      <c r="K121" s="1060"/>
      <c r="L121" s="1061"/>
      <c r="M121" s="1059"/>
      <c r="N121" s="1059"/>
      <c r="O121" s="1059"/>
      <c r="P121" s="1059"/>
      <c r="Q121" s="1059"/>
      <c r="R121" s="1059"/>
      <c r="S121" s="1059"/>
      <c r="T121" s="1059"/>
    </row>
    <row r="122" spans="1:20">
      <c r="A122" s="1059"/>
      <c r="B122" s="1059"/>
      <c r="C122" s="1059"/>
      <c r="D122" s="1059"/>
      <c r="E122" s="1059"/>
      <c r="F122" s="1059"/>
      <c r="G122" s="1059"/>
      <c r="H122" s="1059"/>
      <c r="I122" s="1059"/>
      <c r="J122" s="1059"/>
      <c r="K122" s="1060"/>
      <c r="L122" s="1061"/>
      <c r="M122" s="1059"/>
      <c r="N122" s="1059"/>
      <c r="O122" s="1059"/>
      <c r="P122" s="1059"/>
      <c r="Q122" s="1059"/>
      <c r="R122" s="1059"/>
      <c r="S122" s="1059"/>
      <c r="T122" s="1059"/>
    </row>
    <row r="123" spans="1:20">
      <c r="A123" s="1059"/>
      <c r="B123" s="1059"/>
      <c r="C123" s="1059"/>
      <c r="D123" s="1059"/>
      <c r="E123" s="1059"/>
      <c r="F123" s="1059"/>
      <c r="G123" s="1059"/>
      <c r="H123" s="1059"/>
      <c r="I123" s="1059"/>
      <c r="J123" s="1059"/>
      <c r="K123" s="1060"/>
      <c r="L123" s="1061"/>
      <c r="M123" s="1059"/>
      <c r="N123" s="1059"/>
      <c r="O123" s="1059"/>
      <c r="P123" s="1059"/>
      <c r="Q123" s="1059"/>
      <c r="R123" s="1059"/>
      <c r="S123" s="1059"/>
      <c r="T123" s="1059"/>
    </row>
    <row r="124" spans="1:20">
      <c r="A124" s="1059"/>
      <c r="B124" s="1059"/>
      <c r="C124" s="1059"/>
      <c r="D124" s="1059"/>
      <c r="E124" s="1059"/>
      <c r="F124" s="1059"/>
      <c r="G124" s="1059"/>
      <c r="H124" s="1059"/>
      <c r="I124" s="1059"/>
      <c r="J124" s="1059"/>
      <c r="K124" s="1060"/>
      <c r="L124" s="1061"/>
      <c r="M124" s="1059"/>
      <c r="N124" s="1059"/>
      <c r="O124" s="1059"/>
      <c r="P124" s="1059"/>
      <c r="Q124" s="1059"/>
      <c r="R124" s="1059"/>
      <c r="S124" s="1059"/>
      <c r="T124" s="1059"/>
    </row>
    <row r="125" spans="1:20">
      <c r="A125" s="1059"/>
      <c r="B125" s="1059"/>
      <c r="C125" s="1059"/>
      <c r="D125" s="1059"/>
      <c r="E125" s="1059"/>
      <c r="F125" s="1059"/>
      <c r="G125" s="1059"/>
      <c r="H125" s="1059"/>
      <c r="I125" s="1059"/>
      <c r="J125" s="1059"/>
      <c r="K125" s="1060"/>
      <c r="L125" s="1061"/>
      <c r="M125" s="1059"/>
      <c r="N125" s="1059"/>
      <c r="O125" s="1059"/>
      <c r="P125" s="1059"/>
      <c r="Q125" s="1059"/>
      <c r="R125" s="1059"/>
      <c r="S125" s="1059"/>
      <c r="T125" s="1059"/>
    </row>
    <row r="126" spans="1:20">
      <c r="A126" s="1059"/>
      <c r="B126" s="1059"/>
      <c r="C126" s="1059"/>
      <c r="D126" s="1059"/>
      <c r="E126" s="1059"/>
      <c r="F126" s="1059"/>
      <c r="G126" s="1059"/>
      <c r="H126" s="1059"/>
      <c r="I126" s="1059"/>
      <c r="J126" s="1059"/>
      <c r="K126" s="1060"/>
      <c r="L126" s="1061"/>
      <c r="M126" s="1059"/>
      <c r="N126" s="1059"/>
      <c r="O126" s="1059"/>
      <c r="P126" s="1059"/>
      <c r="Q126" s="1059"/>
      <c r="R126" s="1059"/>
      <c r="S126" s="1059"/>
      <c r="T126" s="1059"/>
    </row>
    <row r="127" spans="1:20">
      <c r="A127" s="1059"/>
      <c r="B127" s="1059"/>
      <c r="C127" s="1059"/>
      <c r="D127" s="1059"/>
      <c r="E127" s="1059"/>
      <c r="F127" s="1059"/>
      <c r="G127" s="1059"/>
      <c r="H127" s="1059"/>
      <c r="I127" s="1059"/>
      <c r="J127" s="1059"/>
      <c r="K127" s="1060"/>
      <c r="L127" s="1061"/>
      <c r="M127" s="1059"/>
      <c r="N127" s="1059"/>
      <c r="O127" s="1059"/>
      <c r="P127" s="1059"/>
      <c r="Q127" s="1059"/>
      <c r="R127" s="1059"/>
      <c r="S127" s="1059"/>
      <c r="T127" s="1059"/>
    </row>
    <row r="128" spans="1:20">
      <c r="A128" s="1059"/>
      <c r="B128" s="1059"/>
      <c r="C128" s="1059"/>
      <c r="D128" s="1059"/>
      <c r="E128" s="1059"/>
      <c r="F128" s="1059"/>
      <c r="G128" s="1059"/>
      <c r="H128" s="1059"/>
      <c r="I128" s="1059"/>
      <c r="J128" s="1059"/>
      <c r="K128" s="1060"/>
      <c r="L128" s="1061"/>
      <c r="M128" s="1059"/>
      <c r="N128" s="1059"/>
      <c r="O128" s="1059"/>
      <c r="P128" s="1059"/>
      <c r="Q128" s="1059"/>
      <c r="R128" s="1059"/>
      <c r="S128" s="1059"/>
      <c r="T128" s="1059"/>
    </row>
    <row r="129" spans="1:20">
      <c r="A129" s="1059"/>
      <c r="B129" s="1059"/>
      <c r="C129" s="1059"/>
      <c r="D129" s="1059"/>
      <c r="E129" s="1059"/>
      <c r="F129" s="1059"/>
      <c r="G129" s="1059"/>
      <c r="H129" s="1059"/>
      <c r="I129" s="1059"/>
      <c r="J129" s="1059"/>
      <c r="K129" s="1060"/>
      <c r="L129" s="1061"/>
      <c r="M129" s="1059"/>
      <c r="N129" s="1059"/>
      <c r="O129" s="1059"/>
      <c r="P129" s="1059"/>
      <c r="Q129" s="1059"/>
      <c r="R129" s="1059"/>
      <c r="S129" s="1059"/>
      <c r="T129" s="1059"/>
    </row>
    <row r="130" spans="1:20">
      <c r="A130" s="1059"/>
      <c r="B130" s="1059"/>
      <c r="C130" s="1059"/>
      <c r="D130" s="1059"/>
      <c r="E130" s="1059"/>
      <c r="F130" s="1059"/>
      <c r="G130" s="1059"/>
      <c r="H130" s="1059"/>
      <c r="I130" s="1059"/>
      <c r="J130" s="1059"/>
      <c r="K130" s="1060"/>
      <c r="L130" s="1061"/>
      <c r="M130" s="1059"/>
      <c r="N130" s="1059"/>
      <c r="O130" s="1059"/>
      <c r="P130" s="1059"/>
      <c r="Q130" s="1059"/>
      <c r="R130" s="1059"/>
      <c r="S130" s="1059"/>
      <c r="T130" s="1059"/>
    </row>
    <row r="131" spans="1:20">
      <c r="A131" s="1059"/>
      <c r="B131" s="1059"/>
      <c r="C131" s="1059"/>
      <c r="D131" s="1059"/>
      <c r="E131" s="1059"/>
      <c r="F131" s="1059"/>
      <c r="G131" s="1059"/>
      <c r="H131" s="1059"/>
      <c r="I131" s="1059"/>
      <c r="J131" s="1059"/>
      <c r="K131" s="1060"/>
      <c r="L131" s="1061"/>
      <c r="M131" s="1059"/>
      <c r="N131" s="1059"/>
      <c r="O131" s="1059"/>
      <c r="P131" s="1059"/>
      <c r="Q131" s="1059"/>
      <c r="R131" s="1059"/>
      <c r="S131" s="1059"/>
      <c r="T131" s="1059"/>
    </row>
    <row r="132" spans="1:20">
      <c r="A132" s="1059"/>
      <c r="B132" s="1059"/>
      <c r="C132" s="1059"/>
      <c r="D132" s="1059"/>
      <c r="E132" s="1059"/>
      <c r="F132" s="1059"/>
      <c r="G132" s="1059"/>
      <c r="H132" s="1059"/>
      <c r="I132" s="1059"/>
      <c r="J132" s="1059"/>
      <c r="K132" s="1060"/>
      <c r="L132" s="1061"/>
      <c r="M132" s="1059"/>
      <c r="N132" s="1059"/>
      <c r="O132" s="1059"/>
      <c r="P132" s="1059"/>
      <c r="Q132" s="1059"/>
      <c r="R132" s="1059"/>
      <c r="S132" s="1059"/>
      <c r="T132" s="1059"/>
    </row>
    <row r="133" spans="1:20">
      <c r="A133" s="1059"/>
      <c r="B133" s="1059"/>
      <c r="C133" s="1059"/>
      <c r="D133" s="1059"/>
      <c r="E133" s="1059"/>
      <c r="F133" s="1059"/>
      <c r="G133" s="1059"/>
      <c r="H133" s="1059"/>
      <c r="I133" s="1059"/>
      <c r="J133" s="1059"/>
      <c r="K133" s="1060"/>
      <c r="L133" s="1061"/>
      <c r="M133" s="1059"/>
      <c r="N133" s="1059"/>
      <c r="O133" s="1059"/>
      <c r="P133" s="1059"/>
      <c r="Q133" s="1059"/>
      <c r="R133" s="1059"/>
      <c r="S133" s="1059"/>
      <c r="T133" s="1059"/>
    </row>
    <row r="134" spans="1:20">
      <c r="A134" s="1059"/>
      <c r="B134" s="1059"/>
      <c r="C134" s="1059"/>
      <c r="D134" s="1059"/>
      <c r="E134" s="1059"/>
      <c r="F134" s="1059"/>
      <c r="G134" s="1059"/>
      <c r="H134" s="1059"/>
      <c r="I134" s="1059"/>
      <c r="J134" s="1059"/>
      <c r="K134" s="1060"/>
      <c r="L134" s="1061"/>
      <c r="M134" s="1059"/>
      <c r="N134" s="1059"/>
      <c r="O134" s="1059"/>
      <c r="P134" s="1059"/>
      <c r="Q134" s="1059"/>
      <c r="R134" s="1059"/>
      <c r="S134" s="1059"/>
      <c r="T134" s="1059"/>
    </row>
    <row r="135" spans="1:20">
      <c r="A135" s="1059"/>
      <c r="B135" s="1059"/>
      <c r="C135" s="1059"/>
      <c r="D135" s="1059"/>
      <c r="E135" s="1059"/>
      <c r="F135" s="1059"/>
      <c r="G135" s="1059"/>
      <c r="H135" s="1059"/>
      <c r="I135" s="1059"/>
      <c r="J135" s="1059"/>
      <c r="K135" s="1060"/>
      <c r="L135" s="1061"/>
      <c r="M135" s="1059"/>
      <c r="N135" s="1059"/>
      <c r="O135" s="1059"/>
      <c r="P135" s="1059"/>
      <c r="Q135" s="1059"/>
      <c r="R135" s="1059"/>
      <c r="S135" s="1059"/>
      <c r="T135" s="1059"/>
    </row>
    <row r="136" spans="1:20">
      <c r="A136" s="1059"/>
      <c r="B136" s="1059"/>
      <c r="C136" s="1059"/>
      <c r="D136" s="1059"/>
      <c r="E136" s="1059"/>
      <c r="F136" s="1059"/>
      <c r="G136" s="1059"/>
      <c r="H136" s="1059"/>
      <c r="I136" s="1059"/>
      <c r="J136" s="1059"/>
      <c r="K136" s="1060"/>
      <c r="L136" s="1061"/>
      <c r="M136" s="1059"/>
      <c r="N136" s="1059"/>
      <c r="O136" s="1059"/>
      <c r="P136" s="1059"/>
      <c r="Q136" s="1059"/>
      <c r="R136" s="1059"/>
      <c r="S136" s="1059"/>
      <c r="T136" s="1059"/>
    </row>
    <row r="137" spans="1:20">
      <c r="A137" s="1059"/>
      <c r="B137" s="1059"/>
      <c r="C137" s="1059"/>
      <c r="D137" s="1059"/>
      <c r="E137" s="1059"/>
      <c r="F137" s="1059"/>
      <c r="G137" s="1059"/>
      <c r="H137" s="1059"/>
      <c r="I137" s="1059"/>
      <c r="J137" s="1059"/>
      <c r="K137" s="1060"/>
      <c r="L137" s="1061"/>
      <c r="M137" s="1059"/>
      <c r="N137" s="1059"/>
      <c r="O137" s="1059"/>
      <c r="P137" s="1059"/>
      <c r="Q137" s="1059"/>
      <c r="R137" s="1059"/>
      <c r="S137" s="1059"/>
      <c r="T137" s="1059"/>
    </row>
    <row r="138" spans="1:20">
      <c r="A138" s="1059"/>
      <c r="B138" s="1059"/>
      <c r="C138" s="1059"/>
      <c r="D138" s="1059"/>
      <c r="E138" s="1059"/>
      <c r="F138" s="1059"/>
      <c r="G138" s="1059"/>
      <c r="H138" s="1059"/>
      <c r="I138" s="1059"/>
      <c r="J138" s="1059"/>
      <c r="K138" s="1060"/>
      <c r="L138" s="1061"/>
      <c r="M138" s="1059"/>
      <c r="N138" s="1059"/>
      <c r="O138" s="1059"/>
      <c r="P138" s="1059"/>
      <c r="Q138" s="1059"/>
      <c r="R138" s="1059"/>
      <c r="S138" s="1059"/>
      <c r="T138" s="1059"/>
    </row>
    <row r="139" spans="1:20">
      <c r="A139" s="1059"/>
      <c r="B139" s="1059"/>
      <c r="C139" s="1059"/>
      <c r="D139" s="1059"/>
      <c r="E139" s="1059"/>
      <c r="F139" s="1059"/>
      <c r="G139" s="1059"/>
      <c r="H139" s="1059"/>
      <c r="I139" s="1059"/>
      <c r="J139" s="1059"/>
      <c r="K139" s="1060"/>
      <c r="L139" s="1061"/>
      <c r="M139" s="1059"/>
      <c r="N139" s="1059"/>
      <c r="O139" s="1059"/>
      <c r="P139" s="1059"/>
      <c r="Q139" s="1059"/>
      <c r="R139" s="1059"/>
      <c r="S139" s="1059"/>
      <c r="T139" s="1059"/>
    </row>
    <row r="140" spans="1:20">
      <c r="A140" s="1059"/>
      <c r="B140" s="1059"/>
      <c r="C140" s="1059"/>
      <c r="D140" s="1059"/>
      <c r="E140" s="1059"/>
      <c r="F140" s="1059"/>
      <c r="G140" s="1059"/>
      <c r="H140" s="1059"/>
      <c r="I140" s="1059"/>
      <c r="J140" s="1059"/>
      <c r="K140" s="1060"/>
      <c r="L140" s="1061"/>
      <c r="M140" s="1059"/>
      <c r="N140" s="1059"/>
      <c r="O140" s="1059"/>
      <c r="P140" s="1059"/>
      <c r="Q140" s="1059"/>
      <c r="R140" s="1059"/>
      <c r="S140" s="1059"/>
      <c r="T140" s="1059"/>
    </row>
    <row r="141" spans="1:20">
      <c r="A141" s="1059"/>
      <c r="B141" s="1059"/>
      <c r="C141" s="1059"/>
      <c r="D141" s="1059"/>
      <c r="E141" s="1059"/>
      <c r="F141" s="1059"/>
      <c r="G141" s="1059"/>
      <c r="H141" s="1059"/>
      <c r="I141" s="1059"/>
      <c r="J141" s="1059"/>
      <c r="K141" s="1060"/>
      <c r="L141" s="1061"/>
      <c r="M141" s="1059"/>
      <c r="N141" s="1059"/>
      <c r="O141" s="1059"/>
      <c r="P141" s="1059"/>
      <c r="Q141" s="1059"/>
      <c r="R141" s="1059"/>
      <c r="S141" s="1059"/>
      <c r="T141" s="1059"/>
    </row>
    <row r="142" spans="1:20">
      <c r="A142" s="1059"/>
      <c r="B142" s="1059"/>
      <c r="C142" s="1059"/>
      <c r="D142" s="1059"/>
      <c r="E142" s="1059"/>
      <c r="F142" s="1059"/>
      <c r="G142" s="1059"/>
      <c r="H142" s="1059"/>
      <c r="I142" s="1059"/>
      <c r="J142" s="1059"/>
      <c r="K142" s="1060"/>
      <c r="L142" s="1061"/>
      <c r="M142" s="1059"/>
      <c r="N142" s="1059"/>
      <c r="O142" s="1059"/>
      <c r="P142" s="1059"/>
      <c r="Q142" s="1059"/>
      <c r="R142" s="1059"/>
      <c r="S142" s="1059"/>
      <c r="T142" s="1059"/>
    </row>
    <row r="143" spans="1:20">
      <c r="A143" s="1059"/>
      <c r="B143" s="1059"/>
      <c r="C143" s="1059"/>
      <c r="D143" s="1059"/>
      <c r="E143" s="1059"/>
      <c r="F143" s="1059"/>
      <c r="G143" s="1059"/>
      <c r="H143" s="1059"/>
      <c r="I143" s="1059"/>
      <c r="J143" s="1059"/>
      <c r="K143" s="1060"/>
      <c r="L143" s="1061"/>
      <c r="M143" s="1059"/>
      <c r="N143" s="1059"/>
      <c r="O143" s="1059"/>
      <c r="P143" s="1059"/>
      <c r="Q143" s="1059"/>
      <c r="R143" s="1059"/>
      <c r="S143" s="1059"/>
      <c r="T143" s="1059"/>
    </row>
    <row r="144" spans="1:20">
      <c r="A144" s="1059"/>
      <c r="B144" s="1059"/>
      <c r="C144" s="1059"/>
      <c r="D144" s="1059"/>
      <c r="E144" s="1059"/>
      <c r="F144" s="1059"/>
      <c r="G144" s="1059"/>
      <c r="H144" s="1059"/>
      <c r="I144" s="1059"/>
      <c r="J144" s="1059"/>
      <c r="K144" s="1060"/>
      <c r="L144" s="1061"/>
      <c r="M144" s="1059"/>
      <c r="N144" s="1059"/>
      <c r="O144" s="1059"/>
      <c r="P144" s="1059"/>
      <c r="Q144" s="1059"/>
      <c r="R144" s="1059"/>
      <c r="S144" s="1059"/>
      <c r="T144" s="1059"/>
    </row>
    <row r="145" spans="1:20">
      <c r="A145" s="1059"/>
      <c r="B145" s="1059"/>
      <c r="C145" s="1059"/>
      <c r="D145" s="1059"/>
      <c r="E145" s="1059"/>
      <c r="F145" s="1059"/>
      <c r="G145" s="1059"/>
      <c r="H145" s="1059"/>
      <c r="I145" s="1059"/>
      <c r="J145" s="1059"/>
      <c r="K145" s="1060"/>
      <c r="L145" s="1061"/>
      <c r="M145" s="1059"/>
      <c r="N145" s="1059"/>
      <c r="O145" s="1059"/>
      <c r="P145" s="1059"/>
      <c r="Q145" s="1059"/>
      <c r="R145" s="1059"/>
      <c r="S145" s="1059"/>
      <c r="T145" s="1059"/>
    </row>
    <row r="146" spans="1:20">
      <c r="A146" s="1059"/>
      <c r="B146" s="1059"/>
      <c r="C146" s="1059"/>
      <c r="D146" s="1059"/>
      <c r="E146" s="1059"/>
      <c r="F146" s="1059"/>
      <c r="G146" s="1059"/>
      <c r="H146" s="1059"/>
      <c r="I146" s="1059"/>
      <c r="J146" s="1059"/>
      <c r="K146" s="1060"/>
      <c r="L146" s="1061"/>
      <c r="M146" s="1059"/>
      <c r="N146" s="1059"/>
      <c r="O146" s="1059"/>
      <c r="P146" s="1059"/>
      <c r="Q146" s="1059"/>
      <c r="R146" s="1059"/>
      <c r="S146" s="1059"/>
      <c r="T146" s="1059"/>
    </row>
    <row r="147" spans="1:20">
      <c r="A147" s="1059"/>
      <c r="B147" s="1059"/>
      <c r="C147" s="1059"/>
      <c r="D147" s="1059"/>
      <c r="E147" s="1059"/>
      <c r="F147" s="1059"/>
      <c r="G147" s="1059"/>
      <c r="H147" s="1059"/>
      <c r="I147" s="1059"/>
      <c r="J147" s="1059"/>
      <c r="K147" s="1060"/>
      <c r="L147" s="1061"/>
      <c r="M147" s="1059"/>
      <c r="N147" s="1059"/>
      <c r="O147" s="1059"/>
      <c r="P147" s="1059"/>
      <c r="Q147" s="1059"/>
      <c r="R147" s="1059"/>
      <c r="S147" s="1059"/>
      <c r="T147" s="1059"/>
    </row>
    <row r="148" spans="1:20">
      <c r="A148" s="1059"/>
      <c r="B148" s="1059"/>
      <c r="C148" s="1059"/>
      <c r="D148" s="1059"/>
      <c r="E148" s="1059"/>
      <c r="F148" s="1059"/>
      <c r="G148" s="1059"/>
      <c r="H148" s="1059"/>
      <c r="I148" s="1059"/>
      <c r="J148" s="1059"/>
      <c r="K148" s="1060"/>
      <c r="L148" s="1061"/>
      <c r="M148" s="1059"/>
      <c r="N148" s="1059"/>
      <c r="O148" s="1059"/>
      <c r="P148" s="1059"/>
      <c r="Q148" s="1059"/>
      <c r="R148" s="1059"/>
      <c r="S148" s="1059"/>
      <c r="T148" s="1059"/>
    </row>
    <row r="149" spans="1:20">
      <c r="A149" s="1059"/>
      <c r="B149" s="1059"/>
      <c r="C149" s="1059"/>
      <c r="D149" s="1059"/>
      <c r="E149" s="1059"/>
      <c r="F149" s="1059"/>
      <c r="G149" s="1059"/>
      <c r="H149" s="1059"/>
      <c r="I149" s="1059"/>
      <c r="J149" s="1059"/>
      <c r="K149" s="1060"/>
      <c r="L149" s="1061"/>
      <c r="M149" s="1059"/>
      <c r="N149" s="1059"/>
      <c r="O149" s="1059"/>
      <c r="P149" s="1059"/>
      <c r="Q149" s="1059"/>
      <c r="R149" s="1059"/>
      <c r="S149" s="1059"/>
      <c r="T149" s="1059"/>
    </row>
    <row r="150" spans="1:20">
      <c r="A150" s="1059"/>
      <c r="B150" s="1059"/>
      <c r="C150" s="1059"/>
      <c r="D150" s="1059"/>
      <c r="E150" s="1059"/>
      <c r="F150" s="1059"/>
      <c r="G150" s="1059"/>
      <c r="H150" s="1059"/>
      <c r="I150" s="1059"/>
      <c r="J150" s="1059"/>
      <c r="K150" s="1060"/>
      <c r="L150" s="1061"/>
      <c r="M150" s="1059"/>
      <c r="N150" s="1059"/>
      <c r="O150" s="1059"/>
      <c r="P150" s="1059"/>
      <c r="Q150" s="1059"/>
      <c r="R150" s="1059"/>
      <c r="S150" s="1059"/>
      <c r="T150" s="1059"/>
    </row>
    <row r="151" spans="1:20">
      <c r="A151" s="1059"/>
      <c r="B151" s="1059"/>
      <c r="C151" s="1059"/>
      <c r="D151" s="1059"/>
      <c r="E151" s="1059"/>
      <c r="F151" s="1059"/>
      <c r="G151" s="1059"/>
      <c r="H151" s="1059"/>
      <c r="I151" s="1059"/>
      <c r="J151" s="1059"/>
      <c r="K151" s="1060"/>
      <c r="L151" s="1061"/>
      <c r="M151" s="1059"/>
      <c r="N151" s="1059"/>
      <c r="O151" s="1059"/>
      <c r="P151" s="1059"/>
      <c r="Q151" s="1059"/>
      <c r="R151" s="1059"/>
      <c r="S151" s="1059"/>
      <c r="T151" s="1059"/>
    </row>
    <row r="152" spans="1:20">
      <c r="A152" s="1059"/>
      <c r="B152" s="1059"/>
      <c r="C152" s="1059"/>
      <c r="D152" s="1059"/>
      <c r="E152" s="1059"/>
      <c r="F152" s="1059"/>
      <c r="G152" s="1059"/>
      <c r="H152" s="1059"/>
      <c r="I152" s="1059"/>
      <c r="J152" s="1059"/>
      <c r="K152" s="1060"/>
      <c r="L152" s="1061"/>
      <c r="M152" s="1059"/>
      <c r="N152" s="1059"/>
      <c r="O152" s="1059"/>
      <c r="P152" s="1059"/>
      <c r="Q152" s="1059"/>
      <c r="R152" s="1059"/>
      <c r="S152" s="1059"/>
      <c r="T152" s="1059"/>
    </row>
    <row r="153" spans="1:20">
      <c r="A153" s="1059"/>
      <c r="B153" s="1059"/>
      <c r="C153" s="1059"/>
      <c r="D153" s="1059"/>
      <c r="E153" s="1059"/>
      <c r="F153" s="1059"/>
      <c r="G153" s="1059"/>
      <c r="H153" s="1059"/>
      <c r="I153" s="1059"/>
      <c r="J153" s="1059"/>
      <c r="K153" s="1060"/>
      <c r="L153" s="1061"/>
      <c r="M153" s="1059"/>
      <c r="N153" s="1059"/>
      <c r="O153" s="1059"/>
      <c r="P153" s="1059"/>
      <c r="Q153" s="1059"/>
      <c r="R153" s="1059"/>
      <c r="S153" s="1059"/>
      <c r="T153" s="1059"/>
    </row>
    <row r="154" spans="1:20">
      <c r="A154" s="1059"/>
      <c r="B154" s="1059"/>
      <c r="C154" s="1059"/>
      <c r="D154" s="1059"/>
      <c r="E154" s="1059"/>
      <c r="F154" s="1059"/>
      <c r="G154" s="1059"/>
      <c r="H154" s="1059"/>
      <c r="I154" s="1059"/>
      <c r="J154" s="1059"/>
      <c r="K154" s="1060"/>
      <c r="L154" s="1061"/>
      <c r="M154" s="1059"/>
      <c r="N154" s="1059"/>
      <c r="O154" s="1059"/>
      <c r="P154" s="1059"/>
      <c r="Q154" s="1059"/>
      <c r="R154" s="1059"/>
      <c r="S154" s="1059"/>
      <c r="T154" s="1059"/>
    </row>
    <row r="155" spans="1:20">
      <c r="A155" s="1059"/>
      <c r="B155" s="1059"/>
      <c r="C155" s="1059"/>
      <c r="D155" s="1059"/>
      <c r="E155" s="1059"/>
      <c r="F155" s="1059"/>
      <c r="G155" s="1059"/>
      <c r="H155" s="1059"/>
      <c r="I155" s="1059"/>
      <c r="J155" s="1059"/>
      <c r="K155" s="1060"/>
      <c r="L155" s="1061"/>
      <c r="M155" s="1059"/>
      <c r="N155" s="1059"/>
      <c r="O155" s="1059"/>
      <c r="P155" s="1059"/>
      <c r="Q155" s="1059"/>
      <c r="R155" s="1059"/>
      <c r="S155" s="1059"/>
      <c r="T155" s="1059"/>
    </row>
    <row r="156" spans="1:20">
      <c r="A156" s="1059"/>
      <c r="B156" s="1059"/>
      <c r="C156" s="1059"/>
      <c r="D156" s="1059"/>
      <c r="E156" s="1059"/>
      <c r="F156" s="1059"/>
      <c r="G156" s="1059"/>
      <c r="H156" s="1059"/>
      <c r="I156" s="1059"/>
      <c r="J156" s="1059"/>
      <c r="K156" s="1060"/>
      <c r="L156" s="1061"/>
      <c r="M156" s="1059"/>
      <c r="N156" s="1059"/>
      <c r="O156" s="1059"/>
      <c r="P156" s="1059"/>
      <c r="Q156" s="1059"/>
      <c r="R156" s="1059"/>
      <c r="S156" s="1059"/>
      <c r="T156" s="1059"/>
    </row>
    <row r="157" spans="1:20">
      <c r="A157" s="1059"/>
      <c r="B157" s="1059"/>
      <c r="C157" s="1059"/>
      <c r="D157" s="1059"/>
      <c r="E157" s="1059"/>
      <c r="F157" s="1059"/>
      <c r="G157" s="1059"/>
      <c r="H157" s="1059"/>
      <c r="I157" s="1059"/>
      <c r="J157" s="1059"/>
      <c r="K157" s="1060"/>
      <c r="L157" s="1061"/>
      <c r="M157" s="1059"/>
      <c r="N157" s="1059"/>
      <c r="O157" s="1059"/>
      <c r="P157" s="1059"/>
      <c r="Q157" s="1059"/>
      <c r="R157" s="1059"/>
      <c r="S157" s="1059"/>
      <c r="T157" s="1059"/>
    </row>
    <row r="158" spans="1:20">
      <c r="A158" s="1059"/>
      <c r="B158" s="1059"/>
      <c r="C158" s="1059"/>
      <c r="D158" s="1059"/>
      <c r="E158" s="1059"/>
      <c r="F158" s="1059"/>
      <c r="G158" s="1059"/>
      <c r="H158" s="1059"/>
      <c r="I158" s="1059"/>
      <c r="J158" s="1059"/>
      <c r="K158" s="1060"/>
      <c r="L158" s="1061"/>
      <c r="M158" s="1059"/>
      <c r="N158" s="1059"/>
      <c r="O158" s="1059"/>
      <c r="P158" s="1059"/>
      <c r="Q158" s="1059"/>
      <c r="R158" s="1059"/>
      <c r="S158" s="1059"/>
      <c r="T158" s="1059"/>
    </row>
    <row r="159" spans="1:20">
      <c r="A159" s="1059"/>
      <c r="B159" s="1059"/>
      <c r="C159" s="1059"/>
      <c r="D159" s="1059"/>
      <c r="E159" s="1059"/>
      <c r="F159" s="1059"/>
      <c r="G159" s="1059"/>
      <c r="H159" s="1059"/>
      <c r="I159" s="1059"/>
      <c r="J159" s="1059"/>
      <c r="K159" s="1060"/>
      <c r="L159" s="1061"/>
      <c r="M159" s="1059"/>
      <c r="N159" s="1059"/>
      <c r="O159" s="1059"/>
      <c r="P159" s="1059"/>
      <c r="Q159" s="1059"/>
      <c r="R159" s="1059"/>
      <c r="S159" s="1059"/>
      <c r="T159" s="1059"/>
    </row>
    <row r="160" spans="1:20">
      <c r="A160" s="1059"/>
      <c r="B160" s="1059"/>
      <c r="C160" s="1059"/>
      <c r="D160" s="1059"/>
      <c r="E160" s="1059"/>
      <c r="F160" s="1059"/>
      <c r="G160" s="1059"/>
      <c r="H160" s="1059"/>
      <c r="I160" s="1059"/>
      <c r="J160" s="1059"/>
      <c r="K160" s="1060"/>
      <c r="L160" s="1061"/>
      <c r="M160" s="1059"/>
      <c r="N160" s="1059"/>
      <c r="O160" s="1059"/>
      <c r="P160" s="1059"/>
      <c r="Q160" s="1059"/>
      <c r="R160" s="1059"/>
      <c r="S160" s="1059"/>
      <c r="T160" s="1059"/>
    </row>
    <row r="161" spans="1:20">
      <c r="A161" s="1059"/>
      <c r="B161" s="1059"/>
      <c r="C161" s="1059"/>
      <c r="D161" s="1059"/>
      <c r="E161" s="1059"/>
      <c r="F161" s="1059"/>
      <c r="G161" s="1059"/>
      <c r="H161" s="1059"/>
      <c r="I161" s="1059"/>
      <c r="J161" s="1059"/>
      <c r="K161" s="1060"/>
      <c r="L161" s="1061"/>
      <c r="M161" s="1059"/>
      <c r="N161" s="1059"/>
      <c r="O161" s="1059"/>
      <c r="P161" s="1059"/>
      <c r="Q161" s="1059"/>
      <c r="R161" s="1059"/>
      <c r="S161" s="1059"/>
      <c r="T161" s="1059"/>
    </row>
    <row r="162" spans="1:20">
      <c r="A162" s="1059"/>
      <c r="B162" s="1059"/>
      <c r="C162" s="1059"/>
      <c r="D162" s="1059"/>
      <c r="E162" s="1059"/>
      <c r="F162" s="1059"/>
      <c r="G162" s="1059"/>
      <c r="H162" s="1059"/>
      <c r="I162" s="1059"/>
      <c r="J162" s="1059"/>
      <c r="K162" s="1060"/>
      <c r="L162" s="1061"/>
      <c r="M162" s="1059"/>
      <c r="N162" s="1059"/>
      <c r="O162" s="1059"/>
      <c r="P162" s="1059"/>
      <c r="Q162" s="1059"/>
      <c r="R162" s="1059"/>
      <c r="S162" s="1059"/>
      <c r="T162" s="1059"/>
    </row>
    <row r="163" spans="1:20">
      <c r="A163" s="1059"/>
      <c r="B163" s="1059"/>
      <c r="C163" s="1059"/>
      <c r="D163" s="1059"/>
      <c r="E163" s="1059"/>
      <c r="F163" s="1059"/>
      <c r="G163" s="1059"/>
      <c r="H163" s="1059"/>
      <c r="I163" s="1059"/>
      <c r="J163" s="1059"/>
      <c r="K163" s="1060"/>
      <c r="L163" s="1061"/>
      <c r="M163" s="1059"/>
      <c r="N163" s="1059"/>
      <c r="O163" s="1059"/>
      <c r="P163" s="1059"/>
      <c r="Q163" s="1059"/>
      <c r="R163" s="1059"/>
      <c r="S163" s="1059"/>
      <c r="T163" s="1059"/>
    </row>
    <row r="164" spans="1:20">
      <c r="A164" s="1059"/>
      <c r="B164" s="1059"/>
      <c r="C164" s="1059"/>
      <c r="D164" s="1059"/>
      <c r="E164" s="1059"/>
      <c r="F164" s="1059"/>
      <c r="G164" s="1059"/>
      <c r="H164" s="1059"/>
      <c r="I164" s="1059"/>
      <c r="J164" s="1059"/>
      <c r="K164" s="1060"/>
      <c r="L164" s="1061"/>
      <c r="M164" s="1059"/>
      <c r="N164" s="1059"/>
      <c r="O164" s="1059"/>
      <c r="P164" s="1059"/>
      <c r="Q164" s="1059"/>
      <c r="R164" s="1059"/>
      <c r="S164" s="1059"/>
      <c r="T164" s="1059"/>
    </row>
    <row r="165" spans="1:20">
      <c r="A165" s="1059"/>
      <c r="B165" s="1059"/>
      <c r="C165" s="1059"/>
      <c r="D165" s="1059"/>
      <c r="E165" s="1059"/>
      <c r="F165" s="1059"/>
      <c r="G165" s="1059"/>
      <c r="H165" s="1059"/>
      <c r="I165" s="1059"/>
      <c r="J165" s="1059"/>
      <c r="K165" s="1060"/>
      <c r="L165" s="1061"/>
      <c r="M165" s="1059"/>
      <c r="N165" s="1059"/>
      <c r="O165" s="1059"/>
      <c r="P165" s="1059"/>
      <c r="Q165" s="1059"/>
      <c r="R165" s="1059"/>
      <c r="S165" s="1059"/>
      <c r="T165" s="1059"/>
    </row>
    <row r="166" spans="1:20">
      <c r="A166" s="1059"/>
      <c r="B166" s="1059"/>
      <c r="C166" s="1059"/>
      <c r="D166" s="1059"/>
      <c r="E166" s="1059"/>
      <c r="F166" s="1059"/>
      <c r="G166" s="1059"/>
      <c r="H166" s="1059"/>
      <c r="I166" s="1059"/>
      <c r="J166" s="1059"/>
      <c r="K166" s="1060"/>
      <c r="L166" s="1061"/>
      <c r="M166" s="1059"/>
      <c r="N166" s="1059"/>
      <c r="O166" s="1059"/>
      <c r="P166" s="1059"/>
      <c r="Q166" s="1059"/>
      <c r="R166" s="1059"/>
      <c r="S166" s="1059"/>
      <c r="T166" s="1059"/>
    </row>
    <row r="167" spans="1:20">
      <c r="A167" s="1059"/>
      <c r="B167" s="1059"/>
      <c r="C167" s="1059"/>
      <c r="D167" s="1059"/>
      <c r="E167" s="1059"/>
      <c r="F167" s="1059"/>
      <c r="G167" s="1059"/>
      <c r="H167" s="1059"/>
      <c r="I167" s="1059"/>
      <c r="J167" s="1059"/>
      <c r="K167" s="1060"/>
      <c r="L167" s="1061"/>
      <c r="M167" s="1059"/>
      <c r="N167" s="1059"/>
      <c r="O167" s="1059"/>
      <c r="P167" s="1059"/>
      <c r="Q167" s="1059"/>
      <c r="R167" s="1059"/>
      <c r="S167" s="1059"/>
      <c r="T167" s="1059"/>
    </row>
    <row r="168" spans="1:20">
      <c r="A168" s="1059"/>
      <c r="B168" s="1059"/>
      <c r="C168" s="1059"/>
      <c r="D168" s="1059"/>
      <c r="E168" s="1059"/>
      <c r="F168" s="1059"/>
      <c r="G168" s="1059"/>
      <c r="H168" s="1059"/>
      <c r="I168" s="1059"/>
      <c r="J168" s="1059"/>
      <c r="K168" s="1060"/>
      <c r="L168" s="1061"/>
      <c r="M168" s="1059"/>
      <c r="N168" s="1059"/>
      <c r="O168" s="1059"/>
      <c r="P168" s="1059"/>
      <c r="Q168" s="1059"/>
      <c r="R168" s="1059"/>
      <c r="S168" s="1059"/>
      <c r="T168" s="1059"/>
    </row>
    <row r="169" spans="1:20">
      <c r="A169" s="1059"/>
      <c r="B169" s="1059"/>
      <c r="C169" s="1059"/>
      <c r="D169" s="1059"/>
      <c r="E169" s="1059"/>
      <c r="F169" s="1059"/>
      <c r="G169" s="1059"/>
      <c r="H169" s="1059"/>
      <c r="I169" s="1059"/>
      <c r="J169" s="1059"/>
      <c r="K169" s="1060"/>
      <c r="L169" s="1061"/>
      <c r="M169" s="1059"/>
      <c r="N169" s="1059"/>
      <c r="O169" s="1059"/>
      <c r="P169" s="1059"/>
      <c r="Q169" s="1059"/>
      <c r="R169" s="1059"/>
      <c r="S169" s="1059"/>
      <c r="T169" s="1059"/>
    </row>
    <row r="170" spans="1:20">
      <c r="A170" s="1059"/>
      <c r="B170" s="1059"/>
      <c r="C170" s="1059"/>
      <c r="D170" s="1059"/>
      <c r="E170" s="1059"/>
      <c r="F170" s="1059"/>
      <c r="G170" s="1059"/>
      <c r="H170" s="1059"/>
      <c r="I170" s="1059"/>
      <c r="J170" s="1059"/>
      <c r="K170" s="1060"/>
      <c r="L170" s="1061"/>
      <c r="M170" s="1059"/>
      <c r="N170" s="1059"/>
      <c r="O170" s="1059"/>
      <c r="P170" s="1059"/>
      <c r="Q170" s="1059"/>
      <c r="R170" s="1059"/>
      <c r="S170" s="1059"/>
      <c r="T170" s="1059"/>
    </row>
    <row r="171" spans="1:20">
      <c r="A171" s="1059"/>
      <c r="B171" s="1059"/>
      <c r="C171" s="1059"/>
      <c r="D171" s="1059"/>
      <c r="E171" s="1059"/>
      <c r="F171" s="1059"/>
      <c r="G171" s="1059"/>
      <c r="H171" s="1059"/>
      <c r="I171" s="1059"/>
      <c r="J171" s="1059"/>
      <c r="K171" s="1060"/>
      <c r="L171" s="1061"/>
      <c r="M171" s="1059"/>
      <c r="N171" s="1059"/>
      <c r="O171" s="1059"/>
      <c r="P171" s="1059"/>
      <c r="Q171" s="1059"/>
      <c r="R171" s="1059"/>
      <c r="S171" s="1059"/>
      <c r="T171" s="1059"/>
    </row>
    <row r="172" spans="1:20">
      <c r="A172" s="1059"/>
      <c r="B172" s="1059"/>
      <c r="C172" s="1059"/>
      <c r="D172" s="1059"/>
      <c r="E172" s="1059"/>
      <c r="F172" s="1059"/>
      <c r="G172" s="1059"/>
      <c r="H172" s="1059"/>
      <c r="I172" s="1059"/>
      <c r="J172" s="1059"/>
      <c r="K172" s="1060"/>
      <c r="L172" s="1061"/>
      <c r="M172" s="1059"/>
      <c r="N172" s="1059"/>
      <c r="O172" s="1059"/>
      <c r="P172" s="1059"/>
      <c r="Q172" s="1059"/>
      <c r="R172" s="1059"/>
      <c r="S172" s="1059"/>
      <c r="T172" s="1059"/>
    </row>
    <row r="173" spans="1:20">
      <c r="A173" s="1059"/>
      <c r="B173" s="1059"/>
      <c r="C173" s="1059"/>
      <c r="D173" s="1059"/>
      <c r="E173" s="1059"/>
      <c r="F173" s="1059"/>
      <c r="G173" s="1059"/>
      <c r="H173" s="1059"/>
      <c r="I173" s="1059"/>
      <c r="J173" s="1059"/>
      <c r="K173" s="1060"/>
      <c r="L173" s="1061"/>
      <c r="M173" s="1059"/>
      <c r="N173" s="1059"/>
      <c r="O173" s="1059"/>
      <c r="P173" s="1059"/>
      <c r="Q173" s="1059"/>
      <c r="R173" s="1059"/>
      <c r="S173" s="1059"/>
      <c r="T173" s="1059"/>
    </row>
    <row r="174" spans="1:20">
      <c r="A174" s="1059"/>
      <c r="B174" s="1059"/>
      <c r="C174" s="1059"/>
      <c r="D174" s="1059"/>
      <c r="E174" s="1059"/>
      <c r="F174" s="1059"/>
      <c r="G174" s="1059"/>
      <c r="H174" s="1059"/>
      <c r="I174" s="1059"/>
      <c r="J174" s="1059"/>
      <c r="K174" s="1060"/>
      <c r="L174" s="1061"/>
      <c r="M174" s="1059"/>
      <c r="N174" s="1059"/>
      <c r="O174" s="1059"/>
      <c r="P174" s="1059"/>
      <c r="Q174" s="1059"/>
      <c r="R174" s="1059"/>
      <c r="S174" s="1059"/>
      <c r="T174" s="1059"/>
    </row>
    <row r="175" spans="1:20">
      <c r="A175" s="1059"/>
      <c r="B175" s="1059"/>
      <c r="C175" s="1059"/>
      <c r="D175" s="1059"/>
      <c r="E175" s="1059"/>
      <c r="F175" s="1059"/>
      <c r="G175" s="1059"/>
      <c r="H175" s="1059"/>
      <c r="I175" s="1059"/>
      <c r="J175" s="1059"/>
      <c r="K175" s="1060"/>
      <c r="L175" s="1061"/>
      <c r="M175" s="1059"/>
      <c r="N175" s="1059"/>
      <c r="O175" s="1059"/>
      <c r="P175" s="1059"/>
      <c r="Q175" s="1059"/>
      <c r="R175" s="1059"/>
      <c r="S175" s="1059"/>
      <c r="T175" s="1059"/>
    </row>
    <row r="176" spans="1:20">
      <c r="A176" s="1059"/>
      <c r="B176" s="1059"/>
      <c r="C176" s="1059"/>
      <c r="D176" s="1059"/>
      <c r="E176" s="1059"/>
      <c r="F176" s="1059"/>
      <c r="G176" s="1059"/>
      <c r="H176" s="1059"/>
      <c r="I176" s="1059"/>
      <c r="J176" s="1059"/>
      <c r="K176" s="1060"/>
      <c r="L176" s="1061"/>
      <c r="M176" s="1059"/>
      <c r="N176" s="1059"/>
      <c r="O176" s="1059"/>
      <c r="P176" s="1059"/>
      <c r="Q176" s="1059"/>
      <c r="R176" s="1059"/>
      <c r="S176" s="1059"/>
      <c r="T176" s="1059"/>
    </row>
    <row r="177" spans="1:20">
      <c r="A177" s="1059"/>
      <c r="B177" s="1059"/>
      <c r="C177" s="1059"/>
      <c r="D177" s="1059"/>
      <c r="E177" s="1059"/>
      <c r="F177" s="1059"/>
      <c r="G177" s="1059"/>
      <c r="H177" s="1059"/>
      <c r="I177" s="1059"/>
      <c r="J177" s="1059"/>
      <c r="K177" s="1060"/>
      <c r="L177" s="1061"/>
      <c r="M177" s="1059"/>
      <c r="N177" s="1059"/>
      <c r="O177" s="1059"/>
      <c r="P177" s="1059"/>
      <c r="Q177" s="1059"/>
      <c r="R177" s="1059"/>
      <c r="S177" s="1059"/>
      <c r="T177" s="1059"/>
    </row>
    <row r="178" spans="1:20">
      <c r="A178" s="1059"/>
      <c r="B178" s="1059"/>
      <c r="C178" s="1059"/>
      <c r="D178" s="1059"/>
      <c r="E178" s="1059"/>
      <c r="F178" s="1059"/>
      <c r="G178" s="1059"/>
      <c r="H178" s="1059"/>
      <c r="I178" s="1059"/>
      <c r="J178" s="1059"/>
      <c r="K178" s="1060"/>
      <c r="L178" s="1061"/>
      <c r="M178" s="1059"/>
      <c r="N178" s="1059"/>
      <c r="O178" s="1059"/>
      <c r="P178" s="1059"/>
      <c r="Q178" s="1059"/>
      <c r="R178" s="1059"/>
      <c r="S178" s="1059"/>
      <c r="T178" s="1059"/>
    </row>
    <row r="179" spans="1:20">
      <c r="A179" s="1059"/>
      <c r="B179" s="1059"/>
      <c r="C179" s="1059"/>
      <c r="D179" s="1059"/>
      <c r="E179" s="1059"/>
      <c r="F179" s="1059"/>
      <c r="G179" s="1059"/>
      <c r="H179" s="1059"/>
      <c r="I179" s="1059"/>
      <c r="J179" s="1059"/>
      <c r="K179" s="1060"/>
      <c r="L179" s="1061"/>
      <c r="M179" s="1059"/>
      <c r="N179" s="1059"/>
      <c r="O179" s="1059"/>
      <c r="P179" s="1059"/>
      <c r="Q179" s="1059"/>
      <c r="R179" s="1059"/>
      <c r="S179" s="1059"/>
      <c r="T179" s="1059"/>
    </row>
    <row r="180" spans="1:20">
      <c r="A180" s="1059"/>
      <c r="B180" s="1059"/>
      <c r="C180" s="1059"/>
      <c r="D180" s="1059"/>
      <c r="E180" s="1059"/>
      <c r="F180" s="1059"/>
      <c r="G180" s="1059"/>
      <c r="H180" s="1059"/>
      <c r="I180" s="1059"/>
      <c r="J180" s="1059"/>
      <c r="K180" s="1060"/>
      <c r="L180" s="1061"/>
      <c r="M180" s="1059"/>
      <c r="N180" s="1059"/>
      <c r="O180" s="1059"/>
      <c r="P180" s="1059"/>
      <c r="Q180" s="1059"/>
      <c r="R180" s="1059"/>
      <c r="S180" s="1059"/>
      <c r="T180" s="1059"/>
    </row>
    <row r="181" spans="1:20">
      <c r="A181" s="1059"/>
      <c r="B181" s="1059"/>
      <c r="C181" s="1059"/>
      <c r="D181" s="1059"/>
      <c r="E181" s="1059"/>
      <c r="F181" s="1059"/>
      <c r="G181" s="1059"/>
      <c r="H181" s="1059"/>
      <c r="I181" s="1059"/>
      <c r="J181" s="1059"/>
      <c r="K181" s="1060"/>
      <c r="L181" s="1061"/>
      <c r="M181" s="1059"/>
      <c r="N181" s="1059"/>
      <c r="O181" s="1059"/>
      <c r="P181" s="1059"/>
      <c r="Q181" s="1059"/>
      <c r="R181" s="1059"/>
      <c r="S181" s="1059"/>
      <c r="T181" s="1059"/>
    </row>
    <row r="182" spans="1:20">
      <c r="A182" s="1059"/>
      <c r="B182" s="1059"/>
      <c r="C182" s="1059"/>
      <c r="D182" s="1059"/>
      <c r="E182" s="1059"/>
      <c r="F182" s="1059"/>
      <c r="G182" s="1059"/>
      <c r="H182" s="1059"/>
      <c r="I182" s="1059"/>
      <c r="J182" s="1059"/>
      <c r="K182" s="1060"/>
      <c r="L182" s="1061"/>
      <c r="M182" s="1059"/>
      <c r="N182" s="1059"/>
      <c r="O182" s="1059"/>
      <c r="P182" s="1059"/>
      <c r="Q182" s="1059"/>
      <c r="R182" s="1059"/>
      <c r="S182" s="1059"/>
      <c r="T182" s="1059"/>
    </row>
    <row r="183" spans="1:20">
      <c r="A183" s="1059"/>
      <c r="B183" s="1059"/>
      <c r="C183" s="1059"/>
      <c r="D183" s="1059"/>
      <c r="E183" s="1059"/>
      <c r="F183" s="1059"/>
      <c r="G183" s="1059"/>
      <c r="H183" s="1059"/>
      <c r="I183" s="1059"/>
      <c r="J183" s="1059"/>
      <c r="K183" s="1060"/>
      <c r="L183" s="1061"/>
      <c r="M183" s="1059"/>
      <c r="N183" s="1059"/>
      <c r="O183" s="1059"/>
      <c r="P183" s="1059"/>
      <c r="Q183" s="1059"/>
      <c r="R183" s="1059"/>
      <c r="S183" s="1059"/>
      <c r="T183" s="1059"/>
    </row>
    <row r="184" spans="1:20">
      <c r="A184" s="1059"/>
      <c r="B184" s="1059"/>
      <c r="C184" s="1059"/>
      <c r="D184" s="1059"/>
      <c r="E184" s="1059"/>
      <c r="F184" s="1059"/>
      <c r="G184" s="1059"/>
      <c r="H184" s="1059"/>
      <c r="I184" s="1059"/>
      <c r="J184" s="1059"/>
      <c r="K184" s="1060"/>
      <c r="L184" s="1061"/>
      <c r="M184" s="1059"/>
      <c r="N184" s="1059"/>
      <c r="O184" s="1059"/>
      <c r="P184" s="1059"/>
      <c r="Q184" s="1059"/>
      <c r="R184" s="1059"/>
      <c r="S184" s="1059"/>
      <c r="T184" s="1059"/>
    </row>
    <row r="185" spans="1:20">
      <c r="A185" s="1059"/>
      <c r="B185" s="1059"/>
      <c r="C185" s="1059"/>
      <c r="D185" s="1059"/>
      <c r="E185" s="1059"/>
      <c r="F185" s="1059"/>
      <c r="G185" s="1059"/>
      <c r="H185" s="1059"/>
      <c r="I185" s="1059"/>
      <c r="J185" s="1059"/>
      <c r="K185" s="1060"/>
      <c r="L185" s="1061"/>
      <c r="M185" s="1059"/>
      <c r="N185" s="1059"/>
      <c r="O185" s="1059"/>
      <c r="P185" s="1059"/>
      <c r="Q185" s="1059"/>
      <c r="R185" s="1059"/>
      <c r="S185" s="1059"/>
      <c r="T185" s="1059"/>
    </row>
    <row r="186" spans="1:20">
      <c r="A186" s="1059"/>
      <c r="B186" s="1059"/>
      <c r="C186" s="1059"/>
      <c r="D186" s="1059"/>
      <c r="E186" s="1059"/>
      <c r="F186" s="1059"/>
      <c r="G186" s="1059"/>
      <c r="H186" s="1059"/>
      <c r="I186" s="1059"/>
      <c r="J186" s="1059"/>
      <c r="K186" s="1060"/>
      <c r="L186" s="1061"/>
      <c r="M186" s="1059"/>
      <c r="N186" s="1059"/>
      <c r="O186" s="1059"/>
      <c r="P186" s="1059"/>
      <c r="Q186" s="1059"/>
      <c r="R186" s="1059"/>
      <c r="S186" s="1059"/>
      <c r="T186" s="1059"/>
    </row>
    <row r="187" spans="1:20">
      <c r="A187" s="1059"/>
      <c r="B187" s="1059"/>
      <c r="C187" s="1059"/>
      <c r="D187" s="1059"/>
      <c r="E187" s="1059"/>
      <c r="F187" s="1059"/>
      <c r="G187" s="1059"/>
      <c r="H187" s="1059"/>
      <c r="I187" s="1059"/>
      <c r="J187" s="1059"/>
      <c r="K187" s="1060"/>
      <c r="L187" s="1061"/>
      <c r="M187" s="1059"/>
      <c r="N187" s="1059"/>
      <c r="O187" s="1059"/>
      <c r="P187" s="1059"/>
      <c r="Q187" s="1059"/>
      <c r="R187" s="1059"/>
      <c r="S187" s="1059"/>
      <c r="T187" s="1059"/>
    </row>
    <row r="188" spans="1:20">
      <c r="A188" s="1059"/>
      <c r="B188" s="1059"/>
      <c r="C188" s="1059"/>
      <c r="D188" s="1059"/>
      <c r="E188" s="1059"/>
      <c r="F188" s="1059"/>
      <c r="G188" s="1059"/>
      <c r="H188" s="1059"/>
      <c r="I188" s="1059"/>
      <c r="J188" s="1059"/>
      <c r="K188" s="1060"/>
      <c r="L188" s="1061"/>
      <c r="M188" s="1059"/>
      <c r="N188" s="1059"/>
      <c r="O188" s="1059"/>
      <c r="P188" s="1059"/>
      <c r="Q188" s="1059"/>
      <c r="R188" s="1059"/>
      <c r="S188" s="1059"/>
      <c r="T188" s="1059"/>
    </row>
    <row r="189" spans="1:20">
      <c r="A189" s="1059"/>
      <c r="B189" s="1059"/>
      <c r="C189" s="1059"/>
      <c r="D189" s="1059"/>
      <c r="E189" s="1059"/>
      <c r="F189" s="1059"/>
      <c r="G189" s="1059"/>
      <c r="H189" s="1059"/>
      <c r="I189" s="1059"/>
      <c r="J189" s="1059"/>
      <c r="K189" s="1060"/>
      <c r="L189" s="1061"/>
      <c r="M189" s="1059"/>
      <c r="N189" s="1059"/>
      <c r="O189" s="1059"/>
      <c r="P189" s="1059"/>
      <c r="Q189" s="1059"/>
      <c r="R189" s="1059"/>
      <c r="S189" s="1059"/>
      <c r="T189" s="1059"/>
    </row>
    <row r="190" spans="1:20">
      <c r="A190" s="1059"/>
      <c r="B190" s="1059"/>
      <c r="C190" s="1059"/>
      <c r="D190" s="1059"/>
      <c r="E190" s="1059"/>
      <c r="F190" s="1059"/>
      <c r="G190" s="1059"/>
      <c r="H190" s="1059"/>
      <c r="I190" s="1059"/>
      <c r="J190" s="1059"/>
      <c r="K190" s="1060"/>
      <c r="L190" s="1061"/>
      <c r="M190" s="1059"/>
      <c r="N190" s="1059"/>
      <c r="O190" s="1059"/>
      <c r="P190" s="1059"/>
      <c r="Q190" s="1059"/>
      <c r="R190" s="1059"/>
      <c r="S190" s="1059"/>
      <c r="T190" s="1059"/>
    </row>
    <row r="191" spans="1:20">
      <c r="A191" s="1059"/>
      <c r="B191" s="1059"/>
      <c r="C191" s="1059"/>
      <c r="D191" s="1059"/>
      <c r="E191" s="1059"/>
      <c r="F191" s="1059"/>
      <c r="G191" s="1059"/>
      <c r="H191" s="1059"/>
      <c r="I191" s="1059"/>
      <c r="J191" s="1059"/>
      <c r="K191" s="1060"/>
      <c r="L191" s="1061"/>
      <c r="M191" s="1059"/>
      <c r="N191" s="1059"/>
      <c r="O191" s="1059"/>
      <c r="P191" s="1059"/>
      <c r="Q191" s="1059"/>
      <c r="R191" s="1059"/>
      <c r="S191" s="1059"/>
      <c r="T191" s="1059"/>
    </row>
    <row r="192" spans="1:20">
      <c r="A192" s="1059"/>
      <c r="B192" s="1059"/>
      <c r="C192" s="1059"/>
      <c r="D192" s="1059"/>
      <c r="E192" s="1059"/>
      <c r="F192" s="1059"/>
      <c r="G192" s="1059"/>
      <c r="H192" s="1059"/>
      <c r="I192" s="1059"/>
      <c r="J192" s="1059"/>
      <c r="K192" s="1060"/>
      <c r="L192" s="1061"/>
      <c r="M192" s="1059"/>
      <c r="N192" s="1059"/>
      <c r="O192" s="1059"/>
      <c r="P192" s="1059"/>
      <c r="Q192" s="1059"/>
      <c r="R192" s="1059"/>
      <c r="S192" s="1059"/>
      <c r="T192" s="1059"/>
    </row>
    <row r="193" spans="1:20">
      <c r="A193" s="1059"/>
      <c r="B193" s="1059"/>
      <c r="C193" s="1059"/>
      <c r="D193" s="1059"/>
      <c r="E193" s="1059"/>
      <c r="F193" s="1059"/>
      <c r="G193" s="1059"/>
      <c r="H193" s="1059"/>
      <c r="I193" s="1059"/>
      <c r="J193" s="1059"/>
      <c r="K193" s="1060"/>
      <c r="L193" s="1061"/>
      <c r="M193" s="1059"/>
      <c r="N193" s="1059"/>
      <c r="O193" s="1059"/>
      <c r="P193" s="1059"/>
      <c r="Q193" s="1059"/>
      <c r="R193" s="1059"/>
      <c r="S193" s="1059"/>
      <c r="T193" s="1059"/>
    </row>
    <row r="194" spans="1:20">
      <c r="A194" s="1059"/>
      <c r="B194" s="1059"/>
      <c r="C194" s="1059"/>
      <c r="D194" s="1059"/>
      <c r="E194" s="1059"/>
      <c r="F194" s="1059"/>
      <c r="G194" s="1059"/>
      <c r="H194" s="1059"/>
      <c r="I194" s="1059"/>
      <c r="J194" s="1059"/>
      <c r="K194" s="1060"/>
      <c r="L194" s="1061"/>
      <c r="M194" s="1059"/>
      <c r="N194" s="1059"/>
      <c r="O194" s="1059"/>
      <c r="P194" s="1059"/>
      <c r="Q194" s="1059"/>
      <c r="R194" s="1059"/>
      <c r="S194" s="1059"/>
      <c r="T194" s="1059"/>
    </row>
    <row r="195" spans="1:20">
      <c r="A195" s="1059"/>
      <c r="B195" s="1059"/>
      <c r="C195" s="1059"/>
      <c r="D195" s="1059"/>
      <c r="E195" s="1059"/>
      <c r="F195" s="1059"/>
      <c r="G195" s="1059"/>
      <c r="H195" s="1059"/>
      <c r="I195" s="1059"/>
      <c r="J195" s="1059"/>
      <c r="K195" s="1060"/>
      <c r="L195" s="1061"/>
      <c r="M195" s="1059"/>
      <c r="N195" s="1059"/>
      <c r="O195" s="1059"/>
      <c r="P195" s="1059"/>
      <c r="Q195" s="1059"/>
      <c r="R195" s="1059"/>
      <c r="S195" s="1059"/>
      <c r="T195" s="1059"/>
    </row>
    <row r="196" spans="1:20">
      <c r="A196" s="1059"/>
      <c r="B196" s="1059"/>
      <c r="C196" s="1059"/>
      <c r="D196" s="1059"/>
      <c r="E196" s="1059"/>
      <c r="F196" s="1059"/>
      <c r="G196" s="1059"/>
      <c r="H196" s="1059"/>
      <c r="I196" s="1059"/>
      <c r="J196" s="1059"/>
      <c r="K196" s="1060"/>
      <c r="L196" s="1061"/>
      <c r="M196" s="1059"/>
      <c r="N196" s="1059"/>
      <c r="O196" s="1059"/>
      <c r="P196" s="1059"/>
      <c r="Q196" s="1059"/>
      <c r="R196" s="1059"/>
      <c r="S196" s="1059"/>
      <c r="T196" s="1059"/>
    </row>
    <row r="197" spans="1:20">
      <c r="A197" s="1059"/>
      <c r="B197" s="1059"/>
      <c r="C197" s="1059"/>
      <c r="D197" s="1059"/>
      <c r="E197" s="1059"/>
      <c r="F197" s="1059"/>
      <c r="G197" s="1059"/>
      <c r="H197" s="1059"/>
      <c r="I197" s="1059"/>
      <c r="J197" s="1059"/>
      <c r="K197" s="1060"/>
      <c r="L197" s="1061"/>
      <c r="M197" s="1059"/>
      <c r="N197" s="1059"/>
      <c r="O197" s="1059"/>
      <c r="P197" s="1059"/>
      <c r="Q197" s="1059"/>
      <c r="R197" s="1059"/>
      <c r="S197" s="1059"/>
      <c r="T197" s="1059"/>
    </row>
    <row r="198" spans="1:20">
      <c r="A198" s="1059"/>
      <c r="B198" s="1059"/>
      <c r="C198" s="1059"/>
      <c r="D198" s="1059"/>
      <c r="E198" s="1059"/>
      <c r="F198" s="1059"/>
      <c r="G198" s="1059"/>
      <c r="H198" s="1059"/>
      <c r="I198" s="1059"/>
      <c r="J198" s="1059"/>
      <c r="K198" s="1060"/>
      <c r="L198" s="1061"/>
      <c r="M198" s="1059"/>
      <c r="N198" s="1059"/>
      <c r="O198" s="1059"/>
      <c r="P198" s="1059"/>
      <c r="Q198" s="1059"/>
      <c r="R198" s="1059"/>
      <c r="S198" s="1059"/>
      <c r="T198" s="1059"/>
    </row>
    <row r="199" spans="1:20">
      <c r="A199" s="1059"/>
      <c r="B199" s="1059"/>
      <c r="C199" s="1059"/>
      <c r="D199" s="1059"/>
      <c r="E199" s="1059"/>
      <c r="F199" s="1059"/>
      <c r="G199" s="1059"/>
      <c r="H199" s="1059"/>
      <c r="I199" s="1059"/>
      <c r="J199" s="1059"/>
      <c r="K199" s="1060"/>
      <c r="L199" s="1061"/>
      <c r="M199" s="1059"/>
      <c r="N199" s="1059"/>
      <c r="O199" s="1059"/>
      <c r="P199" s="1059"/>
      <c r="Q199" s="1059"/>
      <c r="R199" s="1059"/>
      <c r="S199" s="1059"/>
      <c r="T199" s="1059"/>
    </row>
    <row r="200" spans="1:20">
      <c r="A200" s="1059"/>
      <c r="B200" s="1059"/>
      <c r="C200" s="1059"/>
      <c r="D200" s="1059"/>
      <c r="E200" s="1059"/>
      <c r="F200" s="1059"/>
      <c r="G200" s="1059"/>
      <c r="H200" s="1059"/>
      <c r="I200" s="1059"/>
      <c r="J200" s="1059"/>
      <c r="K200" s="1060"/>
      <c r="L200" s="1061"/>
      <c r="M200" s="1059"/>
      <c r="N200" s="1059"/>
      <c r="O200" s="1059"/>
      <c r="P200" s="1059"/>
      <c r="Q200" s="1059"/>
      <c r="R200" s="1059"/>
      <c r="S200" s="1059"/>
      <c r="T200" s="1059"/>
    </row>
    <row r="201" spans="1:20">
      <c r="A201" s="1059"/>
      <c r="B201" s="1059"/>
      <c r="C201" s="1059"/>
      <c r="D201" s="1059"/>
      <c r="E201" s="1059"/>
      <c r="F201" s="1059"/>
      <c r="G201" s="1059"/>
      <c r="H201" s="1059"/>
      <c r="I201" s="1059"/>
      <c r="J201" s="1059"/>
      <c r="K201" s="1060"/>
      <c r="L201" s="1061"/>
      <c r="M201" s="1059"/>
      <c r="N201" s="1059"/>
      <c r="O201" s="1059"/>
      <c r="P201" s="1059"/>
      <c r="Q201" s="1059"/>
      <c r="R201" s="1059"/>
      <c r="S201" s="1059"/>
      <c r="T201" s="1059"/>
    </row>
    <row r="202" spans="1:20">
      <c r="A202" s="1059"/>
      <c r="B202" s="1059"/>
      <c r="C202" s="1059"/>
      <c r="D202" s="1059"/>
      <c r="E202" s="1059"/>
      <c r="F202" s="1059"/>
      <c r="G202" s="1059"/>
      <c r="H202" s="1059"/>
      <c r="I202" s="1059"/>
      <c r="J202" s="1059"/>
      <c r="K202" s="1060"/>
      <c r="L202" s="1061"/>
      <c r="M202" s="1059"/>
      <c r="N202" s="1059"/>
      <c r="O202" s="1059"/>
      <c r="P202" s="1059"/>
      <c r="Q202" s="1059"/>
      <c r="R202" s="1059"/>
      <c r="S202" s="1059"/>
      <c r="T202" s="1059"/>
    </row>
    <row r="203" spans="1:20">
      <c r="A203" s="1059"/>
      <c r="B203" s="1059"/>
      <c r="C203" s="1059"/>
      <c r="D203" s="1059"/>
      <c r="E203" s="1059"/>
      <c r="F203" s="1059"/>
      <c r="G203" s="1059"/>
      <c r="H203" s="1059"/>
      <c r="I203" s="1059"/>
      <c r="J203" s="1059"/>
      <c r="K203" s="1060"/>
      <c r="L203" s="1061"/>
      <c r="M203" s="1059"/>
      <c r="N203" s="1059"/>
      <c r="O203" s="1059"/>
      <c r="P203" s="1059"/>
      <c r="Q203" s="1059"/>
      <c r="R203" s="1059"/>
      <c r="S203" s="1059"/>
      <c r="T203" s="1059"/>
    </row>
    <row r="204" spans="1:20">
      <c r="A204" s="1059"/>
      <c r="B204" s="1059"/>
      <c r="C204" s="1059"/>
      <c r="D204" s="1059"/>
      <c r="E204" s="1059"/>
      <c r="F204" s="1059"/>
      <c r="G204" s="1059"/>
      <c r="H204" s="1059"/>
      <c r="I204" s="1059"/>
      <c r="J204" s="1059"/>
      <c r="K204" s="1060"/>
      <c r="L204" s="1061"/>
      <c r="M204" s="1059"/>
      <c r="N204" s="1059"/>
      <c r="O204" s="1059"/>
      <c r="P204" s="1059"/>
      <c r="Q204" s="1059"/>
      <c r="R204" s="1059"/>
      <c r="S204" s="1059"/>
      <c r="T204" s="1059"/>
    </row>
    <row r="205" spans="1:20">
      <c r="A205" s="1059"/>
      <c r="B205" s="1059"/>
      <c r="C205" s="1059"/>
      <c r="D205" s="1059"/>
      <c r="E205" s="1059"/>
      <c r="F205" s="1059"/>
      <c r="G205" s="1059"/>
      <c r="H205" s="1059"/>
      <c r="I205" s="1059"/>
      <c r="J205" s="1059"/>
      <c r="K205" s="1060"/>
      <c r="L205" s="1061"/>
      <c r="M205" s="1059"/>
      <c r="N205" s="1059"/>
      <c r="O205" s="1059"/>
      <c r="P205" s="1059"/>
      <c r="Q205" s="1059"/>
      <c r="R205" s="1059"/>
      <c r="S205" s="1059"/>
      <c r="T205" s="1059"/>
    </row>
    <row r="206" spans="1:20">
      <c r="A206" s="1059"/>
      <c r="B206" s="1059"/>
      <c r="C206" s="1059"/>
      <c r="D206" s="1059"/>
      <c r="E206" s="1059"/>
      <c r="F206" s="1059"/>
      <c r="G206" s="1059"/>
      <c r="H206" s="1059"/>
      <c r="I206" s="1059"/>
      <c r="J206" s="1059"/>
      <c r="K206" s="1060"/>
      <c r="L206" s="1061"/>
      <c r="M206" s="1059"/>
      <c r="N206" s="1059"/>
      <c r="O206" s="1059"/>
      <c r="P206" s="1059"/>
      <c r="Q206" s="1059"/>
      <c r="R206" s="1059"/>
      <c r="S206" s="1059"/>
      <c r="T206" s="1059"/>
    </row>
    <row r="207" spans="1:20">
      <c r="A207" s="1059"/>
      <c r="B207" s="1059"/>
      <c r="C207" s="1059"/>
      <c r="D207" s="1059"/>
      <c r="E207" s="1059"/>
      <c r="F207" s="1059"/>
      <c r="G207" s="1059"/>
      <c r="H207" s="1059"/>
      <c r="I207" s="1059"/>
      <c r="J207" s="1059"/>
      <c r="K207" s="1060"/>
      <c r="L207" s="1061"/>
      <c r="M207" s="1059"/>
      <c r="N207" s="1059"/>
      <c r="O207" s="1059"/>
      <c r="P207" s="1059"/>
      <c r="Q207" s="1059"/>
      <c r="R207" s="1059"/>
      <c r="S207" s="1059"/>
      <c r="T207" s="1059"/>
    </row>
    <row r="208" spans="1:20">
      <c r="A208" s="1059"/>
      <c r="B208" s="1059"/>
      <c r="C208" s="1059"/>
      <c r="D208" s="1059"/>
      <c r="E208" s="1059"/>
      <c r="F208" s="1059"/>
      <c r="G208" s="1059"/>
      <c r="H208" s="1059"/>
      <c r="I208" s="1059"/>
      <c r="J208" s="1059"/>
      <c r="K208" s="1060"/>
      <c r="L208" s="1061"/>
      <c r="M208" s="1059"/>
      <c r="N208" s="1059"/>
      <c r="O208" s="1059"/>
      <c r="P208" s="1059"/>
      <c r="Q208" s="1059"/>
      <c r="R208" s="1059"/>
      <c r="S208" s="1059"/>
      <c r="T208" s="1059"/>
    </row>
    <row r="209" spans="1:20">
      <c r="A209" s="1059"/>
      <c r="B209" s="1059"/>
      <c r="C209" s="1059"/>
      <c r="D209" s="1059"/>
      <c r="E209" s="1059"/>
      <c r="F209" s="1059"/>
      <c r="G209" s="1059"/>
      <c r="H209" s="1059"/>
      <c r="I209" s="1059"/>
      <c r="J209" s="1059"/>
      <c r="K209" s="1060"/>
      <c r="L209" s="1061"/>
      <c r="M209" s="1059"/>
      <c r="N209" s="1059"/>
      <c r="O209" s="1059"/>
      <c r="P209" s="1059"/>
      <c r="Q209" s="1059"/>
      <c r="R209" s="1059"/>
      <c r="S209" s="1059"/>
      <c r="T209" s="1059"/>
    </row>
    <row r="210" spans="1:20">
      <c r="A210" s="1059"/>
      <c r="B210" s="1059"/>
      <c r="C210" s="1059"/>
      <c r="D210" s="1059"/>
      <c r="E210" s="1059"/>
      <c r="F210" s="1059"/>
      <c r="G210" s="1059"/>
      <c r="H210" s="1059"/>
      <c r="I210" s="1059"/>
      <c r="J210" s="1059"/>
      <c r="K210" s="1060"/>
      <c r="L210" s="1061"/>
      <c r="M210" s="1059"/>
      <c r="N210" s="1059"/>
      <c r="O210" s="1059"/>
      <c r="P210" s="1059"/>
      <c r="Q210" s="1059"/>
      <c r="R210" s="1059"/>
      <c r="S210" s="1059"/>
      <c r="T210" s="1059"/>
    </row>
    <row r="211" spans="1:20">
      <c r="A211" s="1059"/>
      <c r="B211" s="1059"/>
      <c r="C211" s="1059"/>
      <c r="D211" s="1059"/>
      <c r="E211" s="1059"/>
      <c r="F211" s="1059"/>
      <c r="G211" s="1059"/>
      <c r="H211" s="1059"/>
      <c r="I211" s="1059"/>
      <c r="J211" s="1059"/>
      <c r="K211" s="1060"/>
      <c r="L211" s="1061"/>
      <c r="M211" s="1059"/>
      <c r="N211" s="1059"/>
      <c r="O211" s="1059"/>
      <c r="P211" s="1059"/>
      <c r="Q211" s="1059"/>
      <c r="R211" s="1059"/>
      <c r="S211" s="1059"/>
      <c r="T211" s="1059"/>
    </row>
    <row r="212" spans="1:20">
      <c r="A212" s="1059"/>
      <c r="B212" s="1059"/>
      <c r="C212" s="1059"/>
      <c r="D212" s="1059"/>
      <c r="E212" s="1059"/>
      <c r="F212" s="1059"/>
      <c r="G212" s="1059"/>
      <c r="H212" s="1059"/>
      <c r="I212" s="1059"/>
      <c r="J212" s="1059"/>
      <c r="K212" s="1060"/>
      <c r="L212" s="1061"/>
      <c r="M212" s="1059"/>
      <c r="N212" s="1059"/>
      <c r="O212" s="1059"/>
      <c r="P212" s="1059"/>
      <c r="Q212" s="1059"/>
      <c r="R212" s="1059"/>
      <c r="S212" s="1059"/>
      <c r="T212" s="1059"/>
    </row>
    <row r="213" spans="1:20">
      <c r="A213" s="1059"/>
      <c r="B213" s="1059"/>
      <c r="C213" s="1059"/>
      <c r="D213" s="1059"/>
      <c r="E213" s="1059"/>
      <c r="F213" s="1059"/>
      <c r="G213" s="1059"/>
      <c r="H213" s="1059"/>
      <c r="I213" s="1059"/>
      <c r="J213" s="1059"/>
      <c r="K213" s="1060"/>
      <c r="L213" s="1061"/>
      <c r="M213" s="1059"/>
      <c r="N213" s="1059"/>
      <c r="O213" s="1059"/>
      <c r="P213" s="1059"/>
      <c r="Q213" s="1059"/>
      <c r="R213" s="1059"/>
      <c r="S213" s="1059"/>
      <c r="T213" s="1059"/>
    </row>
    <row r="214" spans="1:20">
      <c r="A214" s="1059"/>
      <c r="B214" s="1059"/>
      <c r="C214" s="1059"/>
      <c r="D214" s="1059"/>
      <c r="E214" s="1059"/>
      <c r="F214" s="1059"/>
      <c r="G214" s="1059"/>
      <c r="H214" s="1059"/>
      <c r="I214" s="1059"/>
      <c r="J214" s="1059"/>
      <c r="K214" s="1060"/>
      <c r="L214" s="1061"/>
      <c r="M214" s="1059"/>
      <c r="N214" s="1059"/>
      <c r="O214" s="1059"/>
      <c r="P214" s="1059"/>
      <c r="Q214" s="1059"/>
      <c r="R214" s="1059"/>
      <c r="S214" s="1059"/>
      <c r="T214" s="1059"/>
    </row>
    <row r="215" spans="1:20">
      <c r="A215" s="1059"/>
      <c r="B215" s="1059"/>
      <c r="C215" s="1059"/>
      <c r="D215" s="1059"/>
      <c r="E215" s="1059"/>
      <c r="F215" s="1059"/>
      <c r="G215" s="1059"/>
      <c r="H215" s="1059"/>
      <c r="I215" s="1059"/>
      <c r="J215" s="1059"/>
      <c r="K215" s="1060"/>
      <c r="L215" s="1061"/>
      <c r="M215" s="1059"/>
      <c r="N215" s="1059"/>
      <c r="O215" s="1059"/>
      <c r="P215" s="1059"/>
      <c r="Q215" s="1059"/>
      <c r="R215" s="1059"/>
      <c r="S215" s="1059"/>
      <c r="T215" s="1059"/>
    </row>
    <row r="216" spans="1:20">
      <c r="A216" s="1059"/>
      <c r="B216" s="1059"/>
      <c r="C216" s="1059"/>
      <c r="D216" s="1059"/>
      <c r="E216" s="1059"/>
      <c r="F216" s="1059"/>
      <c r="G216" s="1059"/>
      <c r="H216" s="1059"/>
      <c r="I216" s="1059"/>
      <c r="J216" s="1059"/>
      <c r="K216" s="1060"/>
      <c r="L216" s="1061"/>
      <c r="M216" s="1059"/>
      <c r="N216" s="1059"/>
      <c r="O216" s="1059"/>
      <c r="P216" s="1059"/>
      <c r="Q216" s="1059"/>
      <c r="R216" s="1059"/>
      <c r="S216" s="1059"/>
      <c r="T216" s="1059"/>
    </row>
    <row r="217" spans="1:20">
      <c r="A217" s="1059"/>
      <c r="B217" s="1059"/>
      <c r="C217" s="1059"/>
      <c r="D217" s="1059"/>
      <c r="E217" s="1059"/>
      <c r="F217" s="1059"/>
      <c r="G217" s="1059"/>
      <c r="H217" s="1059"/>
      <c r="I217" s="1059"/>
      <c r="J217" s="1059"/>
      <c r="K217" s="1060"/>
      <c r="L217" s="1061"/>
      <c r="M217" s="1059"/>
      <c r="N217" s="1059"/>
      <c r="O217" s="1059"/>
      <c r="P217" s="1059"/>
      <c r="Q217" s="1059"/>
      <c r="R217" s="1059"/>
      <c r="S217" s="1059"/>
      <c r="T217" s="1059"/>
    </row>
    <row r="218" spans="1:20">
      <c r="A218" s="1059"/>
      <c r="B218" s="1059"/>
      <c r="C218" s="1059"/>
      <c r="D218" s="1059"/>
      <c r="E218" s="1059"/>
      <c r="F218" s="1059"/>
      <c r="G218" s="1059"/>
      <c r="H218" s="1059"/>
      <c r="I218" s="1059"/>
      <c r="J218" s="1059"/>
      <c r="K218" s="1060"/>
      <c r="L218" s="1061"/>
      <c r="M218" s="1059"/>
      <c r="N218" s="1059"/>
      <c r="O218" s="1059"/>
      <c r="P218" s="1059"/>
      <c r="Q218" s="1059"/>
      <c r="R218" s="1059"/>
      <c r="S218" s="1059"/>
      <c r="T218" s="1059"/>
    </row>
    <row r="219" spans="1:20">
      <c r="A219" s="1059"/>
      <c r="B219" s="1059"/>
      <c r="C219" s="1059"/>
      <c r="D219" s="1059"/>
      <c r="E219" s="1059"/>
      <c r="F219" s="1059"/>
      <c r="G219" s="1059"/>
      <c r="H219" s="1059"/>
      <c r="I219" s="1059"/>
      <c r="J219" s="1059"/>
      <c r="K219" s="1060"/>
      <c r="L219" s="1061"/>
      <c r="M219" s="1059"/>
      <c r="N219" s="1059"/>
      <c r="O219" s="1059"/>
      <c r="P219" s="1059"/>
      <c r="Q219" s="1059"/>
      <c r="R219" s="1059"/>
      <c r="S219" s="1059"/>
      <c r="T219" s="1059"/>
    </row>
    <row r="220" spans="1:20">
      <c r="A220" s="1059"/>
      <c r="B220" s="1059"/>
      <c r="C220" s="1059"/>
      <c r="D220" s="1059"/>
      <c r="E220" s="1059"/>
      <c r="F220" s="1059"/>
      <c r="G220" s="1059"/>
      <c r="H220" s="1059"/>
      <c r="I220" s="1059"/>
      <c r="J220" s="1059"/>
      <c r="K220" s="1060"/>
      <c r="L220" s="1061"/>
      <c r="M220" s="1059"/>
      <c r="N220" s="1059"/>
      <c r="O220" s="1059"/>
      <c r="P220" s="1059"/>
      <c r="Q220" s="1059"/>
      <c r="R220" s="1059"/>
      <c r="S220" s="1059"/>
      <c r="T220" s="1059"/>
    </row>
    <row r="221" spans="1:20">
      <c r="A221" s="1059"/>
      <c r="B221" s="1059"/>
      <c r="C221" s="1059"/>
      <c r="D221" s="1059"/>
      <c r="E221" s="1059"/>
      <c r="F221" s="1059"/>
      <c r="G221" s="1059"/>
      <c r="H221" s="1059"/>
      <c r="I221" s="1059"/>
      <c r="J221" s="1059"/>
      <c r="K221" s="1060"/>
      <c r="L221" s="1061"/>
      <c r="M221" s="1059"/>
      <c r="N221" s="1059"/>
      <c r="O221" s="1059"/>
      <c r="P221" s="1059"/>
      <c r="Q221" s="1059"/>
      <c r="R221" s="1059"/>
      <c r="S221" s="1059"/>
      <c r="T221" s="1059"/>
    </row>
    <row r="222" spans="1:20">
      <c r="A222" s="1059"/>
      <c r="B222" s="1059"/>
      <c r="C222" s="1059"/>
      <c r="D222" s="1059"/>
      <c r="E222" s="1059"/>
      <c r="F222" s="1059"/>
      <c r="G222" s="1059"/>
      <c r="H222" s="1059"/>
      <c r="I222" s="1059"/>
      <c r="J222" s="1059"/>
      <c r="K222" s="1060"/>
      <c r="L222" s="1061"/>
      <c r="M222" s="1059"/>
      <c r="N222" s="1059"/>
      <c r="O222" s="1059"/>
      <c r="P222" s="1059"/>
      <c r="Q222" s="1059"/>
      <c r="R222" s="1059"/>
      <c r="S222" s="1059"/>
      <c r="T222" s="1059"/>
    </row>
    <row r="223" spans="1:20">
      <c r="A223" s="1059"/>
      <c r="B223" s="1059"/>
      <c r="C223" s="1059"/>
      <c r="D223" s="1059"/>
      <c r="E223" s="1059"/>
      <c r="F223" s="1059"/>
      <c r="G223" s="1059"/>
      <c r="H223" s="1059"/>
      <c r="I223" s="1059"/>
      <c r="J223" s="1059"/>
      <c r="K223" s="1060"/>
      <c r="L223" s="1061"/>
      <c r="M223" s="1059"/>
      <c r="N223" s="1059"/>
      <c r="O223" s="1059"/>
      <c r="P223" s="1059"/>
      <c r="Q223" s="1059"/>
      <c r="R223" s="1059"/>
      <c r="S223" s="1059"/>
      <c r="T223" s="1059"/>
    </row>
    <row r="224" spans="1:20">
      <c r="A224" s="1059"/>
      <c r="B224" s="1059"/>
      <c r="C224" s="1059"/>
      <c r="D224" s="1059"/>
      <c r="E224" s="1059"/>
      <c r="F224" s="1059"/>
      <c r="G224" s="1059"/>
      <c r="H224" s="1059"/>
      <c r="I224" s="1059"/>
      <c r="J224" s="1059"/>
      <c r="K224" s="1060"/>
      <c r="L224" s="1061"/>
      <c r="M224" s="1059"/>
      <c r="N224" s="1059"/>
      <c r="O224" s="1059"/>
      <c r="P224" s="1059"/>
      <c r="Q224" s="1059"/>
      <c r="R224" s="1059"/>
      <c r="S224" s="1059"/>
      <c r="T224" s="1059"/>
    </row>
    <row r="225" spans="1:20">
      <c r="A225" s="1059"/>
      <c r="B225" s="1059"/>
      <c r="C225" s="1059"/>
      <c r="D225" s="1059"/>
      <c r="E225" s="1059"/>
      <c r="F225" s="1059"/>
      <c r="G225" s="1059"/>
      <c r="H225" s="1059"/>
      <c r="I225" s="1059"/>
      <c r="J225" s="1059"/>
      <c r="K225" s="1060"/>
      <c r="L225" s="1061"/>
      <c r="M225" s="1059"/>
      <c r="N225" s="1059"/>
      <c r="O225" s="1059"/>
      <c r="P225" s="1059"/>
      <c r="Q225" s="1059"/>
      <c r="R225" s="1059"/>
      <c r="S225" s="1059"/>
      <c r="T225" s="1059"/>
    </row>
    <row r="226" spans="1:20">
      <c r="A226" s="1059"/>
      <c r="B226" s="1059"/>
      <c r="C226" s="1059"/>
      <c r="D226" s="1059"/>
      <c r="E226" s="1059"/>
      <c r="F226" s="1059"/>
      <c r="G226" s="1059"/>
      <c r="H226" s="1059"/>
      <c r="I226" s="1059"/>
      <c r="J226" s="1059"/>
      <c r="K226" s="1060"/>
      <c r="L226" s="1061"/>
      <c r="M226" s="1059"/>
      <c r="N226" s="1059"/>
      <c r="O226" s="1059"/>
      <c r="P226" s="1059"/>
      <c r="Q226" s="1059"/>
      <c r="R226" s="1059"/>
      <c r="S226" s="1059"/>
      <c r="T226" s="1059"/>
    </row>
    <row r="227" spans="1:20">
      <c r="A227" s="1059"/>
      <c r="B227" s="1059"/>
      <c r="C227" s="1059"/>
      <c r="D227" s="1059"/>
      <c r="E227" s="1059"/>
      <c r="F227" s="1059"/>
      <c r="G227" s="1059"/>
      <c r="H227" s="1059"/>
      <c r="I227" s="1059"/>
      <c r="J227" s="1059"/>
      <c r="K227" s="1060"/>
      <c r="L227" s="1061"/>
      <c r="M227" s="1059"/>
      <c r="N227" s="1059"/>
      <c r="O227" s="1059"/>
      <c r="P227" s="1059"/>
      <c r="Q227" s="1059"/>
      <c r="R227" s="1059"/>
      <c r="S227" s="1059"/>
      <c r="T227" s="1059"/>
    </row>
    <row r="228" spans="1:20">
      <c r="A228" s="1059"/>
      <c r="B228" s="1059"/>
      <c r="C228" s="1059"/>
      <c r="D228" s="1059"/>
      <c r="E228" s="1059"/>
      <c r="F228" s="1059"/>
      <c r="G228" s="1059"/>
      <c r="H228" s="1059"/>
      <c r="I228" s="1059"/>
      <c r="J228" s="1059"/>
      <c r="K228" s="1060"/>
      <c r="L228" s="1061"/>
      <c r="M228" s="1059"/>
      <c r="N228" s="1059"/>
      <c r="O228" s="1059"/>
      <c r="P228" s="1059"/>
      <c r="Q228" s="1059"/>
      <c r="R228" s="1059"/>
      <c r="S228" s="1059"/>
      <c r="T228" s="1059"/>
    </row>
    <row r="229" spans="1:20">
      <c r="A229" s="1059"/>
      <c r="B229" s="1059"/>
      <c r="C229" s="1059"/>
      <c r="D229" s="1059"/>
      <c r="E229" s="1059"/>
      <c r="F229" s="1059"/>
      <c r="G229" s="1059"/>
      <c r="H229" s="1059"/>
      <c r="I229" s="1059"/>
      <c r="J229" s="1059"/>
      <c r="K229" s="1060"/>
      <c r="L229" s="1061"/>
      <c r="M229" s="1059"/>
      <c r="N229" s="1059"/>
      <c r="O229" s="1059"/>
      <c r="P229" s="1059"/>
      <c r="Q229" s="1059"/>
      <c r="R229" s="1059"/>
      <c r="S229" s="1059"/>
      <c r="T229" s="1059"/>
    </row>
    <row r="230" spans="1:20">
      <c r="A230" s="1059"/>
      <c r="B230" s="1059"/>
      <c r="C230" s="1059"/>
      <c r="D230" s="1059"/>
      <c r="E230" s="1059"/>
      <c r="F230" s="1059"/>
      <c r="G230" s="1059"/>
      <c r="H230" s="1059"/>
      <c r="I230" s="1059"/>
      <c r="J230" s="1059"/>
      <c r="K230" s="1060"/>
      <c r="L230" s="1061"/>
      <c r="M230" s="1059"/>
      <c r="N230" s="1059"/>
      <c r="O230" s="1059"/>
      <c r="P230" s="1059"/>
      <c r="Q230" s="1059"/>
      <c r="R230" s="1059"/>
      <c r="S230" s="1059"/>
      <c r="T230" s="1059"/>
    </row>
    <row r="231" spans="1:20">
      <c r="A231" s="1059"/>
      <c r="B231" s="1059"/>
      <c r="C231" s="1059"/>
      <c r="D231" s="1059"/>
      <c r="E231" s="1059"/>
      <c r="F231" s="1059"/>
      <c r="G231" s="1059"/>
      <c r="H231" s="1059"/>
      <c r="I231" s="1059"/>
      <c r="J231" s="1059"/>
      <c r="K231" s="1060"/>
      <c r="L231" s="1061"/>
      <c r="M231" s="1059"/>
      <c r="N231" s="1059"/>
      <c r="O231" s="1059"/>
      <c r="P231" s="1059"/>
      <c r="Q231" s="1059"/>
      <c r="R231" s="1059"/>
      <c r="S231" s="1059"/>
      <c r="T231" s="1059"/>
    </row>
    <row r="232" spans="1:20">
      <c r="A232" s="1059"/>
      <c r="B232" s="1059"/>
      <c r="C232" s="1059"/>
      <c r="D232" s="1059"/>
      <c r="E232" s="1059"/>
      <c r="F232" s="1059"/>
      <c r="G232" s="1059"/>
      <c r="H232" s="1059"/>
      <c r="I232" s="1059"/>
      <c r="J232" s="1059"/>
      <c r="K232" s="1060"/>
      <c r="L232" s="1061"/>
      <c r="M232" s="1059"/>
      <c r="N232" s="1059"/>
      <c r="O232" s="1059"/>
      <c r="P232" s="1059"/>
      <c r="Q232" s="1059"/>
      <c r="R232" s="1059"/>
      <c r="S232" s="1059"/>
      <c r="T232" s="1059"/>
    </row>
    <row r="233" spans="1:20">
      <c r="A233" s="1059"/>
      <c r="B233" s="1059"/>
      <c r="C233" s="1059"/>
      <c r="D233" s="1059"/>
      <c r="E233" s="1059"/>
      <c r="F233" s="1059"/>
      <c r="G233" s="1059"/>
      <c r="H233" s="1059"/>
      <c r="I233" s="1059"/>
      <c r="J233" s="1059"/>
      <c r="K233" s="1060"/>
      <c r="L233" s="1061"/>
      <c r="M233" s="1059"/>
      <c r="N233" s="1059"/>
      <c r="O233" s="1059"/>
      <c r="P233" s="1059"/>
      <c r="Q233" s="1059"/>
      <c r="R233" s="1059"/>
      <c r="S233" s="1059"/>
      <c r="T233" s="1059"/>
    </row>
    <row r="234" spans="1:20">
      <c r="A234" s="1059"/>
      <c r="B234" s="1059"/>
      <c r="C234" s="1059"/>
      <c r="D234" s="1059"/>
      <c r="E234" s="1059"/>
      <c r="F234" s="1059"/>
      <c r="G234" s="1059"/>
      <c r="H234" s="1059"/>
      <c r="I234" s="1059"/>
      <c r="J234" s="1059"/>
      <c r="K234" s="1060"/>
      <c r="L234" s="1061"/>
      <c r="M234" s="1059"/>
      <c r="N234" s="1059"/>
      <c r="O234" s="1059"/>
      <c r="P234" s="1059"/>
      <c r="Q234" s="1059"/>
      <c r="R234" s="1059"/>
      <c r="S234" s="1059"/>
      <c r="T234" s="1059"/>
    </row>
    <row r="235" spans="1:20">
      <c r="A235" s="1059"/>
      <c r="B235" s="1059"/>
      <c r="C235" s="1059"/>
      <c r="D235" s="1059"/>
      <c r="E235" s="1059"/>
      <c r="F235" s="1059"/>
      <c r="G235" s="1059"/>
      <c r="H235" s="1059"/>
      <c r="I235" s="1059"/>
      <c r="J235" s="1059"/>
      <c r="K235" s="1060"/>
      <c r="L235" s="1061"/>
      <c r="M235" s="1059"/>
      <c r="N235" s="1059"/>
      <c r="O235" s="1059"/>
      <c r="P235" s="1059"/>
      <c r="Q235" s="1059"/>
      <c r="R235" s="1059"/>
      <c r="S235" s="1059"/>
      <c r="T235" s="1059"/>
    </row>
    <row r="236" spans="1:20">
      <c r="A236" s="1059"/>
      <c r="B236" s="1059"/>
      <c r="C236" s="1059"/>
      <c r="D236" s="1059"/>
      <c r="E236" s="1059"/>
      <c r="F236" s="1059"/>
      <c r="G236" s="1059"/>
      <c r="H236" s="1059"/>
      <c r="I236" s="1059"/>
      <c r="J236" s="1059"/>
      <c r="K236" s="1060"/>
      <c r="L236" s="1061"/>
      <c r="M236" s="1059"/>
      <c r="N236" s="1059"/>
      <c r="O236" s="1059"/>
      <c r="P236" s="1059"/>
      <c r="Q236" s="1059"/>
      <c r="R236" s="1059"/>
      <c r="S236" s="1059"/>
      <c r="T236" s="1059"/>
    </row>
    <row r="237" spans="1:20">
      <c r="A237" s="1059"/>
      <c r="B237" s="1059"/>
      <c r="C237" s="1059"/>
      <c r="D237" s="1059"/>
      <c r="E237" s="1059"/>
      <c r="F237" s="1059"/>
      <c r="G237" s="1059"/>
      <c r="H237" s="1059"/>
      <c r="I237" s="1059"/>
      <c r="J237" s="1059"/>
      <c r="K237" s="1060"/>
      <c r="L237" s="1061"/>
      <c r="M237" s="1059"/>
      <c r="N237" s="1059"/>
      <c r="O237" s="1059"/>
      <c r="P237" s="1059"/>
      <c r="Q237" s="1059"/>
      <c r="R237" s="1059"/>
      <c r="S237" s="1059"/>
      <c r="T237" s="1059"/>
    </row>
    <row r="238" spans="1:20">
      <c r="A238" s="1059"/>
      <c r="B238" s="1059"/>
      <c r="C238" s="1059"/>
      <c r="D238" s="1059"/>
      <c r="E238" s="1059"/>
      <c r="F238" s="1059"/>
      <c r="G238" s="1059"/>
      <c r="H238" s="1059"/>
      <c r="I238" s="1059"/>
      <c r="J238" s="1059"/>
      <c r="K238" s="1060"/>
      <c r="L238" s="1061"/>
      <c r="M238" s="1059"/>
      <c r="N238" s="1059"/>
      <c r="O238" s="1059"/>
      <c r="P238" s="1059"/>
      <c r="Q238" s="1059"/>
      <c r="R238" s="1059"/>
      <c r="S238" s="1059"/>
      <c r="T238" s="1059"/>
    </row>
    <row r="239" spans="1:20">
      <c r="A239" s="1059"/>
      <c r="B239" s="1059"/>
      <c r="C239" s="1059"/>
      <c r="D239" s="1059"/>
      <c r="E239" s="1059"/>
      <c r="F239" s="1059"/>
      <c r="G239" s="1059"/>
      <c r="H239" s="1059"/>
      <c r="I239" s="1059"/>
      <c r="J239" s="1059"/>
      <c r="K239" s="1060"/>
      <c r="L239" s="1061"/>
      <c r="M239" s="1059"/>
      <c r="N239" s="1059"/>
      <c r="O239" s="1059"/>
      <c r="P239" s="1059"/>
      <c r="Q239" s="1059"/>
      <c r="R239" s="1059"/>
      <c r="S239" s="1059"/>
      <c r="T239" s="1059"/>
    </row>
    <row r="240" spans="1:20">
      <c r="A240" s="1059"/>
      <c r="B240" s="1059"/>
      <c r="C240" s="1059"/>
      <c r="D240" s="1059"/>
      <c r="E240" s="1059"/>
      <c r="F240" s="1059"/>
      <c r="G240" s="1059"/>
      <c r="H240" s="1059"/>
      <c r="I240" s="1059"/>
      <c r="J240" s="1059"/>
      <c r="K240" s="1060"/>
      <c r="L240" s="1061"/>
      <c r="M240" s="1059"/>
      <c r="N240" s="1059"/>
      <c r="O240" s="1059"/>
      <c r="P240" s="1059"/>
      <c r="Q240" s="1059"/>
      <c r="R240" s="1059"/>
      <c r="S240" s="1059"/>
      <c r="T240" s="1059"/>
    </row>
    <row r="241" spans="1:20">
      <c r="A241" s="1059"/>
      <c r="B241" s="1059"/>
      <c r="C241" s="1059"/>
      <c r="D241" s="1059"/>
      <c r="E241" s="1059"/>
      <c r="F241" s="1059"/>
      <c r="G241" s="1059"/>
      <c r="H241" s="1059"/>
      <c r="I241" s="1059"/>
      <c r="J241" s="1059"/>
      <c r="K241" s="1060"/>
      <c r="L241" s="1061"/>
      <c r="M241" s="1059"/>
      <c r="N241" s="1059"/>
      <c r="O241" s="1059"/>
      <c r="P241" s="1059"/>
      <c r="Q241" s="1059"/>
      <c r="R241" s="1059"/>
      <c r="S241" s="1059"/>
      <c r="T241" s="1059"/>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P14:P25"/>
    <mergeCell ref="Y14:Y25"/>
    <mergeCell ref="P26:P34"/>
    <mergeCell ref="Y26:Y34"/>
    <mergeCell ref="P35:Q35"/>
    <mergeCell ref="R35:S35"/>
    <mergeCell ref="T35:U35"/>
    <mergeCell ref="V35:W35"/>
    <mergeCell ref="P36:Q36"/>
    <mergeCell ref="R36:S36"/>
    <mergeCell ref="T36:U36"/>
    <mergeCell ref="V36:W36"/>
    <mergeCell ref="P37:Q37"/>
    <mergeCell ref="R37:W37"/>
  </mergeCells>
  <phoneticPr fontId="32" type="noConversion"/>
  <conditionalFormatting sqref="F40 H40 J40">
    <cfRule type="containsText" dxfId="36" priority="18" stopIfTrue="1" operator="containsText" text="超过">
      <formula>NOT(ISERROR(SEARCH("超过",F40)))</formula>
    </cfRule>
  </conditionalFormatting>
  <conditionalFormatting sqref="J42">
    <cfRule type="containsText" dxfId="35" priority="17" stopIfTrue="1" operator="containsText" text="超过">
      <formula>NOT(ISERROR(SEARCH("超过",J42)))</formula>
    </cfRule>
  </conditionalFormatting>
  <conditionalFormatting sqref="H42">
    <cfRule type="containsText" dxfId="34" priority="16" stopIfTrue="1" operator="containsText" text="超过">
      <formula>NOT(ISERROR(SEARCH("超过",H42)))</formula>
    </cfRule>
  </conditionalFormatting>
  <conditionalFormatting sqref="F42">
    <cfRule type="containsText" dxfId="33" priority="15" stopIfTrue="1" operator="containsText" text="超过">
      <formula>NOT(ISERROR(SEARCH("超过",F42)))</formula>
    </cfRule>
  </conditionalFormatting>
  <conditionalFormatting sqref="F41 H41 J41">
    <cfRule type="containsText" dxfId="32" priority="14" stopIfTrue="1" operator="containsText" text="超过">
      <formula>NOT(ISERROR(SEARCH("超过",F41)))</formula>
    </cfRule>
  </conditionalFormatting>
  <conditionalFormatting sqref="E40">
    <cfRule type="expression" dxfId="31" priority="13" stopIfTrue="1">
      <formula>$F$40="超过30%"</formula>
    </cfRule>
  </conditionalFormatting>
  <conditionalFormatting sqref="G42">
    <cfRule type="expression" dxfId="30" priority="12" stopIfTrue="1">
      <formula>$H$54+$H$42="超过30%"</formula>
    </cfRule>
  </conditionalFormatting>
  <conditionalFormatting sqref="E41">
    <cfRule type="expression" dxfId="29" priority="11" stopIfTrue="1">
      <formula>$F$41="超过20%"</formula>
    </cfRule>
  </conditionalFormatting>
  <conditionalFormatting sqref="E42">
    <cfRule type="expression" dxfId="28" priority="10" stopIfTrue="1">
      <formula>$F$42="超过30%"</formula>
    </cfRule>
  </conditionalFormatting>
  <conditionalFormatting sqref="G40">
    <cfRule type="expression" dxfId="27" priority="9" stopIfTrue="1">
      <formula>$H$52+$H$40="超过30%"</formula>
    </cfRule>
  </conditionalFormatting>
  <conditionalFormatting sqref="G41">
    <cfRule type="expression" dxfId="26" priority="8" stopIfTrue="1">
      <formula>$H$53+$H$41="超过20%"</formula>
    </cfRule>
  </conditionalFormatting>
  <conditionalFormatting sqref="I40">
    <cfRule type="expression" dxfId="25" priority="7" stopIfTrue="1">
      <formula>$J$40="超过30%"</formula>
    </cfRule>
  </conditionalFormatting>
  <conditionalFormatting sqref="I41">
    <cfRule type="expression" dxfId="24" priority="6" stopIfTrue="1">
      <formula>$J$41="超过20%"</formula>
    </cfRule>
  </conditionalFormatting>
  <conditionalFormatting sqref="I42">
    <cfRule type="expression" dxfId="23" priority="5" stopIfTrue="1">
      <formula>$J$42="超过30%"</formula>
    </cfRule>
  </conditionalFormatting>
  <conditionalFormatting sqref="F36">
    <cfRule type="expression" dxfId="22" priority="4">
      <formula>$D$36="简单平均"</formula>
    </cfRule>
  </conditionalFormatting>
  <conditionalFormatting sqref="H36">
    <cfRule type="expression" dxfId="21" priority="3">
      <formula>$D$36="简单平均"</formula>
    </cfRule>
  </conditionalFormatting>
  <conditionalFormatting sqref="J36">
    <cfRule type="expression" dxfId="20" priority="2">
      <formula>$D$36="简单平均"</formula>
    </cfRule>
  </conditionalFormatting>
  <conditionalFormatting sqref="F7:F34 H7:H34 J7:J34">
    <cfRule type="cellIs" dxfId="19"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E17 I17">
      <formula1>公共配套设施</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36">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E123"/>
  <sheetViews>
    <sheetView view="pageBreakPreview" zoomScale="60" zoomScaleNormal="60" workbookViewId="0">
      <selection activeCell="F7" sqref="C7:Q40"/>
    </sheetView>
  </sheetViews>
  <sheetFormatPr defaultColWidth="9" defaultRowHeight="14.25"/>
  <cols>
    <col min="1" max="1" width="14.375" style="362" customWidth="1"/>
    <col min="2" max="2" width="15.75" style="362" customWidth="1"/>
    <col min="3" max="3" width="14.375" style="362" customWidth="1"/>
    <col min="4" max="4" width="12.25" style="362" customWidth="1"/>
    <col min="5" max="5" width="14.375" style="362" customWidth="1"/>
    <col min="6" max="6" width="12.25" style="362" customWidth="1"/>
    <col min="7" max="7" width="14.5" style="362" customWidth="1"/>
    <col min="8" max="8" width="12.25" style="362" customWidth="1"/>
    <col min="9" max="9" width="14.5" style="362" customWidth="1"/>
    <col min="10" max="10" width="12.25" style="362" customWidth="1"/>
    <col min="11" max="11" width="12.25" style="451" customWidth="1"/>
    <col min="12" max="12" width="12.25" style="452" customWidth="1"/>
    <col min="13" max="15" width="12.25" style="362" customWidth="1"/>
    <col min="16" max="16" width="4.75" style="362" customWidth="1"/>
    <col min="17" max="17" width="19.5" style="362" customWidth="1"/>
    <col min="18" max="22" width="6.125" style="362" customWidth="1"/>
    <col min="23" max="23" width="5.75" style="362" customWidth="1"/>
    <col min="24" max="24" width="4.25" style="362" customWidth="1"/>
    <col min="25" max="25" width="3.5" style="362" customWidth="1"/>
    <col min="26" max="26" width="19.75" style="362" customWidth="1"/>
    <col min="27" max="28" width="9.375" style="362" customWidth="1"/>
    <col min="29" max="16384" width="9" style="362"/>
  </cols>
  <sheetData>
    <row r="1" spans="1:29" s="357" customFormat="1" ht="28.5" customHeight="1">
      <c r="A1" s="354" t="s">
        <v>2559</v>
      </c>
      <c r="B1" s="355"/>
      <c r="C1" s="356" t="s">
        <v>2601</v>
      </c>
      <c r="D1" s="693"/>
      <c r="E1" s="693"/>
      <c r="F1" s="692" t="s">
        <v>2458</v>
      </c>
      <c r="G1" s="693"/>
      <c r="H1" s="693"/>
      <c r="I1" s="693"/>
      <c r="J1" s="693"/>
      <c r="K1" s="694"/>
      <c r="L1" s="695"/>
      <c r="M1" s="696"/>
      <c r="N1" s="696"/>
      <c r="O1" s="696"/>
      <c r="P1" s="706"/>
      <c r="Q1" s="706"/>
      <c r="R1" s="706"/>
      <c r="S1" s="706"/>
      <c r="T1" s="706"/>
      <c r="U1" s="706"/>
      <c r="V1" s="706"/>
      <c r="W1" s="706"/>
      <c r="X1" s="706"/>
      <c r="Y1" s="706"/>
      <c r="Z1" s="706"/>
      <c r="AA1" s="706"/>
      <c r="AB1" s="706"/>
      <c r="AC1" s="707"/>
    </row>
    <row r="2" spans="1:29" s="357" customFormat="1" ht="28.5" customHeight="1">
      <c r="A2" s="207" t="s">
        <v>2147</v>
      </c>
      <c r="B2" s="626" t="e">
        <f>F61</f>
        <v>#DIV/0!</v>
      </c>
      <c r="C2" s="1031"/>
      <c r="D2" s="1031"/>
      <c r="E2" s="1031"/>
      <c r="F2" s="1032"/>
      <c r="G2" s="1031"/>
      <c r="H2" s="1031"/>
      <c r="I2" s="1031"/>
      <c r="J2" s="1031"/>
      <c r="K2" s="1033"/>
      <c r="L2" s="2944"/>
      <c r="M2" s="2945"/>
      <c r="N2" s="2945"/>
      <c r="O2" s="2945"/>
      <c r="P2" s="706"/>
      <c r="Q2" s="706"/>
      <c r="R2" s="706"/>
      <c r="S2" s="706"/>
      <c r="T2" s="706"/>
      <c r="U2" s="706"/>
      <c r="V2" s="706"/>
      <c r="W2" s="706"/>
      <c r="X2" s="706"/>
      <c r="Y2" s="706"/>
      <c r="Z2" s="706"/>
      <c r="AA2" s="706"/>
      <c r="AB2" s="706"/>
      <c r="AC2" s="707"/>
    </row>
    <row r="3" spans="1:29" s="357" customFormat="1" ht="28.5" customHeight="1" thickBot="1">
      <c r="A3" s="209" t="s">
        <v>2149</v>
      </c>
      <c r="B3" s="565" t="e">
        <f>ROUND(IF(D3="",B2*10000/'数据-汇总表'!E3,B2*10000/D3),0)</f>
        <v>#DIV/0!</v>
      </c>
      <c r="C3" s="209" t="s">
        <v>2560</v>
      </c>
      <c r="D3" s="1343"/>
      <c r="E3" s="1031"/>
      <c r="F3" s="1032"/>
      <c r="G3" s="1031"/>
      <c r="H3" s="1031"/>
      <c r="I3" s="1031"/>
      <c r="J3" s="1031"/>
      <c r="K3" s="1033"/>
      <c r="L3" s="2944"/>
      <c r="M3" s="2945"/>
      <c r="N3" s="2945"/>
      <c r="O3" s="2945"/>
      <c r="P3" s="706"/>
      <c r="Q3" s="706"/>
      <c r="R3" s="706"/>
      <c r="S3" s="706"/>
      <c r="T3" s="706"/>
      <c r="U3" s="706"/>
      <c r="V3" s="706"/>
      <c r="W3" s="706"/>
      <c r="X3" s="706"/>
      <c r="Y3" s="706"/>
      <c r="Z3" s="706"/>
      <c r="AA3" s="706"/>
      <c r="AB3" s="723"/>
      <c r="AC3" s="720"/>
    </row>
    <row r="4" spans="1:29" ht="15">
      <c r="A4" s="360" t="s">
        <v>2460</v>
      </c>
      <c r="B4" s="361"/>
      <c r="C4" s="3357" t="s">
        <v>2461</v>
      </c>
      <c r="D4" s="3370"/>
      <c r="E4" s="3371" t="s">
        <v>2462</v>
      </c>
      <c r="F4" s="3372"/>
      <c r="G4" s="3357" t="s">
        <v>2463</v>
      </c>
      <c r="H4" s="3370"/>
      <c r="I4" s="3357" t="s">
        <v>2464</v>
      </c>
      <c r="J4" s="3370"/>
      <c r="K4" s="566" t="s">
        <v>2465</v>
      </c>
      <c r="L4" s="2925"/>
      <c r="M4" s="2926"/>
      <c r="N4" s="2926"/>
      <c r="O4" s="2926"/>
      <c r="P4" s="3373" t="s">
        <v>2466</v>
      </c>
      <c r="Q4" s="3374"/>
      <c r="R4" s="3379" t="s">
        <v>2462</v>
      </c>
      <c r="S4" s="3380"/>
      <c r="T4" s="3379" t="s">
        <v>2463</v>
      </c>
      <c r="U4" s="3380"/>
      <c r="V4" s="3366" t="s">
        <v>2464</v>
      </c>
      <c r="W4" s="3366"/>
      <c r="X4" s="1529"/>
      <c r="Y4" s="3379" t="s">
        <v>2466</v>
      </c>
      <c r="Z4" s="3380"/>
      <c r="AA4" s="3367" t="s">
        <v>2462</v>
      </c>
      <c r="AB4" s="3368" t="s">
        <v>2463</v>
      </c>
      <c r="AC4" s="3367" t="s">
        <v>2464</v>
      </c>
    </row>
    <row r="5" spans="1:29" ht="15">
      <c r="A5" s="363"/>
      <c r="B5" s="364"/>
      <c r="C5" s="3387" t="s">
        <v>2357</v>
      </c>
      <c r="D5" s="3388"/>
      <c r="E5" s="3394" t="s">
        <v>2358</v>
      </c>
      <c r="F5" s="3395"/>
      <c r="G5" s="3387" t="s">
        <v>2359</v>
      </c>
      <c r="H5" s="3388"/>
      <c r="I5" s="3387" t="s">
        <v>2360</v>
      </c>
      <c r="J5" s="3388"/>
      <c r="K5" s="566"/>
      <c r="L5" s="2925"/>
      <c r="M5" s="2926"/>
      <c r="N5" s="2926"/>
      <c r="O5" s="2926"/>
      <c r="P5" s="3375"/>
      <c r="Q5" s="3376"/>
      <c r="R5" s="3381"/>
      <c r="S5" s="3382"/>
      <c r="T5" s="3381"/>
      <c r="U5" s="3382"/>
      <c r="V5" s="3366"/>
      <c r="W5" s="3366"/>
      <c r="X5" s="1529"/>
      <c r="Y5" s="3381"/>
      <c r="Z5" s="3382"/>
      <c r="AA5" s="3368"/>
      <c r="AB5" s="3368"/>
      <c r="AC5" s="3368"/>
    </row>
    <row r="6" spans="1:29" ht="15.75" thickBot="1">
      <c r="A6" s="365"/>
      <c r="B6" s="366"/>
      <c r="C6" s="3480" t="s">
        <v>2602</v>
      </c>
      <c r="D6" s="3481"/>
      <c r="E6" s="3482" t="s">
        <v>2602</v>
      </c>
      <c r="F6" s="3483"/>
      <c r="G6" s="3480" t="s">
        <v>2602</v>
      </c>
      <c r="H6" s="3481"/>
      <c r="I6" s="3480" t="s">
        <v>2602</v>
      </c>
      <c r="J6" s="3481"/>
      <c r="K6" s="566" t="s">
        <v>2362</v>
      </c>
      <c r="L6" s="2925"/>
      <c r="M6" s="2926"/>
      <c r="N6" s="2926"/>
      <c r="O6" s="2926"/>
      <c r="P6" s="3377"/>
      <c r="Q6" s="3378"/>
      <c r="R6" s="3381"/>
      <c r="S6" s="3382"/>
      <c r="T6" s="3383"/>
      <c r="U6" s="3384"/>
      <c r="V6" s="3366"/>
      <c r="W6" s="3366"/>
      <c r="X6" s="1529"/>
      <c r="Y6" s="3383"/>
      <c r="Z6" s="3384"/>
      <c r="AA6" s="3369"/>
      <c r="AB6" s="3369"/>
      <c r="AC6" s="3369"/>
    </row>
    <row r="7" spans="1:29" s="113" customFormat="1" ht="15.75" thickBot="1">
      <c r="A7" s="367" t="s">
        <v>2363</v>
      </c>
      <c r="B7" s="368"/>
      <c r="C7" s="369">
        <f>'数据-取费表'!B2</f>
        <v>44280</v>
      </c>
      <c r="D7" s="370">
        <v>100</v>
      </c>
      <c r="E7" s="371"/>
      <c r="F7" s="372">
        <f>SUMIF(65:65,YEAR(E7)&amp;"-"&amp;INT((MONTH(E7)+2)/3),66:66)</f>
        <v>0</v>
      </c>
      <c r="G7" s="2147"/>
      <c r="H7" s="370">
        <f>SUMIF(65:65,YEAR(G7)&amp;"-"&amp;INT((MONTH(G7)+2)/3),66:66)</f>
        <v>0</v>
      </c>
      <c r="I7" s="2147"/>
      <c r="J7" s="370">
        <f>SUMIF(65:65,YEAR(I7)&amp;"-"&amp;INT((MONTH(I7)+2)/3),66:66)</f>
        <v>0</v>
      </c>
      <c r="K7" s="567"/>
      <c r="L7" s="2927"/>
      <c r="M7" s="2928"/>
      <c r="N7" s="2928"/>
      <c r="O7" s="2928"/>
      <c r="P7" s="3389" t="s">
        <v>2364</v>
      </c>
      <c r="Q7" s="3391"/>
      <c r="R7" s="708" t="s">
        <v>17</v>
      </c>
      <c r="S7" s="709">
        <f t="shared" ref="S7:S15" si="0">F7</f>
        <v>0</v>
      </c>
      <c r="T7" s="708" t="s">
        <v>17</v>
      </c>
      <c r="U7" s="709">
        <f t="shared" ref="U7:U15" si="1">H7</f>
        <v>0</v>
      </c>
      <c r="V7" s="708" t="s">
        <v>17</v>
      </c>
      <c r="W7" s="709">
        <f t="shared" ref="W7:W15" si="2">J7</f>
        <v>0</v>
      </c>
      <c r="X7" s="710"/>
      <c r="Y7" s="3389" t="s">
        <v>2364</v>
      </c>
      <c r="Z7" s="3390"/>
      <c r="AA7" s="711" t="e">
        <f>D7/F7</f>
        <v>#DIV/0!</v>
      </c>
      <c r="AB7" s="711" t="e">
        <f>D7/H7</f>
        <v>#DIV/0!</v>
      </c>
      <c r="AC7" s="711" t="e">
        <f>D7/J7</f>
        <v>#DIV/0!</v>
      </c>
    </row>
    <row r="8" spans="1:29" s="113" customFormat="1" ht="15.75" thickBot="1">
      <c r="A8" s="367" t="s">
        <v>2365</v>
      </c>
      <c r="B8" s="368"/>
      <c r="C8" s="373" t="s">
        <v>2366</v>
      </c>
      <c r="D8" s="370">
        <v>100</v>
      </c>
      <c r="E8" s="373"/>
      <c r="F8" s="372">
        <f>SUMIF(68:68,E8,69:69)-SUMIF(68:68,C8,69:69)+100</f>
        <v>0</v>
      </c>
      <c r="G8" s="373"/>
      <c r="H8" s="370">
        <f>SUMIF(68:68,G8,69:69)-SUMIF(68:68,C8,69:69)+100</f>
        <v>0</v>
      </c>
      <c r="I8" s="373"/>
      <c r="J8" s="370">
        <f>SUMIF(68:68,I8,69:69)-SUMIF(68:68,C8,69:69)+100</f>
        <v>0</v>
      </c>
      <c r="K8" s="567"/>
      <c r="L8" s="2927"/>
      <c r="M8" s="2928"/>
      <c r="N8" s="2928"/>
      <c r="O8" s="2928"/>
      <c r="P8" s="3389" t="s">
        <v>2367</v>
      </c>
      <c r="Q8" s="3390"/>
      <c r="R8" s="708" t="s">
        <v>17</v>
      </c>
      <c r="S8" s="709">
        <f t="shared" si="0"/>
        <v>0</v>
      </c>
      <c r="T8" s="708" t="s">
        <v>17</v>
      </c>
      <c r="U8" s="709">
        <f t="shared" si="1"/>
        <v>0</v>
      </c>
      <c r="V8" s="708" t="s">
        <v>17</v>
      </c>
      <c r="W8" s="709">
        <f t="shared" si="2"/>
        <v>0</v>
      </c>
      <c r="X8" s="710"/>
      <c r="Y8" s="3389" t="s">
        <v>2367</v>
      </c>
      <c r="Z8" s="3390"/>
      <c r="AA8" s="711" t="e">
        <f t="shared" ref="AA8:AA40" si="3">D8/F8</f>
        <v>#DIV/0!</v>
      </c>
      <c r="AB8" s="711" t="e">
        <f t="shared" ref="AB8:AB40" si="4">D8/H8</f>
        <v>#DIV/0!</v>
      </c>
      <c r="AC8" s="711" t="e">
        <f t="shared" ref="AC8:AC40" si="5">D8/J8</f>
        <v>#DIV/0!</v>
      </c>
    </row>
    <row r="9" spans="1:29" s="113" customFormat="1">
      <c r="A9" s="374" t="s">
        <v>2368</v>
      </c>
      <c r="B9" s="67" t="s">
        <v>2369</v>
      </c>
      <c r="C9" s="2150"/>
      <c r="D9" s="131">
        <v>100</v>
      </c>
      <c r="E9" s="2150"/>
      <c r="F9" s="131">
        <f>SUMIF(70:70,E9,71:71)-SUMIF(70:70,C9,71:71)+100</f>
        <v>100</v>
      </c>
      <c r="G9" s="2150"/>
      <c r="H9" s="131">
        <f>SUMIF(70:70,G9,71:71)-SUMIF(70:70,C9,71:71)+100</f>
        <v>100</v>
      </c>
      <c r="I9" s="2150"/>
      <c r="J9" s="131">
        <f>SUMIF(70:70,I9,71:71)-SUMIF(70:70,C9,71:71)+100</f>
        <v>100</v>
      </c>
      <c r="K9" s="567"/>
      <c r="L9" s="2927"/>
      <c r="M9" s="2928"/>
      <c r="N9" s="2928"/>
      <c r="O9" s="2982"/>
      <c r="P9" s="3360" t="s">
        <v>2370</v>
      </c>
      <c r="Q9" s="1517" t="str">
        <f t="shared" ref="Q9:Q15" si="6">B9</f>
        <v>用途</v>
      </c>
      <c r="R9" s="708" t="s">
        <v>17</v>
      </c>
      <c r="S9" s="709">
        <f t="shared" si="0"/>
        <v>100</v>
      </c>
      <c r="T9" s="708" t="s">
        <v>17</v>
      </c>
      <c r="U9" s="709">
        <f t="shared" si="1"/>
        <v>100</v>
      </c>
      <c r="V9" s="708" t="s">
        <v>17</v>
      </c>
      <c r="W9" s="709">
        <f t="shared" si="2"/>
        <v>100</v>
      </c>
      <c r="X9" s="710"/>
      <c r="Y9" s="3257" t="s">
        <v>2371</v>
      </c>
      <c r="Z9" s="55" t="str">
        <f t="shared" ref="Z9:Z15" si="7">Q9</f>
        <v>用途</v>
      </c>
      <c r="AA9" s="711">
        <f t="shared" si="3"/>
        <v>1</v>
      </c>
      <c r="AB9" s="711">
        <f t="shared" si="4"/>
        <v>1</v>
      </c>
      <c r="AC9" s="711">
        <f t="shared" si="5"/>
        <v>1</v>
      </c>
    </row>
    <row r="10" spans="1:29" s="385" customFormat="1" ht="27">
      <c r="A10" s="379"/>
      <c r="B10" s="380" t="s">
        <v>2372</v>
      </c>
      <c r="C10" s="390"/>
      <c r="D10" s="132">
        <v>100</v>
      </c>
      <c r="E10" s="390"/>
      <c r="F10" s="132">
        <f>ROUND(100/'数据-取费表'!G16,0)</f>
        <v>108</v>
      </c>
      <c r="G10" s="390"/>
      <c r="H10" s="132">
        <f>ROUND(100/'数据-取费表'!G16,0)</f>
        <v>108</v>
      </c>
      <c r="I10" s="390"/>
      <c r="J10" s="132">
        <f>ROUND(100/'数据-取费表'!G16,0)</f>
        <v>108</v>
      </c>
      <c r="K10" s="627"/>
      <c r="L10" s="2929"/>
      <c r="M10" s="2930"/>
      <c r="N10" s="2930"/>
      <c r="O10" s="2983"/>
      <c r="P10" s="3360"/>
      <c r="Q10" s="1517" t="str">
        <f t="shared" si="6"/>
        <v>土地使用年限（年）</v>
      </c>
      <c r="R10" s="708" t="s">
        <v>17</v>
      </c>
      <c r="S10" s="709">
        <f t="shared" si="0"/>
        <v>108</v>
      </c>
      <c r="T10" s="708" t="s">
        <v>17</v>
      </c>
      <c r="U10" s="709">
        <f t="shared" si="1"/>
        <v>108</v>
      </c>
      <c r="V10" s="708" t="s">
        <v>17</v>
      </c>
      <c r="W10" s="709">
        <f t="shared" si="2"/>
        <v>108</v>
      </c>
      <c r="X10" s="710"/>
      <c r="Y10" s="3257"/>
      <c r="Z10" s="55" t="str">
        <f t="shared" si="7"/>
        <v>土地使用年限（年）</v>
      </c>
      <c r="AA10" s="711">
        <f t="shared" si="3"/>
        <v>0.92592592592592593</v>
      </c>
      <c r="AB10" s="711">
        <f t="shared" si="4"/>
        <v>0.92592592592592593</v>
      </c>
      <c r="AC10" s="711">
        <f t="shared" si="5"/>
        <v>0.92592592592592593</v>
      </c>
    </row>
    <row r="11" spans="1:29" ht="15">
      <c r="A11" s="386"/>
      <c r="B11" s="380" t="s">
        <v>2373</v>
      </c>
      <c r="C11" s="387"/>
      <c r="D11" s="132">
        <v>100</v>
      </c>
      <c r="E11" s="387"/>
      <c r="F11" s="132" t="e">
        <f>LOOKUP(E11,75:75,76:76)-LOOKUP(C11,75:75,76:76)+100</f>
        <v>#N/A</v>
      </c>
      <c r="G11" s="388"/>
      <c r="H11" s="132" t="e">
        <f>LOOKUP(G11,75:75,76:76)-LOOKUP(C11,75:75,76:76)+100</f>
        <v>#N/A</v>
      </c>
      <c r="I11" s="387"/>
      <c r="J11" s="132" t="e">
        <f>LOOKUP(I11,75:75,76:76)-LOOKUP(C11,75:75,76:76)+100</f>
        <v>#N/A</v>
      </c>
      <c r="K11" s="628"/>
      <c r="L11" s="2931"/>
      <c r="M11" s="2926"/>
      <c r="N11" s="2926"/>
      <c r="O11" s="2984"/>
      <c r="P11" s="3360"/>
      <c r="Q11" s="1517" t="str">
        <f t="shared" si="6"/>
        <v>容积率</v>
      </c>
      <c r="R11" s="708" t="s">
        <v>17</v>
      </c>
      <c r="S11" s="709" t="e">
        <f t="shared" si="0"/>
        <v>#N/A</v>
      </c>
      <c r="T11" s="708" t="s">
        <v>17</v>
      </c>
      <c r="U11" s="709" t="e">
        <f t="shared" si="1"/>
        <v>#N/A</v>
      </c>
      <c r="V11" s="708" t="s">
        <v>17</v>
      </c>
      <c r="W11" s="709" t="e">
        <f t="shared" si="2"/>
        <v>#N/A</v>
      </c>
      <c r="X11" s="710"/>
      <c r="Y11" s="3257"/>
      <c r="Z11" s="55" t="str">
        <f t="shared" si="7"/>
        <v>容积率</v>
      </c>
      <c r="AA11" s="711" t="e">
        <f t="shared" si="3"/>
        <v>#N/A</v>
      </c>
      <c r="AB11" s="711" t="e">
        <f t="shared" si="4"/>
        <v>#N/A</v>
      </c>
      <c r="AC11" s="711" t="e">
        <f t="shared" si="5"/>
        <v>#N/A</v>
      </c>
    </row>
    <row r="12" spans="1:29" s="113" customFormat="1" ht="15">
      <c r="A12" s="389"/>
      <c r="B12" s="2066">
        <v>111</v>
      </c>
      <c r="C12" s="390"/>
      <c r="D12" s="391">
        <v>100</v>
      </c>
      <c r="E12" s="505"/>
      <c r="F12" s="132">
        <f>SUMIF(77:77,E12,78:78)-SUMIF(77:77,C12,78:78)+100</f>
        <v>100</v>
      </c>
      <c r="G12" s="629"/>
      <c r="H12" s="132">
        <f>SUMIF(77:77,G12,78:78)-SUMIF(77:77,C12,78:78)+100</f>
        <v>100</v>
      </c>
      <c r="I12" s="505"/>
      <c r="J12" s="132">
        <f>SUMIF(77:77,I12,78:78)-SUMIF(77:77,C12,78:78)+100</f>
        <v>100</v>
      </c>
      <c r="K12" s="627"/>
      <c r="L12" s="2927"/>
      <c r="M12" s="2928"/>
      <c r="N12" s="2928"/>
      <c r="O12" s="2982"/>
      <c r="P12" s="3360"/>
      <c r="Q12" s="1517">
        <f t="shared" si="6"/>
        <v>111</v>
      </c>
      <c r="R12" s="708" t="s">
        <v>17</v>
      </c>
      <c r="S12" s="709">
        <f t="shared" si="0"/>
        <v>100</v>
      </c>
      <c r="T12" s="708" t="s">
        <v>17</v>
      </c>
      <c r="U12" s="709">
        <f t="shared" si="1"/>
        <v>100</v>
      </c>
      <c r="V12" s="708" t="s">
        <v>17</v>
      </c>
      <c r="W12" s="709">
        <f t="shared" si="2"/>
        <v>100</v>
      </c>
      <c r="X12" s="710"/>
      <c r="Y12" s="3257"/>
      <c r="Z12" s="55">
        <f t="shared" si="7"/>
        <v>111</v>
      </c>
      <c r="AA12" s="711">
        <f>D12/F12</f>
        <v>1</v>
      </c>
      <c r="AB12" s="711">
        <f>D12/H12</f>
        <v>1</v>
      </c>
      <c r="AC12" s="711">
        <f>D12/J12</f>
        <v>1</v>
      </c>
    </row>
    <row r="13" spans="1:29" ht="15">
      <c r="A13" s="386"/>
      <c r="B13" s="2066">
        <v>111</v>
      </c>
      <c r="C13" s="392"/>
      <c r="D13" s="393">
        <v>100</v>
      </c>
      <c r="E13" s="505"/>
      <c r="F13" s="132">
        <f>SUMIF(79:79,E13,80:80)-SUMIF(79:79,C13,80:80)+100</f>
        <v>100</v>
      </c>
      <c r="G13" s="629"/>
      <c r="H13" s="393">
        <f>SUMIF(79:79,G13,80:80)-SUMIF(79:79,C13,80:80)+100</f>
        <v>100</v>
      </c>
      <c r="I13" s="505"/>
      <c r="J13" s="393">
        <f>SUMIF(79:79,I13,80:80)-SUMIF(79:79,C13,80:80)+100</f>
        <v>100</v>
      </c>
      <c r="K13" s="627"/>
      <c r="L13" s="2932"/>
      <c r="M13" s="2926"/>
      <c r="N13" s="2926"/>
      <c r="O13" s="2984"/>
      <c r="P13" s="3360"/>
      <c r="Q13" s="1517">
        <f t="shared" si="6"/>
        <v>111</v>
      </c>
      <c r="R13" s="708" t="s">
        <v>17</v>
      </c>
      <c r="S13" s="709">
        <f t="shared" si="0"/>
        <v>100</v>
      </c>
      <c r="T13" s="708" t="s">
        <v>17</v>
      </c>
      <c r="U13" s="709">
        <f t="shared" si="1"/>
        <v>100</v>
      </c>
      <c r="V13" s="708" t="s">
        <v>17</v>
      </c>
      <c r="W13" s="709">
        <f t="shared" si="2"/>
        <v>100</v>
      </c>
      <c r="X13" s="710"/>
      <c r="Y13" s="3257"/>
      <c r="Z13" s="55">
        <f t="shared" si="7"/>
        <v>111</v>
      </c>
      <c r="AA13" s="711">
        <f t="shared" si="3"/>
        <v>1</v>
      </c>
      <c r="AB13" s="711">
        <f t="shared" si="4"/>
        <v>1</v>
      </c>
      <c r="AC13" s="711">
        <f t="shared" si="5"/>
        <v>1</v>
      </c>
    </row>
    <row r="14" spans="1:29" ht="15.75" thickBot="1">
      <c r="A14" s="394"/>
      <c r="B14" s="2068">
        <v>111</v>
      </c>
      <c r="C14" s="395"/>
      <c r="D14" s="396">
        <v>100</v>
      </c>
      <c r="E14" s="505"/>
      <c r="F14" s="396">
        <f>SUMIF(81:81,E14,82:82)-SUMIF(81:81,C14,82:82)+100</f>
        <v>100</v>
      </c>
      <c r="G14" s="629"/>
      <c r="H14" s="396">
        <f>SUMIF(81:81,G14,82:82)-SUMIF(81:81,C14,82:82)+100</f>
        <v>100</v>
      </c>
      <c r="I14" s="505"/>
      <c r="J14" s="396">
        <f>SUMIF(81:81,I14,82:82)-SUMIF(81:81,C14,82:82)+100</f>
        <v>100</v>
      </c>
      <c r="K14" s="627"/>
      <c r="L14" s="2932"/>
      <c r="M14" s="2926"/>
      <c r="N14" s="2926"/>
      <c r="O14" s="2984"/>
      <c r="P14" s="3360"/>
      <c r="Q14" s="1517">
        <f t="shared" si="6"/>
        <v>111</v>
      </c>
      <c r="R14" s="708" t="s">
        <v>17</v>
      </c>
      <c r="S14" s="709">
        <f t="shared" si="0"/>
        <v>100</v>
      </c>
      <c r="T14" s="708" t="s">
        <v>17</v>
      </c>
      <c r="U14" s="709">
        <f t="shared" si="1"/>
        <v>100</v>
      </c>
      <c r="V14" s="708" t="s">
        <v>17</v>
      </c>
      <c r="W14" s="709">
        <f t="shared" si="2"/>
        <v>100</v>
      </c>
      <c r="X14" s="710"/>
      <c r="Y14" s="3257"/>
      <c r="Z14" s="55">
        <f t="shared" si="7"/>
        <v>111</v>
      </c>
      <c r="AA14" s="711">
        <f t="shared" si="3"/>
        <v>1</v>
      </c>
      <c r="AB14" s="711">
        <f t="shared" si="4"/>
        <v>1</v>
      </c>
      <c r="AC14" s="711">
        <f t="shared" si="5"/>
        <v>1</v>
      </c>
    </row>
    <row r="15" spans="1:29" ht="57">
      <c r="A15" s="398" t="s">
        <v>2374</v>
      </c>
      <c r="B15" s="584" t="s">
        <v>2603</v>
      </c>
      <c r="C15" s="2144" t="str">
        <f>估价对象房地状况!G15</f>
        <v>估价对象位于XX开发区，园区建设成熟度XX，产业集聚程度XX</v>
      </c>
      <c r="D15" s="399">
        <v>100</v>
      </c>
      <c r="E15" s="400"/>
      <c r="F15" s="399">
        <f>SUMIF(83:83,E16,84:84)-SUMIF(83:83,C16,84:84)+100</f>
        <v>100</v>
      </c>
      <c r="G15" s="400"/>
      <c r="H15" s="399">
        <f>SUMIF(83:83,G16,84:84)-SUMIF(83:83,C16,84:84)+100</f>
        <v>100</v>
      </c>
      <c r="I15" s="402"/>
      <c r="J15" s="399">
        <f>SUMIF(83:83,I16,84:84)-SUMIF(83:83,C16,84:84)+100</f>
        <v>100</v>
      </c>
      <c r="K15" s="628"/>
      <c r="L15" s="2932"/>
      <c r="M15" s="2926"/>
      <c r="N15" s="2926"/>
      <c r="O15" s="2984"/>
      <c r="P15" s="3362" t="s">
        <v>2375</v>
      </c>
      <c r="Q15" s="1526" t="str">
        <f t="shared" si="6"/>
        <v>产业集聚程度</v>
      </c>
      <c r="R15" s="712" t="s">
        <v>17</v>
      </c>
      <c r="S15" s="713">
        <f t="shared" si="0"/>
        <v>100</v>
      </c>
      <c r="T15" s="712" t="s">
        <v>17</v>
      </c>
      <c r="U15" s="713">
        <f t="shared" si="1"/>
        <v>100</v>
      </c>
      <c r="V15" s="712" t="s">
        <v>17</v>
      </c>
      <c r="W15" s="713">
        <f t="shared" si="2"/>
        <v>100</v>
      </c>
      <c r="X15" s="1529"/>
      <c r="Y15" s="3362" t="s">
        <v>2375</v>
      </c>
      <c r="Z15" s="1530" t="str">
        <f t="shared" si="7"/>
        <v>产业集聚程度</v>
      </c>
      <c r="AA15" s="1527">
        <f t="shared" si="3"/>
        <v>1</v>
      </c>
      <c r="AB15" s="1527">
        <f t="shared" si="4"/>
        <v>1</v>
      </c>
      <c r="AC15" s="1527">
        <f t="shared" si="5"/>
        <v>1</v>
      </c>
    </row>
    <row r="16" spans="1:29" ht="15">
      <c r="A16" s="386"/>
      <c r="B16" s="585"/>
      <c r="C16" s="405"/>
      <c r="D16" s="406"/>
      <c r="E16" s="2077"/>
      <c r="F16" s="406"/>
      <c r="G16" s="2077"/>
      <c r="H16" s="408"/>
      <c r="I16" s="2077"/>
      <c r="J16" s="406"/>
      <c r="K16" s="627"/>
      <c r="L16" s="2932"/>
      <c r="M16" s="2926"/>
      <c r="N16" s="2926"/>
      <c r="O16" s="2984"/>
      <c r="P16" s="3363"/>
      <c r="Q16" s="1526"/>
      <c r="R16" s="712"/>
      <c r="S16" s="713"/>
      <c r="T16" s="712"/>
      <c r="U16" s="713"/>
      <c r="V16" s="712"/>
      <c r="W16" s="713"/>
      <c r="X16" s="1529"/>
      <c r="Y16" s="3363"/>
      <c r="Z16" s="1530"/>
      <c r="AA16" s="1527">
        <v>1</v>
      </c>
      <c r="AB16" s="1527">
        <v>1</v>
      </c>
      <c r="AC16" s="1527">
        <v>1</v>
      </c>
    </row>
    <row r="17" spans="1:29" ht="85.5">
      <c r="A17" s="386"/>
      <c r="B17" s="586" t="s">
        <v>2524</v>
      </c>
      <c r="C17" s="2073" t="str">
        <f>估价对象房地状况!G16</f>
        <v>估价对象周边道路状况、公共交通通达情况、停车便捷程度，综合评价交通便捷度较好</v>
      </c>
      <c r="D17" s="408">
        <v>100</v>
      </c>
      <c r="E17" s="410"/>
      <c r="F17" s="413">
        <f>SUMIF(85:85,E18,86:86)-SUMIF(85:85,C18,86:86)+100</f>
        <v>100</v>
      </c>
      <c r="G17" s="410"/>
      <c r="H17" s="413">
        <f>SUMIF(85:85,G18,86:86)-SUMIF(85:85,C18,86:86)+100</f>
        <v>100</v>
      </c>
      <c r="I17" s="412"/>
      <c r="J17" s="408">
        <f>SUMIF(85:85,I18,86:86)-SUMIF(85:85,C18,86:86)+100</f>
        <v>100</v>
      </c>
      <c r="K17" s="628"/>
      <c r="L17" s="2932"/>
      <c r="M17" s="2926"/>
      <c r="N17" s="2926"/>
      <c r="O17" s="2984"/>
      <c r="P17" s="3363"/>
      <c r="Q17" s="1526" t="str">
        <f>B17</f>
        <v>交通便捷度</v>
      </c>
      <c r="R17" s="712" t="s">
        <v>17</v>
      </c>
      <c r="S17" s="713">
        <f>F17</f>
        <v>100</v>
      </c>
      <c r="T17" s="712" t="s">
        <v>17</v>
      </c>
      <c r="U17" s="713">
        <f>H17</f>
        <v>100</v>
      </c>
      <c r="V17" s="712" t="s">
        <v>17</v>
      </c>
      <c r="W17" s="713">
        <f>J17</f>
        <v>100</v>
      </c>
      <c r="X17" s="1529"/>
      <c r="Y17" s="3363"/>
      <c r="Z17" s="1530" t="str">
        <f>Q17</f>
        <v>交通便捷度</v>
      </c>
      <c r="AA17" s="1527">
        <f t="shared" si="3"/>
        <v>1</v>
      </c>
      <c r="AB17" s="1527">
        <f t="shared" si="4"/>
        <v>1</v>
      </c>
      <c r="AC17" s="1527">
        <f t="shared" si="5"/>
        <v>1</v>
      </c>
    </row>
    <row r="18" spans="1:29" ht="15">
      <c r="A18" s="386"/>
      <c r="B18" s="587"/>
      <c r="C18" s="405"/>
      <c r="D18" s="406"/>
      <c r="E18" s="2071"/>
      <c r="F18" s="406"/>
      <c r="G18" s="2071"/>
      <c r="H18" s="406"/>
      <c r="I18" s="2070"/>
      <c r="J18" s="406"/>
      <c r="K18" s="627"/>
      <c r="L18" s="2932"/>
      <c r="M18" s="2926"/>
      <c r="N18" s="2926"/>
      <c r="O18" s="2984"/>
      <c r="P18" s="3363"/>
      <c r="Q18" s="1526"/>
      <c r="R18" s="712"/>
      <c r="S18" s="713"/>
      <c r="T18" s="712"/>
      <c r="U18" s="713"/>
      <c r="V18" s="712"/>
      <c r="W18" s="713"/>
      <c r="X18" s="1529"/>
      <c r="Y18" s="3363"/>
      <c r="Z18" s="1530"/>
      <c r="AA18" s="1527">
        <v>1</v>
      </c>
      <c r="AB18" s="1527">
        <v>1</v>
      </c>
      <c r="AC18" s="1527">
        <v>1</v>
      </c>
    </row>
    <row r="19" spans="1:29" ht="15">
      <c r="A19" s="386"/>
      <c r="B19" s="586" t="s">
        <v>2561</v>
      </c>
      <c r="C19" s="2073">
        <f>估价对象房地状况!G17</f>
        <v>0</v>
      </c>
      <c r="D19" s="408">
        <v>100</v>
      </c>
      <c r="E19" s="410"/>
      <c r="F19" s="413">
        <f>SUMIF(87:87,E20,88:88)-SUMIF(87:87,C20,88:88)+100</f>
        <v>100</v>
      </c>
      <c r="G19" s="410"/>
      <c r="H19" s="413">
        <f>SUMIF(87:87,G20,88:88)-SUMIF(87:87,C20,88:88)+100</f>
        <v>100</v>
      </c>
      <c r="I19" s="410"/>
      <c r="J19" s="413">
        <f>SUMIF(87:87,I20,88:88)-SUMIF(87:87,C20,88:88)+100</f>
        <v>100</v>
      </c>
      <c r="K19" s="628"/>
      <c r="L19" s="2932"/>
      <c r="M19" s="2926"/>
      <c r="N19" s="2926"/>
      <c r="O19" s="2984"/>
      <c r="P19" s="3363"/>
      <c r="Q19" s="1526" t="str">
        <f t="shared" ref="Q19:Q33" si="8">B19</f>
        <v>区域土地利用方向</v>
      </c>
      <c r="R19" s="712" t="s">
        <v>17</v>
      </c>
      <c r="S19" s="713">
        <f>F19</f>
        <v>100</v>
      </c>
      <c r="T19" s="712" t="s">
        <v>17</v>
      </c>
      <c r="U19" s="713">
        <f>H19</f>
        <v>100</v>
      </c>
      <c r="V19" s="712" t="s">
        <v>17</v>
      </c>
      <c r="W19" s="713">
        <f>J19</f>
        <v>100</v>
      </c>
      <c r="X19" s="1529"/>
      <c r="Y19" s="3363"/>
      <c r="Z19" s="1530" t="str">
        <f>Q19</f>
        <v>区域土地利用方向</v>
      </c>
      <c r="AA19" s="1527">
        <f t="shared" si="3"/>
        <v>1</v>
      </c>
      <c r="AB19" s="1527">
        <f t="shared" si="4"/>
        <v>1</v>
      </c>
      <c r="AC19" s="1527">
        <f t="shared" si="5"/>
        <v>1</v>
      </c>
    </row>
    <row r="20" spans="1:29" ht="15">
      <c r="A20" s="363"/>
      <c r="B20" s="587"/>
      <c r="C20" s="405"/>
      <c r="D20" s="406"/>
      <c r="E20" s="2071"/>
      <c r="F20" s="406"/>
      <c r="G20" s="2071"/>
      <c r="H20" s="406"/>
      <c r="I20" s="2071"/>
      <c r="J20" s="406"/>
      <c r="K20" s="748"/>
      <c r="L20" s="2932"/>
      <c r="M20" s="2926"/>
      <c r="N20" s="2926"/>
      <c r="O20" s="2984"/>
      <c r="P20" s="3363"/>
      <c r="Q20" s="1526"/>
      <c r="R20" s="712"/>
      <c r="S20" s="713"/>
      <c r="T20" s="712"/>
      <c r="U20" s="713"/>
      <c r="V20" s="712"/>
      <c r="W20" s="713"/>
      <c r="X20" s="1529"/>
      <c r="Y20" s="3363"/>
      <c r="Z20" s="1530"/>
      <c r="AA20" s="1527"/>
      <c r="AB20" s="1527"/>
      <c r="AC20" s="1527"/>
    </row>
    <row r="21" spans="1:29" ht="71.25">
      <c r="A21" s="363"/>
      <c r="B21" s="586" t="s">
        <v>2604</v>
      </c>
      <c r="C21" s="2073" t="str">
        <f>估价对象房地状况!G18</f>
        <v>该园区内是否有污染型企业，绿化情况，卫生条件，整体环境状况判断</v>
      </c>
      <c r="D21" s="408">
        <v>100</v>
      </c>
      <c r="E21" s="410"/>
      <c r="F21" s="408">
        <f>SUMIF(89:89,E22,90:90)-SUMIF(89:89,C22,90:90)+100</f>
        <v>100</v>
      </c>
      <c r="G21" s="410"/>
      <c r="H21" s="408">
        <f>SUMIF(89:89,G22,90:90)-SUMIF(89:89,C22,90:90)+100</f>
        <v>100</v>
      </c>
      <c r="I21" s="412"/>
      <c r="J21" s="408">
        <f>SUMIF(89:89,I22,90:90)-SUMIF(89:89,C22,90:90)+100</f>
        <v>100</v>
      </c>
      <c r="K21" s="628"/>
      <c r="L21" s="2932"/>
      <c r="M21" s="2926"/>
      <c r="N21" s="2926"/>
      <c r="O21" s="2984"/>
      <c r="P21" s="3363"/>
      <c r="Q21" s="1526" t="str">
        <f t="shared" si="8"/>
        <v>环境状况</v>
      </c>
      <c r="R21" s="712" t="s">
        <v>17</v>
      </c>
      <c r="S21" s="713">
        <f>F21</f>
        <v>100</v>
      </c>
      <c r="T21" s="712" t="s">
        <v>17</v>
      </c>
      <c r="U21" s="713">
        <f>H21</f>
        <v>100</v>
      </c>
      <c r="V21" s="712" t="s">
        <v>17</v>
      </c>
      <c r="W21" s="713">
        <f>J21</f>
        <v>100</v>
      </c>
      <c r="X21" s="1529"/>
      <c r="Y21" s="3363"/>
      <c r="Z21" s="1530" t="str">
        <f>Q21</f>
        <v>环境状况</v>
      </c>
      <c r="AA21" s="1527">
        <f t="shared" si="3"/>
        <v>1</v>
      </c>
      <c r="AB21" s="1527">
        <f t="shared" si="4"/>
        <v>1</v>
      </c>
      <c r="AC21" s="1527">
        <f t="shared" si="5"/>
        <v>1</v>
      </c>
    </row>
    <row r="22" spans="1:29" ht="15">
      <c r="A22" s="363"/>
      <c r="B22" s="587"/>
      <c r="C22" s="405"/>
      <c r="D22" s="406"/>
      <c r="E22" s="2077"/>
      <c r="F22" s="406"/>
      <c r="G22" s="2077"/>
      <c r="H22" s="406"/>
      <c r="I22" s="405"/>
      <c r="J22" s="406"/>
      <c r="K22" s="627"/>
      <c r="L22" s="2932"/>
      <c r="M22" s="2926"/>
      <c r="N22" s="2926"/>
      <c r="O22" s="2984"/>
      <c r="P22" s="3363"/>
      <c r="Q22" s="1526"/>
      <c r="R22" s="712"/>
      <c r="S22" s="713"/>
      <c r="T22" s="712"/>
      <c r="U22" s="713"/>
      <c r="V22" s="712"/>
      <c r="W22" s="713"/>
      <c r="X22" s="1529"/>
      <c r="Y22" s="3363"/>
      <c r="Z22" s="1530"/>
      <c r="AA22" s="1527">
        <v>1</v>
      </c>
      <c r="AB22" s="1527">
        <v>1</v>
      </c>
      <c r="AC22" s="1527">
        <v>1</v>
      </c>
    </row>
    <row r="23" spans="1:29" s="113" customFormat="1" ht="42.75">
      <c r="A23" s="604"/>
      <c r="B23" s="588" t="s">
        <v>2469</v>
      </c>
      <c r="C23" s="2073" t="str">
        <f>估价对象房地状况!G19</f>
        <v>估价对象所在区域公共配套设施齐备情况</v>
      </c>
      <c r="D23" s="408">
        <v>100</v>
      </c>
      <c r="E23" s="410"/>
      <c r="F23" s="408">
        <f>SUMIF(91:91,E24,92:92)-SUMIF(91:91,C24,92:92)+100</f>
        <v>100</v>
      </c>
      <c r="G23" s="410"/>
      <c r="H23" s="408">
        <f>SUMIF(91:91,G24,92:92)-SUMIF(91:91,C24,92:92)+100</f>
        <v>100</v>
      </c>
      <c r="I23" s="412"/>
      <c r="J23" s="408">
        <f>SUMIF(91:91,I24,92:92)-SUMIF(91:91,C24,92:92)+100</f>
        <v>100</v>
      </c>
      <c r="K23" s="628"/>
      <c r="L23" s="2927"/>
      <c r="M23" s="2928"/>
      <c r="N23" s="2928"/>
      <c r="O23" s="2982"/>
      <c r="P23" s="3363"/>
      <c r="Q23" s="1517" t="str">
        <f t="shared" si="8"/>
        <v>公共配套设施</v>
      </c>
      <c r="R23" s="708" t="s">
        <v>17</v>
      </c>
      <c r="S23" s="709">
        <f>F23</f>
        <v>100</v>
      </c>
      <c r="T23" s="708" t="s">
        <v>17</v>
      </c>
      <c r="U23" s="709">
        <f>H23</f>
        <v>100</v>
      </c>
      <c r="V23" s="708" t="s">
        <v>17</v>
      </c>
      <c r="W23" s="709">
        <f>J23</f>
        <v>100</v>
      </c>
      <c r="X23" s="710"/>
      <c r="Y23" s="3363"/>
      <c r="Z23" s="55" t="str">
        <f>Q23</f>
        <v>公共配套设施</v>
      </c>
      <c r="AA23" s="1527">
        <f>D23/F23</f>
        <v>1</v>
      </c>
      <c r="AB23" s="1527">
        <f>D23/H23</f>
        <v>1</v>
      </c>
      <c r="AC23" s="1527">
        <f>D23/J23</f>
        <v>1</v>
      </c>
    </row>
    <row r="24" spans="1:29" s="113" customFormat="1" ht="15">
      <c r="A24" s="604"/>
      <c r="B24" s="587"/>
      <c r="C24" s="2151"/>
      <c r="D24" s="406"/>
      <c r="E24" s="2077"/>
      <c r="F24" s="406"/>
      <c r="G24" s="2077"/>
      <c r="H24" s="406"/>
      <c r="I24" s="405"/>
      <c r="J24" s="406"/>
      <c r="K24" s="627"/>
      <c r="L24" s="2927"/>
      <c r="M24" s="2928"/>
      <c r="N24" s="2928"/>
      <c r="O24" s="2982"/>
      <c r="P24" s="3363"/>
      <c r="Q24" s="1517"/>
      <c r="R24" s="708"/>
      <c r="S24" s="709"/>
      <c r="T24" s="708"/>
      <c r="U24" s="709"/>
      <c r="V24" s="708"/>
      <c r="W24" s="709"/>
      <c r="X24" s="710"/>
      <c r="Y24" s="3363"/>
      <c r="Z24" s="55"/>
      <c r="AA24" s="711">
        <v>1</v>
      </c>
      <c r="AB24" s="711">
        <v>1</v>
      </c>
      <c r="AC24" s="711">
        <v>1</v>
      </c>
    </row>
    <row r="25" spans="1:29" s="113" customFormat="1" ht="28.5">
      <c r="A25" s="604"/>
      <c r="B25" s="588" t="s">
        <v>2470</v>
      </c>
      <c r="C25" s="2073" t="str">
        <f>估价对象房地状况!G20</f>
        <v>估价对象所在区域基础设施水平</v>
      </c>
      <c r="D25" s="408">
        <v>100</v>
      </c>
      <c r="E25" s="410"/>
      <c r="F25" s="408">
        <f>SUMIF(93:93,E26,94:94)-SUMIF(93:93,C26,94:94)+100</f>
        <v>100</v>
      </c>
      <c r="G25" s="410"/>
      <c r="H25" s="408">
        <f>SUMIF(93:93,G26,94:94)-SUMIF(93:93,C26,94:94)+100</f>
        <v>100</v>
      </c>
      <c r="I25" s="412"/>
      <c r="J25" s="408">
        <f>SUMIF(93:93,I26,94:94)-SUMIF(93:93,C26,94:94)+100</f>
        <v>100</v>
      </c>
      <c r="K25" s="628"/>
      <c r="L25" s="2927"/>
      <c r="M25" s="2928"/>
      <c r="N25" s="2928"/>
      <c r="O25" s="2982"/>
      <c r="P25" s="3363"/>
      <c r="Q25" s="1517" t="str">
        <f t="shared" ref="Q25" si="9">B25</f>
        <v>基础设施水平</v>
      </c>
      <c r="R25" s="708" t="s">
        <v>17</v>
      </c>
      <c r="S25" s="709">
        <f>F25</f>
        <v>100</v>
      </c>
      <c r="T25" s="708" t="s">
        <v>17</v>
      </c>
      <c r="U25" s="709">
        <f>H25</f>
        <v>100</v>
      </c>
      <c r="V25" s="708" t="s">
        <v>17</v>
      </c>
      <c r="W25" s="709">
        <f>J25</f>
        <v>100</v>
      </c>
      <c r="X25" s="710"/>
      <c r="Y25" s="3363"/>
      <c r="Z25" s="55" t="str">
        <f>Q25</f>
        <v>基础设施水平</v>
      </c>
      <c r="AA25" s="1527">
        <f>D25/F25</f>
        <v>1</v>
      </c>
      <c r="AB25" s="1527">
        <f>D25/H25</f>
        <v>1</v>
      </c>
      <c r="AC25" s="1527">
        <f>D25/J25</f>
        <v>1</v>
      </c>
    </row>
    <row r="26" spans="1:29" s="113" customFormat="1" ht="15">
      <c r="A26" s="604"/>
      <c r="B26" s="587"/>
      <c r="C26" s="2151"/>
      <c r="D26" s="406"/>
      <c r="E26" s="2152"/>
      <c r="F26" s="406"/>
      <c r="G26" s="2152"/>
      <c r="H26" s="406"/>
      <c r="I26" s="2152"/>
      <c r="J26" s="406"/>
      <c r="K26" s="627"/>
      <c r="L26" s="2927"/>
      <c r="M26" s="2928"/>
      <c r="N26" s="2928"/>
      <c r="O26" s="2982"/>
      <c r="P26" s="3363"/>
      <c r="Q26" s="1517"/>
      <c r="R26" s="708"/>
      <c r="S26" s="709"/>
      <c r="T26" s="708"/>
      <c r="U26" s="709"/>
      <c r="V26" s="708"/>
      <c r="W26" s="709"/>
      <c r="X26" s="710"/>
      <c r="Y26" s="3363"/>
      <c r="Z26" s="55"/>
      <c r="AA26" s="711">
        <v>1</v>
      </c>
      <c r="AB26" s="711">
        <v>1</v>
      </c>
      <c r="AC26" s="711">
        <v>1</v>
      </c>
    </row>
    <row r="27" spans="1:29" ht="15">
      <c r="A27" s="386"/>
      <c r="B27" s="587" t="s">
        <v>2471</v>
      </c>
      <c r="C27" s="572"/>
      <c r="D27" s="393">
        <v>100</v>
      </c>
      <c r="E27" s="589"/>
      <c r="F27" s="393">
        <f>SUMIF(95:95,E27,96:96)-SUMIF(95:95,C27,96:96)+100</f>
        <v>100</v>
      </c>
      <c r="G27" s="589"/>
      <c r="H27" s="393">
        <f>SUMIF(95:95,G27,96:96)-SUMIF(95:95,C27,96:96)+100</f>
        <v>100</v>
      </c>
      <c r="I27" s="589"/>
      <c r="J27" s="393">
        <f>SUMIF(95:95,I27,96:96)-SUMIF(95:95,C27,96:96)+100</f>
        <v>100</v>
      </c>
      <c r="K27" s="628"/>
      <c r="L27" s="2932"/>
      <c r="M27" s="2926"/>
      <c r="N27" s="2926"/>
      <c r="O27" s="2984"/>
      <c r="P27" s="3363"/>
      <c r="Q27" s="1526" t="str">
        <f t="shared" si="8"/>
        <v>临街状况</v>
      </c>
      <c r="R27" s="712" t="s">
        <v>17</v>
      </c>
      <c r="S27" s="713">
        <f t="shared" ref="S27:S40" si="10">F27</f>
        <v>100</v>
      </c>
      <c r="T27" s="712" t="s">
        <v>17</v>
      </c>
      <c r="U27" s="713">
        <f t="shared" ref="U27:U40" si="11">H27</f>
        <v>100</v>
      </c>
      <c r="V27" s="712" t="s">
        <v>17</v>
      </c>
      <c r="W27" s="713">
        <f t="shared" ref="W27:W40" si="12">J27</f>
        <v>100</v>
      </c>
      <c r="X27" s="1529"/>
      <c r="Y27" s="3363"/>
      <c r="Z27" s="1530" t="str">
        <f t="shared" ref="Z27:Z40" si="13">Q27</f>
        <v>临街状况</v>
      </c>
      <c r="AA27" s="1527">
        <f t="shared" si="3"/>
        <v>1</v>
      </c>
      <c r="AB27" s="1527">
        <f t="shared" si="4"/>
        <v>1</v>
      </c>
      <c r="AC27" s="1527">
        <f t="shared" si="5"/>
        <v>1</v>
      </c>
    </row>
    <row r="28" spans="1:29" ht="27">
      <c r="A28" s="386"/>
      <c r="B28" s="588" t="s">
        <v>2506</v>
      </c>
      <c r="C28" s="2162">
        <f>估价对象房地状况!G22</f>
        <v>0</v>
      </c>
      <c r="D28" s="408">
        <v>100</v>
      </c>
      <c r="E28" s="410"/>
      <c r="F28" s="408">
        <f>SUMIF(97:97,E29,98:98)-SUMIF(97:97,C29,98:98)+100</f>
        <v>100</v>
      </c>
      <c r="G28" s="410"/>
      <c r="H28" s="408">
        <f>SUMIF(97:97,G29,98:98)-SUMIF(97:97,C29,98:98)+100</f>
        <v>100</v>
      </c>
      <c r="I28" s="412"/>
      <c r="J28" s="408">
        <f>SUMIF(97:97,I29,98:98)-SUMIF(97:97,C29,98:98)+100</f>
        <v>100</v>
      </c>
      <c r="K28" s="628"/>
      <c r="L28" s="2932"/>
      <c r="M28" s="2926"/>
      <c r="N28" s="2926"/>
      <c r="O28" s="2984"/>
      <c r="P28" s="3363"/>
      <c r="Q28" s="1526" t="str">
        <f t="shared" si="8"/>
        <v>毗邻道路的类型与等级</v>
      </c>
      <c r="R28" s="712" t="s">
        <v>17</v>
      </c>
      <c r="S28" s="713">
        <f t="shared" si="10"/>
        <v>100</v>
      </c>
      <c r="T28" s="712" t="s">
        <v>17</v>
      </c>
      <c r="U28" s="713">
        <f t="shared" si="11"/>
        <v>100</v>
      </c>
      <c r="V28" s="712" t="s">
        <v>17</v>
      </c>
      <c r="W28" s="713">
        <f t="shared" si="12"/>
        <v>100</v>
      </c>
      <c r="X28" s="1529"/>
      <c r="Y28" s="3363"/>
      <c r="Z28" s="1530" t="str">
        <f t="shared" si="13"/>
        <v>毗邻道路的类型与等级</v>
      </c>
      <c r="AA28" s="1527">
        <f t="shared" si="3"/>
        <v>1</v>
      </c>
      <c r="AB28" s="1527">
        <f t="shared" si="4"/>
        <v>1</v>
      </c>
      <c r="AC28" s="1527">
        <f t="shared" si="5"/>
        <v>1</v>
      </c>
    </row>
    <row r="29" spans="1:29" ht="15">
      <c r="A29" s="386"/>
      <c r="B29" s="587"/>
      <c r="C29" s="405"/>
      <c r="D29" s="406"/>
      <c r="E29" s="2077"/>
      <c r="F29" s="406"/>
      <c r="G29" s="2077"/>
      <c r="H29" s="406"/>
      <c r="I29" s="2077"/>
      <c r="J29" s="406"/>
      <c r="K29" s="569"/>
      <c r="L29" s="2932"/>
      <c r="M29" s="2926"/>
      <c r="N29" s="2926"/>
      <c r="O29" s="2984"/>
      <c r="P29" s="3363"/>
      <c r="Q29" s="1526"/>
      <c r="R29" s="712"/>
      <c r="S29" s="713"/>
      <c r="T29" s="712"/>
      <c r="U29" s="713"/>
      <c r="V29" s="712"/>
      <c r="W29" s="713"/>
      <c r="X29" s="1529"/>
      <c r="Y29" s="3363"/>
      <c r="Z29" s="1530"/>
      <c r="AA29" s="1527">
        <v>1</v>
      </c>
      <c r="AB29" s="1527">
        <v>1</v>
      </c>
      <c r="AC29" s="1527">
        <v>1</v>
      </c>
    </row>
    <row r="30" spans="1:29" ht="15">
      <c r="A30" s="386"/>
      <c r="B30" s="609" t="s">
        <v>2562</v>
      </c>
      <c r="C30" s="1288">
        <f>估价对象房地状况!G23</f>
        <v>0</v>
      </c>
      <c r="D30" s="393">
        <v>100</v>
      </c>
      <c r="E30" s="589"/>
      <c r="F30" s="393">
        <f>SUMIF(99:99,E30,100:100)-SUMIF(99:99,C30,100:100)+100</f>
        <v>100</v>
      </c>
      <c r="G30" s="589"/>
      <c r="H30" s="393">
        <f>SUMIF(99:99,G30,100:100)-SUMIF(99:99,C30,100:100)+100</f>
        <v>100</v>
      </c>
      <c r="I30" s="589"/>
      <c r="J30" s="393">
        <f>SUMIF(99:99,I30,100:100)-SUMIF(99:99,C30,100:100)+100</f>
        <v>100</v>
      </c>
      <c r="K30" s="568"/>
      <c r="L30" s="2932"/>
      <c r="M30" s="2926"/>
      <c r="N30" s="2926"/>
      <c r="O30" s="2984"/>
      <c r="P30" s="3363"/>
      <c r="Q30" s="1526" t="str">
        <f t="shared" si="8"/>
        <v>土地级别</v>
      </c>
      <c r="R30" s="712" t="s">
        <v>17</v>
      </c>
      <c r="S30" s="713">
        <f t="shared" si="10"/>
        <v>100</v>
      </c>
      <c r="T30" s="712" t="s">
        <v>17</v>
      </c>
      <c r="U30" s="713">
        <f t="shared" si="11"/>
        <v>100</v>
      </c>
      <c r="V30" s="712" t="s">
        <v>17</v>
      </c>
      <c r="W30" s="713">
        <f t="shared" si="12"/>
        <v>100</v>
      </c>
      <c r="X30" s="1529"/>
      <c r="Y30" s="3363"/>
      <c r="Z30" s="1530" t="str">
        <f t="shared" si="13"/>
        <v>土地级别</v>
      </c>
      <c r="AA30" s="1527">
        <f t="shared" si="3"/>
        <v>1</v>
      </c>
      <c r="AB30" s="1527">
        <f t="shared" si="4"/>
        <v>1</v>
      </c>
      <c r="AC30" s="1527">
        <f t="shared" si="5"/>
        <v>1</v>
      </c>
    </row>
    <row r="31" spans="1:29" ht="15">
      <c r="A31" s="363"/>
      <c r="B31" s="2139">
        <v>111</v>
      </c>
      <c r="C31" s="629"/>
      <c r="D31" s="393">
        <v>100</v>
      </c>
      <c r="E31" s="435"/>
      <c r="F31" s="393">
        <f>SUMIF(101:101,E31,102:102)-SUMIF(101:101,C31,102:102)+100</f>
        <v>100</v>
      </c>
      <c r="G31" s="435"/>
      <c r="H31" s="393">
        <f>SUMIF(101:101,G31,102:102)-SUMIF(101:101,C31,102:102)+100</f>
        <v>100</v>
      </c>
      <c r="I31" s="505"/>
      <c r="J31" s="393">
        <f>SUMIF(101:101,I31,102:102)-SUMIF(101:101,C31,102:102)+100</f>
        <v>100</v>
      </c>
      <c r="K31" s="569"/>
      <c r="L31" s="2932"/>
      <c r="M31" s="2926"/>
      <c r="N31" s="2926"/>
      <c r="O31" s="2984"/>
      <c r="P31" s="3363"/>
      <c r="Q31" s="1526">
        <f t="shared" si="8"/>
        <v>111</v>
      </c>
      <c r="R31" s="712" t="s">
        <v>17</v>
      </c>
      <c r="S31" s="713">
        <f t="shared" si="10"/>
        <v>100</v>
      </c>
      <c r="T31" s="712" t="s">
        <v>17</v>
      </c>
      <c r="U31" s="713">
        <f t="shared" si="11"/>
        <v>100</v>
      </c>
      <c r="V31" s="712" t="s">
        <v>17</v>
      </c>
      <c r="W31" s="713">
        <f t="shared" si="12"/>
        <v>100</v>
      </c>
      <c r="X31" s="1529"/>
      <c r="Y31" s="3363"/>
      <c r="Z31" s="1530">
        <f t="shared" si="13"/>
        <v>111</v>
      </c>
      <c r="AA31" s="1527">
        <f t="shared" si="3"/>
        <v>1</v>
      </c>
      <c r="AB31" s="1527">
        <f t="shared" si="4"/>
        <v>1</v>
      </c>
      <c r="AC31" s="1527">
        <f t="shared" si="5"/>
        <v>1</v>
      </c>
    </row>
    <row r="32" spans="1:29" ht="15">
      <c r="A32" s="630"/>
      <c r="B32" s="2163">
        <v>111</v>
      </c>
      <c r="C32" s="629"/>
      <c r="D32" s="393">
        <v>100</v>
      </c>
      <c r="E32" s="435"/>
      <c r="F32" s="393">
        <f>SUMIF(103:103,E33,104:104)-SUMIF(103:103,C33,104:104)+100</f>
        <v>100</v>
      </c>
      <c r="G32" s="435"/>
      <c r="H32" s="393">
        <f>SUMIF(103:103,G32,104:104)-SUMIF(103:103,C32,104:104)+100</f>
        <v>100</v>
      </c>
      <c r="I32" s="629"/>
      <c r="J32" s="393">
        <f>SUMIF(103:103,I32,104:104)-SUMIF(103:103,C32,104:104)+100</f>
        <v>100</v>
      </c>
      <c r="K32" s="569"/>
      <c r="L32" s="2932"/>
      <c r="M32" s="2926"/>
      <c r="N32" s="2926"/>
      <c r="O32" s="2984"/>
      <c r="P32" s="3364" t="s">
        <v>2380</v>
      </c>
      <c r="Q32" s="1526">
        <f t="shared" si="8"/>
        <v>111</v>
      </c>
      <c r="R32" s="712" t="s">
        <v>17</v>
      </c>
      <c r="S32" s="713">
        <f t="shared" si="10"/>
        <v>100</v>
      </c>
      <c r="T32" s="712" t="s">
        <v>17</v>
      </c>
      <c r="U32" s="713">
        <f t="shared" si="11"/>
        <v>100</v>
      </c>
      <c r="V32" s="712" t="s">
        <v>17</v>
      </c>
      <c r="W32" s="713">
        <f t="shared" si="12"/>
        <v>100</v>
      </c>
      <c r="X32" s="1529"/>
      <c r="Y32" s="3365" t="s">
        <v>2380</v>
      </c>
      <c r="Z32" s="1530">
        <f t="shared" si="13"/>
        <v>111</v>
      </c>
      <c r="AA32" s="1527">
        <f t="shared" si="3"/>
        <v>1</v>
      </c>
      <c r="AB32" s="1527">
        <f t="shared" si="4"/>
        <v>1</v>
      </c>
      <c r="AC32" s="1527">
        <f t="shared" si="5"/>
        <v>1</v>
      </c>
    </row>
    <row r="33" spans="1:31" s="429" customFormat="1" ht="15.75" thickBot="1">
      <c r="A33" s="631"/>
      <c r="B33" s="2164">
        <v>111</v>
      </c>
      <c r="C33" s="633"/>
      <c r="D33" s="133">
        <v>100</v>
      </c>
      <c r="E33" s="655"/>
      <c r="F33" s="396">
        <f>SUMIF(105:105,E33,106:106)-SUMIF(105:105,C33,106:106)+100</f>
        <v>100</v>
      </c>
      <c r="G33" s="655"/>
      <c r="H33" s="396">
        <f>SUMIF(105:105,G33,106:106)-SUMIF(105:105,C33,106:106)+100</f>
        <v>100</v>
      </c>
      <c r="I33" s="633"/>
      <c r="J33" s="396">
        <f>SUMIF(105:105,I33,106:106)-SUMIF(105:105,C33,106:106)+100</f>
        <v>100</v>
      </c>
      <c r="K33" s="569"/>
      <c r="L33" s="2931"/>
      <c r="M33" s="2933"/>
      <c r="N33" s="2933"/>
      <c r="O33" s="2985"/>
      <c r="P33" s="3365"/>
      <c r="Q33" s="1526">
        <f t="shared" si="8"/>
        <v>111</v>
      </c>
      <c r="R33" s="715" t="s">
        <v>17</v>
      </c>
      <c r="S33" s="716">
        <f t="shared" si="10"/>
        <v>100</v>
      </c>
      <c r="T33" s="715" t="s">
        <v>17</v>
      </c>
      <c r="U33" s="716">
        <f t="shared" si="11"/>
        <v>100</v>
      </c>
      <c r="V33" s="715" t="s">
        <v>17</v>
      </c>
      <c r="W33" s="716">
        <f t="shared" si="12"/>
        <v>100</v>
      </c>
      <c r="X33" s="717"/>
      <c r="Y33" s="3365"/>
      <c r="Z33" s="718">
        <f t="shared" si="13"/>
        <v>111</v>
      </c>
      <c r="AA33" s="1527">
        <f t="shared" si="3"/>
        <v>1</v>
      </c>
      <c r="AB33" s="1527">
        <f t="shared" si="4"/>
        <v>1</v>
      </c>
      <c r="AC33" s="1527">
        <f t="shared" si="5"/>
        <v>1</v>
      </c>
    </row>
    <row r="34" spans="1:31" ht="15">
      <c r="A34" s="398" t="s">
        <v>2378</v>
      </c>
      <c r="B34" s="414" t="s">
        <v>2563</v>
      </c>
      <c r="C34" s="634"/>
      <c r="D34" s="425">
        <v>100</v>
      </c>
      <c r="E34" s="634"/>
      <c r="F34" s="425" t="e">
        <f>LOOKUP(E34,108:108,109:109)-LOOKUP(C34,108:108,109:109)+100</f>
        <v>#N/A</v>
      </c>
      <c r="G34" s="634"/>
      <c r="H34" s="425" t="e">
        <f>LOOKUP(G34,108:108,109:109)-LOOKUP(C34,108:108,109:109)+100</f>
        <v>#N/A</v>
      </c>
      <c r="I34" s="486"/>
      <c r="J34" s="425" t="e">
        <f>LOOKUP(I34,108:108,109:109)-LOOKUP(C34,108:108,109:109)+100</f>
        <v>#N/A</v>
      </c>
      <c r="K34" s="569"/>
      <c r="L34" s="2932"/>
      <c r="M34" s="2926"/>
      <c r="N34" s="2926"/>
      <c r="O34" s="2984"/>
      <c r="P34" s="3365"/>
      <c r="Q34" s="1526" t="str">
        <f>B34</f>
        <v>宗地面积</v>
      </c>
      <c r="R34" s="712" t="s">
        <v>17</v>
      </c>
      <c r="S34" s="713" t="e">
        <f t="shared" si="10"/>
        <v>#N/A</v>
      </c>
      <c r="T34" s="712" t="s">
        <v>17</v>
      </c>
      <c r="U34" s="713" t="e">
        <f t="shared" si="11"/>
        <v>#N/A</v>
      </c>
      <c r="V34" s="712" t="s">
        <v>17</v>
      </c>
      <c r="W34" s="713" t="e">
        <f t="shared" si="12"/>
        <v>#N/A</v>
      </c>
      <c r="X34" s="1529"/>
      <c r="Y34" s="3365"/>
      <c r="Z34" s="1530" t="str">
        <f t="shared" si="13"/>
        <v>宗地面积</v>
      </c>
      <c r="AA34" s="1527" t="e">
        <f t="shared" si="3"/>
        <v>#N/A</v>
      </c>
      <c r="AB34" s="1527" t="e">
        <f t="shared" si="4"/>
        <v>#N/A</v>
      </c>
      <c r="AC34" s="1527" t="e">
        <f t="shared" si="5"/>
        <v>#N/A</v>
      </c>
    </row>
    <row r="35" spans="1:31" ht="15">
      <c r="A35" s="430"/>
      <c r="B35" s="380" t="s">
        <v>2564</v>
      </c>
      <c r="C35" s="2079"/>
      <c r="D35" s="393">
        <v>100</v>
      </c>
      <c r="E35" s="2079"/>
      <c r="F35" s="393">
        <f>SUMIF(110:110,E35,111:111)-SUMIF(110:110,C35,111:111)+100</f>
        <v>100</v>
      </c>
      <c r="G35" s="2079"/>
      <c r="H35" s="393">
        <f>SUMIF(110:110,G35,111:111)-SUMIF(110:110,C35,111:111)+100</f>
        <v>100</v>
      </c>
      <c r="I35" s="2079"/>
      <c r="J35" s="393">
        <f>SUMIF(110:110,I35,111:111)-SUMIF(110:110,C35,111:111)+100</f>
        <v>100</v>
      </c>
      <c r="K35" s="568"/>
      <c r="L35" s="2932"/>
      <c r="M35" s="2926"/>
      <c r="N35" s="2926"/>
      <c r="O35" s="2984"/>
      <c r="P35" s="3365"/>
      <c r="Q35" s="1526" t="str">
        <f t="shared" ref="Q35:Q40" si="14">B35</f>
        <v>宗地形状</v>
      </c>
      <c r="R35" s="712" t="s">
        <v>17</v>
      </c>
      <c r="S35" s="713">
        <f t="shared" si="10"/>
        <v>100</v>
      </c>
      <c r="T35" s="712" t="s">
        <v>17</v>
      </c>
      <c r="U35" s="713">
        <f t="shared" si="11"/>
        <v>100</v>
      </c>
      <c r="V35" s="712" t="s">
        <v>17</v>
      </c>
      <c r="W35" s="713">
        <f t="shared" si="12"/>
        <v>100</v>
      </c>
      <c r="X35" s="1529"/>
      <c r="Y35" s="3365"/>
      <c r="Z35" s="1530" t="str">
        <f t="shared" si="13"/>
        <v>宗地形状</v>
      </c>
      <c r="AA35" s="1527">
        <f t="shared" si="3"/>
        <v>1</v>
      </c>
      <c r="AB35" s="1527">
        <f t="shared" si="4"/>
        <v>1</v>
      </c>
      <c r="AC35" s="1527">
        <f t="shared" si="5"/>
        <v>1</v>
      </c>
    </row>
    <row r="36" spans="1:31" s="113" customFormat="1" ht="15">
      <c r="A36" s="431"/>
      <c r="B36" s="380" t="s">
        <v>2565</v>
      </c>
      <c r="C36" s="2153"/>
      <c r="D36" s="132">
        <v>100</v>
      </c>
      <c r="E36" s="2153"/>
      <c r="F36" s="393">
        <f>SUMIF(112:112,E36,113:113)-SUMIF(112:112,C36,113:113)+100</f>
        <v>100</v>
      </c>
      <c r="G36" s="2153"/>
      <c r="H36" s="393">
        <f>SUMIF(112:112,G36,113:113)-SUMIF(112:112,C36,113:113)+100</f>
        <v>100</v>
      </c>
      <c r="I36" s="2153"/>
      <c r="J36" s="393">
        <f>SUMIF(112:112,I36,113:113)-SUMIF(112:112,C36,113:113)+100</f>
        <v>100</v>
      </c>
      <c r="K36" s="568"/>
      <c r="L36" s="2927"/>
      <c r="M36" s="2928"/>
      <c r="N36" s="2928"/>
      <c r="O36" s="2982"/>
      <c r="P36" s="3365"/>
      <c r="Q36" s="1526" t="str">
        <f t="shared" si="14"/>
        <v>宗地开发程度</v>
      </c>
      <c r="R36" s="708" t="s">
        <v>17</v>
      </c>
      <c r="S36" s="709">
        <f t="shared" si="10"/>
        <v>100</v>
      </c>
      <c r="T36" s="708" t="s">
        <v>17</v>
      </c>
      <c r="U36" s="709">
        <f t="shared" si="11"/>
        <v>100</v>
      </c>
      <c r="V36" s="708" t="s">
        <v>17</v>
      </c>
      <c r="W36" s="709">
        <f t="shared" si="12"/>
        <v>100</v>
      </c>
      <c r="X36" s="710"/>
      <c r="Y36" s="3365"/>
      <c r="Z36" s="55" t="str">
        <f t="shared" si="13"/>
        <v>宗地开发程度</v>
      </c>
      <c r="AA36" s="711">
        <f t="shared" si="3"/>
        <v>1</v>
      </c>
      <c r="AB36" s="711">
        <f t="shared" si="4"/>
        <v>1</v>
      </c>
      <c r="AC36" s="711">
        <f t="shared" si="5"/>
        <v>1</v>
      </c>
    </row>
    <row r="37" spans="1:31" ht="15">
      <c r="A37" s="430"/>
      <c r="B37" s="380" t="s">
        <v>2566</v>
      </c>
      <c r="C37" s="2079"/>
      <c r="D37" s="393">
        <v>100</v>
      </c>
      <c r="E37" s="2079"/>
      <c r="F37" s="393">
        <f>SUMIF(114:114,E37,115:115)-SUMIF(114:114,C37,115:115)+100</f>
        <v>100</v>
      </c>
      <c r="G37" s="2079"/>
      <c r="H37" s="393">
        <f>SUMIF(114:114,G37,115:115)-SUMIF(114:114,C37,115:115)+100</f>
        <v>100</v>
      </c>
      <c r="I37" s="2079"/>
      <c r="J37" s="393">
        <f>SUMIF(114:114,I37,115:115)-SUMIF(114:114,C37,115:115)+100</f>
        <v>100</v>
      </c>
      <c r="K37" s="568"/>
      <c r="L37" s="2932"/>
      <c r="M37" s="2926"/>
      <c r="N37" s="2926"/>
      <c r="O37" s="2984"/>
      <c r="P37" s="3365" t="s">
        <v>2380</v>
      </c>
      <c r="Q37" s="1526" t="str">
        <f t="shared" si="14"/>
        <v>工程地质条件</v>
      </c>
      <c r="R37" s="712" t="s">
        <v>17</v>
      </c>
      <c r="S37" s="713">
        <f t="shared" si="10"/>
        <v>100</v>
      </c>
      <c r="T37" s="712" t="s">
        <v>17</v>
      </c>
      <c r="U37" s="713">
        <f t="shared" si="11"/>
        <v>100</v>
      </c>
      <c r="V37" s="712" t="s">
        <v>17</v>
      </c>
      <c r="W37" s="713">
        <f t="shared" si="12"/>
        <v>100</v>
      </c>
      <c r="X37" s="1529"/>
      <c r="Y37" s="3365" t="s">
        <v>2380</v>
      </c>
      <c r="Z37" s="1530" t="str">
        <f t="shared" si="13"/>
        <v>工程地质条件</v>
      </c>
      <c r="AA37" s="1527">
        <f t="shared" si="3"/>
        <v>1</v>
      </c>
      <c r="AB37" s="1527">
        <f t="shared" si="4"/>
        <v>1</v>
      </c>
      <c r="AC37" s="1527">
        <f t="shared" si="5"/>
        <v>1</v>
      </c>
    </row>
    <row r="38" spans="1:31" ht="15">
      <c r="A38" s="430"/>
      <c r="B38" s="1287">
        <v>111</v>
      </c>
      <c r="C38" s="629"/>
      <c r="D38" s="393">
        <v>100</v>
      </c>
      <c r="E38" s="629"/>
      <c r="F38" s="393">
        <f>SUMIF(116:116,E38,117:117)-SUMIF(116:116,C38,117:117)+100</f>
        <v>100</v>
      </c>
      <c r="G38" s="629"/>
      <c r="H38" s="393">
        <f>SUMIF(116:116,G38,117:117)-SUMIF(116:116,C38,117:117)+100</f>
        <v>100</v>
      </c>
      <c r="I38" s="505"/>
      <c r="J38" s="393">
        <f>SUMIF(116:116,I38,117:117)-SUMIF(116:116,C38,117:117)+100</f>
        <v>100</v>
      </c>
      <c r="K38" s="569"/>
      <c r="L38" s="2932"/>
      <c r="M38" s="2926"/>
      <c r="N38" s="2926"/>
      <c r="O38" s="2984"/>
      <c r="P38" s="3365"/>
      <c r="Q38" s="1526">
        <f t="shared" si="14"/>
        <v>111</v>
      </c>
      <c r="R38" s="712" t="s">
        <v>17</v>
      </c>
      <c r="S38" s="713">
        <f t="shared" si="10"/>
        <v>100</v>
      </c>
      <c r="T38" s="712" t="s">
        <v>17</v>
      </c>
      <c r="U38" s="713">
        <f t="shared" si="11"/>
        <v>100</v>
      </c>
      <c r="V38" s="712" t="s">
        <v>17</v>
      </c>
      <c r="W38" s="713">
        <f t="shared" si="12"/>
        <v>100</v>
      </c>
      <c r="X38" s="1529"/>
      <c r="Y38" s="3365"/>
      <c r="Z38" s="1530">
        <f t="shared" si="13"/>
        <v>111</v>
      </c>
      <c r="AA38" s="1527">
        <f t="shared" si="3"/>
        <v>1</v>
      </c>
      <c r="AB38" s="1527">
        <f t="shared" si="4"/>
        <v>1</v>
      </c>
      <c r="AC38" s="1527">
        <f t="shared" si="5"/>
        <v>1</v>
      </c>
    </row>
    <row r="39" spans="1:31" ht="15">
      <c r="A39" s="430"/>
      <c r="B39" s="1287">
        <v>111</v>
      </c>
      <c r="C39" s="629"/>
      <c r="D39" s="393">
        <v>100</v>
      </c>
      <c r="E39" s="629"/>
      <c r="F39" s="393">
        <f>SUMIF(118:118,E39,119:119)-SUMIF(118:118,C39,119:119)+100</f>
        <v>100</v>
      </c>
      <c r="G39" s="629"/>
      <c r="H39" s="393">
        <f>SUMIF(118:118,G39,119:119)-SUMIF(118:118,C39,119:119)+100</f>
        <v>100</v>
      </c>
      <c r="I39" s="505"/>
      <c r="J39" s="393">
        <f>SUMIF(118:118,I39,119:119)-SUMIF(118:118,C39,119:119)+100</f>
        <v>100</v>
      </c>
      <c r="K39" s="569"/>
      <c r="L39" s="2932"/>
      <c r="M39" s="2926"/>
      <c r="N39" s="2926"/>
      <c r="O39" s="2984"/>
      <c r="P39" s="3365"/>
      <c r="Q39" s="1526">
        <f t="shared" si="14"/>
        <v>111</v>
      </c>
      <c r="R39" s="712" t="s">
        <v>17</v>
      </c>
      <c r="S39" s="713">
        <f t="shared" si="10"/>
        <v>100</v>
      </c>
      <c r="T39" s="712" t="s">
        <v>17</v>
      </c>
      <c r="U39" s="713">
        <f t="shared" si="11"/>
        <v>100</v>
      </c>
      <c r="V39" s="712" t="s">
        <v>17</v>
      </c>
      <c r="W39" s="713">
        <f t="shared" si="12"/>
        <v>100</v>
      </c>
      <c r="X39" s="1529"/>
      <c r="Y39" s="3365"/>
      <c r="Z39" s="1530">
        <f t="shared" si="13"/>
        <v>111</v>
      </c>
      <c r="AA39" s="1527">
        <f t="shared" si="3"/>
        <v>1</v>
      </c>
      <c r="AB39" s="1527">
        <f t="shared" si="4"/>
        <v>1</v>
      </c>
      <c r="AC39" s="1527">
        <f t="shared" si="5"/>
        <v>1</v>
      </c>
    </row>
    <row r="40" spans="1:31" s="429" customFormat="1" ht="15.75" thickBot="1">
      <c r="A40" s="426"/>
      <c r="B40" s="1287">
        <v>111</v>
      </c>
      <c r="C40" s="2154"/>
      <c r="D40" s="133">
        <v>100</v>
      </c>
      <c r="E40" s="629"/>
      <c r="F40" s="396">
        <f>SUMIF(120:120,E40,121:121)-SUMIF(120:120,C40,121:121)+100</f>
        <v>100</v>
      </c>
      <c r="G40" s="629"/>
      <c r="H40" s="396">
        <f>SUMIF(120:120,G40,121:121)-SUMIF(120:120,C40,121:121)+100</f>
        <v>100</v>
      </c>
      <c r="I40" s="505"/>
      <c r="J40" s="396">
        <f>SUMIF(120:120,I40,121:121)-SUMIF(120:120,C40,121:121)+100</f>
        <v>100</v>
      </c>
      <c r="K40" s="635"/>
      <c r="L40" s="2931"/>
      <c r="M40" s="2933"/>
      <c r="N40" s="2933"/>
      <c r="O40" s="2985"/>
      <c r="P40" s="3365"/>
      <c r="Q40" s="1526">
        <f t="shared" si="14"/>
        <v>111</v>
      </c>
      <c r="R40" s="715" t="s">
        <v>17</v>
      </c>
      <c r="S40" s="716">
        <f t="shared" si="10"/>
        <v>100</v>
      </c>
      <c r="T40" s="715" t="s">
        <v>17</v>
      </c>
      <c r="U40" s="716">
        <f t="shared" si="11"/>
        <v>100</v>
      </c>
      <c r="V40" s="715" t="s">
        <v>17</v>
      </c>
      <c r="W40" s="716">
        <f t="shared" si="12"/>
        <v>100</v>
      </c>
      <c r="X40" s="717"/>
      <c r="Y40" s="3365"/>
      <c r="Z40" s="718">
        <f t="shared" si="13"/>
        <v>111</v>
      </c>
      <c r="AA40" s="1527">
        <f t="shared" si="3"/>
        <v>1</v>
      </c>
      <c r="AB40" s="1527">
        <f t="shared" si="4"/>
        <v>1</v>
      </c>
      <c r="AC40" s="1527">
        <f t="shared" si="5"/>
        <v>1</v>
      </c>
    </row>
    <row r="41" spans="1:31" ht="15">
      <c r="A41" s="437" t="s">
        <v>2535</v>
      </c>
      <c r="B41" s="2155" t="s">
        <v>2605</v>
      </c>
      <c r="C41" s="636" t="s">
        <v>1</v>
      </c>
      <c r="D41" s="439"/>
      <c r="E41" s="440"/>
      <c r="F41" s="441"/>
      <c r="G41" s="442"/>
      <c r="H41" s="443"/>
      <c r="I41" s="440"/>
      <c r="J41" s="443"/>
      <c r="K41" s="721"/>
      <c r="L41" s="2934"/>
      <c r="M41" s="2926"/>
      <c r="N41" s="2926"/>
      <c r="O41" s="2935"/>
      <c r="P41" s="3360" t="str">
        <f>A41</f>
        <v>成交单价</v>
      </c>
      <c r="Q41" s="3360"/>
      <c r="R41" s="3366">
        <f>E41</f>
        <v>0</v>
      </c>
      <c r="S41" s="3366"/>
      <c r="T41" s="3366">
        <f>G41</f>
        <v>0</v>
      </c>
      <c r="U41" s="3366"/>
      <c r="V41" s="3366">
        <f>I41</f>
        <v>0</v>
      </c>
      <c r="W41" s="3366"/>
      <c r="X41" s="697"/>
      <c r="Y41" s="719"/>
      <c r="Z41" s="697"/>
      <c r="AA41" s="697"/>
      <c r="AB41" s="697"/>
      <c r="AC41" s="697"/>
    </row>
    <row r="42" spans="1:31" ht="15.75" thickBot="1">
      <c r="A42" s="444" t="s">
        <v>2484</v>
      </c>
      <c r="B42" s="637"/>
      <c r="C42" s="447" t="e">
        <f>R43</f>
        <v>#DIV/0!</v>
      </c>
      <c r="D42" s="2522" t="s">
        <v>2864</v>
      </c>
      <c r="E42" s="447" t="e">
        <f>R42</f>
        <v>#DIV/0!</v>
      </c>
      <c r="F42" s="2523"/>
      <c r="G42" s="446" t="e">
        <f>T42</f>
        <v>#DIV/0!</v>
      </c>
      <c r="H42" s="2523"/>
      <c r="I42" s="447" t="e">
        <f>V42</f>
        <v>#DIV/0!</v>
      </c>
      <c r="J42" s="2523"/>
      <c r="K42" s="2525">
        <f>F42+H42+J42</f>
        <v>0</v>
      </c>
      <c r="L42" s="2934"/>
      <c r="M42" s="2926"/>
      <c r="N42" s="2926"/>
      <c r="O42" s="2935"/>
      <c r="P42" s="3360" t="str">
        <f>A42</f>
        <v>比较价值（元/平方米）</v>
      </c>
      <c r="Q42" s="3360"/>
      <c r="R42" s="3353" t="e">
        <f>ROUND(PRODUCT(R41,AA7:AA40),0)</f>
        <v>#DIV/0!</v>
      </c>
      <c r="S42" s="3353"/>
      <c r="T42" s="3353" t="e">
        <f>ROUND(PRODUCT(T41,AB7:AB40),0)</f>
        <v>#DIV/0!</v>
      </c>
      <c r="U42" s="3353"/>
      <c r="V42" s="3353" t="e">
        <f>ROUND(PRODUCT(V41,AC7:AC40),0)</f>
        <v>#DIV/0!</v>
      </c>
      <c r="W42" s="3353"/>
      <c r="X42" s="697"/>
      <c r="Y42" s="697"/>
      <c r="Z42" s="697"/>
      <c r="AA42" s="697"/>
      <c r="AB42" s="697"/>
      <c r="AC42" s="697"/>
    </row>
    <row r="43" spans="1:31" ht="15.75" thickBot="1">
      <c r="A43" s="448" t="s">
        <v>2485</v>
      </c>
      <c r="B43" s="449"/>
      <c r="C43" s="450" t="e">
        <f>R43</f>
        <v>#DIV/0!</v>
      </c>
      <c r="D43" s="450"/>
      <c r="E43" s="450"/>
      <c r="F43" s="450"/>
      <c r="G43" s="450"/>
      <c r="H43" s="450"/>
      <c r="I43" s="450"/>
      <c r="J43" s="450"/>
      <c r="K43" s="722"/>
      <c r="L43" s="2934"/>
      <c r="M43" s="2926"/>
      <c r="N43" s="2926"/>
      <c r="O43" s="2935"/>
      <c r="P43" s="3354" t="str">
        <f>A43</f>
        <v>估价对象XX用房的比较价值（楼面单价，元/平方米）</v>
      </c>
      <c r="Q43" s="3355"/>
      <c r="R43" s="3356" t="e">
        <f>ROUND(IF(D42="简单平均",AVERAGE(R42:W42),R42*F42+T42*H42+V42*J42),0)</f>
        <v>#DIV/0!</v>
      </c>
      <c r="S43" s="3356"/>
      <c r="T43" s="3356"/>
      <c r="U43" s="3356"/>
      <c r="V43" s="3356"/>
      <c r="W43" s="3356"/>
      <c r="X43" s="697"/>
      <c r="Y43" s="697"/>
      <c r="Z43" s="697"/>
      <c r="AA43" s="697"/>
      <c r="AB43" s="697"/>
      <c r="AC43" s="697"/>
    </row>
    <row r="44" spans="1:31">
      <c r="A44" s="2935"/>
      <c r="B44" s="2935"/>
      <c r="C44" s="2935"/>
      <c r="D44" s="2935"/>
      <c r="E44" s="2935"/>
      <c r="F44" s="2935"/>
      <c r="G44" s="2939"/>
      <c r="H44" s="2935"/>
      <c r="I44" s="2935"/>
      <c r="J44" s="2935"/>
      <c r="K44" s="2940"/>
      <c r="L44" s="2936"/>
      <c r="M44" s="2926"/>
      <c r="N44" s="2926"/>
      <c r="O44" s="2935"/>
      <c r="P44" s="2935"/>
      <c r="Q44" s="2935"/>
      <c r="R44" s="2935"/>
      <c r="S44" s="2935"/>
      <c r="T44" s="2935"/>
      <c r="U44" s="2935"/>
      <c r="V44" s="2935"/>
      <c r="W44" s="2935"/>
      <c r="X44" s="2935"/>
      <c r="Y44" s="2935"/>
      <c r="Z44" s="2935"/>
      <c r="AA44" s="2935"/>
      <c r="AB44" s="2935"/>
      <c r="AC44" s="2935"/>
      <c r="AD44" s="2935"/>
      <c r="AE44" s="2935"/>
    </row>
    <row r="45" spans="1:31">
      <c r="A45" s="2935"/>
      <c r="B45" s="2935"/>
      <c r="C45" s="2935"/>
      <c r="D45" s="2935"/>
      <c r="E45" s="2935"/>
      <c r="F45" s="2935"/>
      <c r="G45" s="2935"/>
      <c r="H45" s="2935"/>
      <c r="I45" s="2935"/>
      <c r="J45" s="2935"/>
      <c r="K45" s="2940"/>
      <c r="L45" s="2936"/>
      <c r="M45" s="2926"/>
      <c r="N45" s="2926"/>
      <c r="O45" s="2935"/>
      <c r="P45" s="2935"/>
      <c r="Q45" s="2935"/>
      <c r="R45" s="2935"/>
      <c r="S45" s="2935"/>
      <c r="T45" s="2935"/>
      <c r="U45" s="2935"/>
      <c r="V45" s="2935"/>
      <c r="W45" s="2935"/>
      <c r="X45" s="2935"/>
      <c r="Y45" s="2935"/>
      <c r="Z45" s="2935"/>
      <c r="AA45" s="2935"/>
      <c r="AB45" s="2935"/>
      <c r="AC45" s="2935"/>
      <c r="AD45" s="2935"/>
      <c r="AE45" s="2935"/>
    </row>
    <row r="46" spans="1:31" ht="13.5" customHeight="1">
      <c r="A46" s="2935"/>
      <c r="B46" s="2935"/>
      <c r="C46" s="453" t="s">
        <v>2486</v>
      </c>
      <c r="D46" s="454"/>
      <c r="E46" s="455" t="e">
        <f>IF(E41&lt;E42,E42/E41-1,E41/E42-1)</f>
        <v>#DIV/0!</v>
      </c>
      <c r="F46" s="456" t="e">
        <f>IF(OR(E46&gt;=0.3,E46&lt;=-0.3),"超过30%","")</f>
        <v>#DIV/0!</v>
      </c>
      <c r="G46" s="455" t="e">
        <f>IF(G41&lt;G42,G42/G41-1,G41/G42-1)</f>
        <v>#DIV/0!</v>
      </c>
      <c r="H46" s="456" t="e">
        <f>IF(OR(G46&gt;=0.3,G46&lt;=-0.3),"超过30%","")</f>
        <v>#DIV/0!</v>
      </c>
      <c r="I46" s="455" t="e">
        <f>IF(I41&lt;I42,I42/I41-1,I41/I42-1)</f>
        <v>#DIV/0!</v>
      </c>
      <c r="J46" s="456" t="e">
        <f>IF(OR(I46&gt;=0.3,I46&lt;=-0.3),"超过30%","")</f>
        <v>#DIV/0!</v>
      </c>
      <c r="K46" s="2940"/>
      <c r="L46" s="2936"/>
      <c r="M46" s="2926"/>
      <c r="N46" s="2926"/>
      <c r="O46" s="2935"/>
      <c r="P46" s="2935"/>
      <c r="Q46" s="2935"/>
      <c r="R46" s="2935"/>
      <c r="S46" s="2935"/>
      <c r="T46" s="2935"/>
      <c r="U46" s="2935"/>
      <c r="V46" s="2935"/>
      <c r="W46" s="2935"/>
      <c r="X46" s="2935"/>
      <c r="Y46" s="2935"/>
      <c r="Z46" s="2935"/>
      <c r="AA46" s="2935"/>
      <c r="AB46" s="2935"/>
      <c r="AC46" s="2935"/>
      <c r="AD46" s="2935"/>
      <c r="AE46" s="2935"/>
    </row>
    <row r="47" spans="1:31" ht="13.5" customHeight="1">
      <c r="A47" s="2935"/>
      <c r="B47" s="2935"/>
      <c r="C47" s="453" t="s">
        <v>2487</v>
      </c>
      <c r="D47" s="457"/>
      <c r="E47" s="455" t="e">
        <f>IF(E42&lt;G42,G42/E42-1,E42/G42-1)</f>
        <v>#DIV/0!</v>
      </c>
      <c r="F47" s="456" t="e">
        <f>IF(OR(E47&gt;=0.2,E47&lt;=-0.2),"超过20%","")</f>
        <v>#DIV/0!</v>
      </c>
      <c r="G47" s="455" t="e">
        <f>IF(G42&lt;I42,I42/G42-1,G42/I42-1)</f>
        <v>#DIV/0!</v>
      </c>
      <c r="H47" s="456" t="e">
        <f>IF(OR(G47&gt;=0.2,G47&lt;=-0.2),"超过20%","")</f>
        <v>#DIV/0!</v>
      </c>
      <c r="I47" s="455" t="e">
        <f>IF(I42&lt;E42,E42/I42-1,I42/E42-1)</f>
        <v>#DIV/0!</v>
      </c>
      <c r="J47" s="456" t="e">
        <f>IF(OR(I47&gt;=0.2,I47&lt;=-0.2),"超过20%","")</f>
        <v>#DIV/0!</v>
      </c>
      <c r="K47" s="2940"/>
      <c r="L47" s="2936"/>
      <c r="M47" s="2935"/>
      <c r="N47" s="2935"/>
      <c r="O47" s="2935"/>
      <c r="P47" s="2935"/>
      <c r="Q47" s="2935"/>
      <c r="R47" s="2935"/>
      <c r="S47" s="2935"/>
      <c r="T47" s="2935"/>
      <c r="U47" s="2935"/>
      <c r="V47" s="2935"/>
      <c r="W47" s="2935"/>
      <c r="X47" s="2935"/>
      <c r="Y47" s="2935"/>
      <c r="Z47" s="2935"/>
      <c r="AA47" s="2935"/>
      <c r="AB47" s="2935"/>
      <c r="AC47" s="2935"/>
      <c r="AD47" s="2935"/>
      <c r="AE47" s="2935"/>
    </row>
    <row r="48" spans="1:31" s="458" customFormat="1" ht="13.5" customHeight="1">
      <c r="A48" s="2938"/>
      <c r="B48" s="2938"/>
      <c r="C48" s="453" t="s">
        <v>2488</v>
      </c>
      <c r="D48" s="457"/>
      <c r="E48" s="455" t="e">
        <f>IF(E41&lt;G41,G41/E41-1,E41/G41-1)</f>
        <v>#DIV/0!</v>
      </c>
      <c r="F48" s="456" t="e">
        <f>IF(OR(E48&gt;=0.3,E48&lt;=-0.3),"超过30%","")</f>
        <v>#DIV/0!</v>
      </c>
      <c r="G48" s="455" t="e">
        <f>IF(G41&lt;I41,I41/G41-1,G41/I41-1)</f>
        <v>#DIV/0!</v>
      </c>
      <c r="H48" s="456" t="e">
        <f>IF(OR(G48&gt;=0.3,G48&lt;=-0.3),"超过30%","")</f>
        <v>#DIV/0!</v>
      </c>
      <c r="I48" s="455" t="e">
        <f>IF(I41&lt;E41,E41/I41-1,I41/E41-1)</f>
        <v>#DIV/0!</v>
      </c>
      <c r="J48" s="456" t="e">
        <f>IF(OR(I48&gt;=0.3,I48&lt;=-0.3),"超过30%","")</f>
        <v>#DIV/0!</v>
      </c>
      <c r="K48" s="2943"/>
      <c r="L48" s="2937"/>
      <c r="M48" s="2938"/>
      <c r="N48" s="2938"/>
      <c r="O48" s="2938"/>
      <c r="P48" s="2938"/>
      <c r="Q48" s="2938"/>
      <c r="R48" s="2938"/>
      <c r="S48" s="2938"/>
      <c r="T48" s="2938"/>
      <c r="U48" s="2938"/>
      <c r="V48" s="2938"/>
      <c r="W48" s="2938"/>
      <c r="X48" s="2938"/>
      <c r="Y48" s="2938"/>
      <c r="Z48" s="2938"/>
      <c r="AA48" s="2938"/>
      <c r="AB48" s="2938"/>
      <c r="AC48" s="2938"/>
      <c r="AD48" s="2938"/>
      <c r="AE48" s="2938"/>
    </row>
    <row r="49" spans="1:31" s="458" customFormat="1" ht="15" thickBot="1">
      <c r="A49" s="2938"/>
      <c r="B49" s="2941"/>
      <c r="C49" s="700"/>
      <c r="D49" s="698"/>
      <c r="E49" s="698"/>
      <c r="F49" s="698"/>
      <c r="G49" s="698"/>
      <c r="H49" s="698"/>
      <c r="I49" s="698"/>
      <c r="J49" s="698"/>
      <c r="K49" s="2943"/>
      <c r="L49" s="2937"/>
      <c r="M49" s="2938"/>
      <c r="N49" s="2938"/>
      <c r="O49" s="2938"/>
      <c r="P49" s="2938"/>
      <c r="Q49" s="2938"/>
      <c r="R49" s="2938"/>
      <c r="S49" s="2938"/>
      <c r="T49" s="2938"/>
      <c r="U49" s="2938"/>
      <c r="V49" s="2938"/>
      <c r="W49" s="2938"/>
      <c r="X49" s="2938"/>
      <c r="Y49" s="2938"/>
      <c r="Z49" s="2938"/>
      <c r="AA49" s="2938"/>
      <c r="AB49" s="2938"/>
      <c r="AC49" s="2938"/>
      <c r="AD49" s="2938"/>
      <c r="AE49" s="2938"/>
    </row>
    <row r="50" spans="1:31" ht="27">
      <c r="A50" s="638" t="s">
        <v>2567</v>
      </c>
      <c r="B50" s="639" t="s">
        <v>2568</v>
      </c>
      <c r="C50" s="2156" t="s">
        <v>2569</v>
      </c>
      <c r="D50" s="2157" t="s">
        <v>2570</v>
      </c>
      <c r="E50" s="640" t="s">
        <v>2571</v>
      </c>
      <c r="F50" s="641" t="s">
        <v>2572</v>
      </c>
      <c r="G50" s="3357" t="s">
        <v>2573</v>
      </c>
      <c r="H50" s="3358"/>
      <c r="I50" s="1530" t="s">
        <v>2606</v>
      </c>
      <c r="J50" s="1530" t="str">
        <f>项目基本情况!F35</f>
        <v>湖南省</v>
      </c>
      <c r="K50" s="2158" t="s">
        <v>2574</v>
      </c>
      <c r="L50" s="2936"/>
      <c r="M50" s="2935"/>
      <c r="N50" s="2935"/>
      <c r="O50" s="2935"/>
      <c r="P50" s="2935"/>
      <c r="Q50" s="2935"/>
      <c r="R50" s="2935"/>
      <c r="S50" s="2935"/>
      <c r="T50" s="2935"/>
      <c r="U50" s="2935"/>
      <c r="V50" s="2935"/>
      <c r="W50" s="2935"/>
      <c r="X50" s="2935"/>
      <c r="Y50" s="2935"/>
      <c r="Z50" s="2935"/>
      <c r="AA50" s="2935"/>
      <c r="AB50" s="2935"/>
      <c r="AC50" s="2935"/>
      <c r="AD50" s="2935"/>
      <c r="AE50" s="2935"/>
    </row>
    <row r="51" spans="1:31" s="646" customFormat="1">
      <c r="A51" s="642" t="s">
        <v>2575</v>
      </c>
      <c r="B51" s="643" t="e">
        <f>C43</f>
        <v>#DIV/0!</v>
      </c>
      <c r="C51" s="644">
        <v>1</v>
      </c>
      <c r="D51" s="1066">
        <v>1</v>
      </c>
      <c r="E51" s="644">
        <f>'数据-汇总表'!E8+'数据-汇总表'!E9</f>
        <v>29610.970000000008</v>
      </c>
      <c r="F51" s="645" t="e">
        <f t="shared" ref="F51:F60" si="15">ROUND(B51*E51/10000,0)</f>
        <v>#DIV/0!</v>
      </c>
      <c r="G51" s="3359"/>
      <c r="H51" s="3360"/>
      <c r="I51" s="876">
        <v>1</v>
      </c>
      <c r="J51" s="876">
        <v>1</v>
      </c>
      <c r="K51" s="2938"/>
      <c r="L51" s="2992"/>
      <c r="M51" s="2992"/>
      <c r="N51" s="2992"/>
      <c r="O51" s="2992"/>
      <c r="P51" s="2992"/>
      <c r="Q51" s="2992"/>
      <c r="R51" s="2992"/>
      <c r="S51" s="2992"/>
      <c r="T51" s="2992"/>
      <c r="U51" s="2992"/>
      <c r="V51" s="2992"/>
      <c r="W51" s="2992"/>
      <c r="X51" s="2992"/>
      <c r="Y51" s="2992"/>
      <c r="Z51" s="2992"/>
      <c r="AA51" s="2992"/>
      <c r="AB51" s="2992"/>
      <c r="AC51" s="2992"/>
      <c r="AD51" s="2992"/>
      <c r="AE51" s="2992"/>
    </row>
    <row r="52" spans="1:31" s="646" customFormat="1">
      <c r="A52" s="647" t="s">
        <v>2576</v>
      </c>
      <c r="B52" s="224" t="e">
        <f>ROUND($C$43*C52*D52,0)</f>
        <v>#DIV/0!</v>
      </c>
      <c r="C52" s="176">
        <f t="shared" ref="C52:C60" si="16">IF($C$50="北京市系数",I52,J52)</f>
        <v>0</v>
      </c>
      <c r="D52" s="1067">
        <v>0.25</v>
      </c>
      <c r="E52" s="648"/>
      <c r="F52" s="645" t="e">
        <f t="shared" si="15"/>
        <v>#DIV/0!</v>
      </c>
      <c r="G52" s="3361" t="s">
        <v>2577</v>
      </c>
      <c r="H52" s="1014">
        <f>项目基本情况!B37</f>
        <v>0</v>
      </c>
      <c r="I52" s="876">
        <f>SUMIF(修正!A45:A56,H52,修正!B45:B56)</f>
        <v>0</v>
      </c>
      <c r="J52" s="877"/>
      <c r="K52" s="2935"/>
      <c r="L52" s="2992"/>
      <c r="M52" s="2992"/>
      <c r="N52" s="2992"/>
      <c r="O52" s="2992"/>
      <c r="P52" s="2992"/>
      <c r="Q52" s="2992"/>
      <c r="R52" s="2992"/>
      <c r="S52" s="2992"/>
      <c r="T52" s="2992"/>
      <c r="U52" s="2992"/>
      <c r="V52" s="2992"/>
      <c r="W52" s="2992"/>
      <c r="X52" s="2992"/>
      <c r="Y52" s="2992"/>
      <c r="Z52" s="2992"/>
      <c r="AA52" s="2992"/>
      <c r="AB52" s="2992"/>
      <c r="AC52" s="2992"/>
      <c r="AD52" s="2992"/>
      <c r="AE52" s="2992"/>
    </row>
    <row r="53" spans="1:31" s="646" customFormat="1">
      <c r="A53" s="647" t="s">
        <v>2578</v>
      </c>
      <c r="B53" s="224" t="e">
        <f t="shared" ref="B53:B60" si="17">ROUND($C$43*C53*D53,0)</f>
        <v>#DIV/0!</v>
      </c>
      <c r="C53" s="176">
        <f t="shared" si="16"/>
        <v>0</v>
      </c>
      <c r="D53" s="1067">
        <v>0.25</v>
      </c>
      <c r="E53" s="648"/>
      <c r="F53" s="645" t="e">
        <f t="shared" si="15"/>
        <v>#DIV/0!</v>
      </c>
      <c r="G53" s="3361"/>
      <c r="H53" s="1014">
        <f>项目基本情况!B37</f>
        <v>0</v>
      </c>
      <c r="I53" s="876">
        <f>SUMIF(修正!A45:A56,H53,修正!C45:C56)</f>
        <v>0</v>
      </c>
      <c r="J53" s="877"/>
      <c r="K53" s="2938"/>
      <c r="L53" s="2992"/>
      <c r="M53" s="2992"/>
      <c r="N53" s="2992"/>
      <c r="O53" s="2992"/>
      <c r="P53" s="2992"/>
      <c r="Q53" s="2992"/>
      <c r="R53" s="2992"/>
      <c r="S53" s="2992"/>
      <c r="T53" s="2992"/>
      <c r="U53" s="2992"/>
      <c r="V53" s="2992"/>
      <c r="W53" s="2992"/>
      <c r="X53" s="2992"/>
      <c r="Y53" s="2992"/>
      <c r="Z53" s="2992"/>
      <c r="AA53" s="2992"/>
      <c r="AB53" s="2992"/>
      <c r="AC53" s="2992"/>
      <c r="AD53" s="2992"/>
      <c r="AE53" s="2992"/>
    </row>
    <row r="54" spans="1:31" s="646" customFormat="1">
      <c r="A54" s="647" t="s">
        <v>2579</v>
      </c>
      <c r="B54" s="224" t="e">
        <f t="shared" si="17"/>
        <v>#DIV/0!</v>
      </c>
      <c r="C54" s="176">
        <f t="shared" si="16"/>
        <v>0</v>
      </c>
      <c r="D54" s="1067">
        <v>0.25</v>
      </c>
      <c r="E54" s="648"/>
      <c r="F54" s="645" t="e">
        <f t="shared" si="15"/>
        <v>#DIV/0!</v>
      </c>
      <c r="G54" s="3361"/>
      <c r="H54" s="1014">
        <f>项目基本情况!B37</f>
        <v>0</v>
      </c>
      <c r="I54" s="876">
        <f>SUMIF(修正!A45:A56,H54,修正!D45:D56)</f>
        <v>0</v>
      </c>
      <c r="J54" s="877"/>
      <c r="K54" s="2935"/>
      <c r="L54" s="2992"/>
      <c r="M54" s="2992"/>
      <c r="N54" s="2992"/>
      <c r="O54" s="2992"/>
      <c r="P54" s="2992"/>
      <c r="Q54" s="2992"/>
      <c r="R54" s="2992"/>
      <c r="S54" s="2992"/>
      <c r="T54" s="2992"/>
      <c r="U54" s="2992"/>
      <c r="V54" s="2992"/>
      <c r="W54" s="2992"/>
      <c r="X54" s="2992"/>
      <c r="Y54" s="2992"/>
      <c r="Z54" s="2992"/>
      <c r="AA54" s="2992"/>
      <c r="AB54" s="2992"/>
      <c r="AC54" s="2992"/>
      <c r="AD54" s="2992"/>
      <c r="AE54" s="2992"/>
    </row>
    <row r="55" spans="1:31" s="646" customFormat="1">
      <c r="A55" s="647" t="s">
        <v>2580</v>
      </c>
      <c r="B55" s="224" t="e">
        <f t="shared" si="17"/>
        <v>#DIV/0!</v>
      </c>
      <c r="C55" s="176">
        <f t="shared" si="16"/>
        <v>0</v>
      </c>
      <c r="D55" s="1067">
        <v>0.25</v>
      </c>
      <c r="E55" s="648"/>
      <c r="F55" s="645" t="e">
        <f t="shared" si="15"/>
        <v>#DIV/0!</v>
      </c>
      <c r="G55" s="3361"/>
      <c r="H55" s="1014">
        <f>项目基本情况!B37</f>
        <v>0</v>
      </c>
      <c r="I55" s="876">
        <f>SUMIF(修正!A45:A56,H55,修正!E45:E56)</f>
        <v>0</v>
      </c>
      <c r="J55" s="877"/>
      <c r="K55" s="2938"/>
      <c r="L55" s="2992"/>
      <c r="M55" s="2992"/>
      <c r="N55" s="2992"/>
      <c r="O55" s="2992"/>
      <c r="P55" s="2992"/>
      <c r="Q55" s="2992"/>
      <c r="R55" s="2992"/>
      <c r="S55" s="2992"/>
      <c r="T55" s="2992"/>
      <c r="U55" s="2992"/>
      <c r="V55" s="2992"/>
      <c r="W55" s="2992"/>
      <c r="X55" s="2992"/>
      <c r="Y55" s="2992"/>
      <c r="Z55" s="2992"/>
      <c r="AA55" s="2992"/>
      <c r="AB55" s="2992"/>
      <c r="AC55" s="2992"/>
      <c r="AD55" s="2992"/>
      <c r="AE55" s="2992"/>
    </row>
    <row r="56" spans="1:31" s="646" customFormat="1">
      <c r="A56" s="647" t="s">
        <v>2581</v>
      </c>
      <c r="B56" s="224" t="e">
        <f t="shared" si="17"/>
        <v>#DIV/0!</v>
      </c>
      <c r="C56" s="176">
        <f t="shared" si="16"/>
        <v>0</v>
      </c>
      <c r="D56" s="1067">
        <v>0.25</v>
      </c>
      <c r="E56" s="223">
        <f>'数据-汇总表'!E11</f>
        <v>0</v>
      </c>
      <c r="F56" s="645" t="e">
        <f t="shared" si="15"/>
        <v>#DIV/0!</v>
      </c>
      <c r="G56" s="2159" t="s">
        <v>2582</v>
      </c>
      <c r="H56" s="1014">
        <f>项目基本情况!C37</f>
        <v>0</v>
      </c>
      <c r="I56" s="876">
        <f>SUMIF(修正!A45:A56,H56,修正!F45:F56)</f>
        <v>0</v>
      </c>
      <c r="J56" s="877"/>
      <c r="K56" s="2935"/>
      <c r="L56" s="2992"/>
      <c r="M56" s="2992"/>
      <c r="N56" s="2992"/>
      <c r="O56" s="2992"/>
      <c r="P56" s="2992"/>
      <c r="Q56" s="2992"/>
      <c r="R56" s="2992"/>
      <c r="S56" s="2992"/>
      <c r="T56" s="2992"/>
      <c r="U56" s="2992"/>
      <c r="V56" s="2992"/>
      <c r="W56" s="2992"/>
      <c r="X56" s="2992"/>
      <c r="Y56" s="2992"/>
      <c r="Z56" s="2992"/>
      <c r="AA56" s="2992"/>
      <c r="AB56" s="2992"/>
      <c r="AC56" s="2992"/>
      <c r="AD56" s="2992"/>
      <c r="AE56" s="2992"/>
    </row>
    <row r="57" spans="1:31" s="646" customFormat="1">
      <c r="A57" s="647" t="s">
        <v>2583</v>
      </c>
      <c r="B57" s="224" t="e">
        <f t="shared" si="17"/>
        <v>#DIV/0!</v>
      </c>
      <c r="C57" s="176">
        <f t="shared" si="16"/>
        <v>0</v>
      </c>
      <c r="D57" s="1067">
        <v>0.25</v>
      </c>
      <c r="E57" s="223">
        <f>'数据-汇总表'!E12</f>
        <v>0</v>
      </c>
      <c r="F57" s="645" t="e">
        <f t="shared" si="15"/>
        <v>#DIV/0!</v>
      </c>
      <c r="G57" s="1017" t="s">
        <v>2584</v>
      </c>
      <c r="H57" s="1014">
        <f>IF(G57="商业",项目基本情况!B37,IF(G57="办公",项目基本情况!C37,IF(G57="住宅",项目基本情况!D37,项目基本情况!E37)))</f>
        <v>0</v>
      </c>
      <c r="I57" s="876">
        <f>SUMIF(修正!A45:A56,H57,修正!G45:G56)</f>
        <v>0</v>
      </c>
      <c r="J57" s="877"/>
      <c r="K57" s="2938"/>
      <c r="L57" s="2992"/>
      <c r="M57" s="2992"/>
      <c r="N57" s="2992"/>
      <c r="O57" s="2992"/>
      <c r="P57" s="2992"/>
      <c r="Q57" s="2992"/>
      <c r="R57" s="2992"/>
      <c r="S57" s="2992"/>
      <c r="T57" s="2992"/>
      <c r="U57" s="2992"/>
      <c r="V57" s="2992"/>
      <c r="W57" s="2992"/>
      <c r="X57" s="2992"/>
      <c r="Y57" s="2992"/>
      <c r="Z57" s="2992"/>
      <c r="AA57" s="2992"/>
      <c r="AB57" s="2992"/>
      <c r="AC57" s="2992"/>
      <c r="AD57" s="2992"/>
      <c r="AE57" s="2992"/>
    </row>
    <row r="58" spans="1:31" s="646" customFormat="1">
      <c r="A58" s="647" t="s">
        <v>2585</v>
      </c>
      <c r="B58" s="224" t="e">
        <f t="shared" si="17"/>
        <v>#DIV/0!</v>
      </c>
      <c r="C58" s="176">
        <f t="shared" si="16"/>
        <v>0</v>
      </c>
      <c r="D58" s="1067">
        <v>0.25</v>
      </c>
      <c r="E58" s="223">
        <f>'数据-汇总表'!E13</f>
        <v>0</v>
      </c>
      <c r="F58" s="645" t="e">
        <f t="shared" si="15"/>
        <v>#DIV/0!</v>
      </c>
      <c r="G58" s="1017" t="s">
        <v>2586</v>
      </c>
      <c r="H58" s="1014">
        <f>IF(G58="商业",项目基本情况!B37,IF(G58="办公",项目基本情况!C37,IF(G58="住宅",项目基本情况!D37,项目基本情况!E37)))</f>
        <v>0</v>
      </c>
      <c r="I58" s="876">
        <f>SUMIF(修正!A45:A56,H58,修正!H45:H56)</f>
        <v>0</v>
      </c>
      <c r="J58" s="877"/>
      <c r="K58" s="2935"/>
      <c r="L58" s="2992"/>
      <c r="M58" s="2992"/>
      <c r="N58" s="2992"/>
      <c r="O58" s="2992"/>
      <c r="P58" s="2992"/>
      <c r="Q58" s="2992"/>
      <c r="R58" s="2992"/>
      <c r="S58" s="2992"/>
      <c r="T58" s="2992"/>
      <c r="U58" s="2992"/>
      <c r="V58" s="2992"/>
      <c r="W58" s="2992"/>
      <c r="X58" s="2992"/>
      <c r="Y58" s="2992"/>
      <c r="Z58" s="2992"/>
      <c r="AA58" s="2992"/>
      <c r="AB58" s="2992"/>
      <c r="AC58" s="2992"/>
      <c r="AD58" s="2992"/>
      <c r="AE58" s="2992"/>
    </row>
    <row r="59" spans="1:31" s="646" customFormat="1">
      <c r="A59" s="647" t="s">
        <v>2587</v>
      </c>
      <c r="B59" s="224" t="e">
        <f t="shared" si="17"/>
        <v>#DIV/0!</v>
      </c>
      <c r="C59" s="176">
        <f t="shared" si="16"/>
        <v>0</v>
      </c>
      <c r="D59" s="1067">
        <v>0.25</v>
      </c>
      <c r="E59" s="223">
        <f>'数据-汇总表'!E14</f>
        <v>0</v>
      </c>
      <c r="F59" s="645" t="e">
        <f t="shared" si="15"/>
        <v>#DIV/0!</v>
      </c>
      <c r="G59" s="2159" t="s">
        <v>2577</v>
      </c>
      <c r="H59" s="1014">
        <f>项目基本情况!B37</f>
        <v>0</v>
      </c>
      <c r="I59" s="876">
        <f>SUMIF(修正!A45:A56,H59,修正!H45:H56)</f>
        <v>0</v>
      </c>
      <c r="J59" s="877"/>
      <c r="K59" s="2938"/>
      <c r="L59" s="2992"/>
      <c r="M59" s="2992"/>
      <c r="N59" s="2992"/>
      <c r="O59" s="2992"/>
      <c r="P59" s="2992"/>
      <c r="Q59" s="2992"/>
      <c r="R59" s="2992"/>
      <c r="S59" s="2992"/>
      <c r="T59" s="2992"/>
      <c r="U59" s="2992"/>
      <c r="V59" s="2992"/>
      <c r="W59" s="2992"/>
      <c r="X59" s="2992"/>
      <c r="Y59" s="2992"/>
      <c r="Z59" s="2992"/>
      <c r="AA59" s="2992"/>
      <c r="AB59" s="2992"/>
      <c r="AC59" s="2992"/>
      <c r="AD59" s="2992"/>
      <c r="AE59" s="2992"/>
    </row>
    <row r="60" spans="1:31" s="646" customFormat="1" ht="15" thickBot="1">
      <c r="A60" s="647" t="s">
        <v>2588</v>
      </c>
      <c r="B60" s="224" t="e">
        <f t="shared" si="17"/>
        <v>#DIV/0!</v>
      </c>
      <c r="C60" s="176">
        <f t="shared" si="16"/>
        <v>0</v>
      </c>
      <c r="D60" s="1067">
        <v>0.25</v>
      </c>
      <c r="E60" s="223">
        <f>'数据-汇总表'!E15</f>
        <v>0</v>
      </c>
      <c r="F60" s="645" t="e">
        <f t="shared" si="15"/>
        <v>#DIV/0!</v>
      </c>
      <c r="G60" s="2160" t="s">
        <v>2582</v>
      </c>
      <c r="H60" s="1020">
        <f>项目基本情况!C37</f>
        <v>0</v>
      </c>
      <c r="I60" s="876">
        <f>SUMIF(修正!A45:A56,H60,修正!H45:H56)</f>
        <v>0</v>
      </c>
      <c r="J60" s="877"/>
      <c r="K60" s="2935"/>
      <c r="L60" s="2992"/>
      <c r="M60" s="2992"/>
      <c r="N60" s="2992"/>
      <c r="O60" s="2992"/>
      <c r="P60" s="2992"/>
      <c r="Q60" s="2992"/>
      <c r="R60" s="2992"/>
      <c r="S60" s="2992"/>
      <c r="T60" s="2992"/>
      <c r="U60" s="2992"/>
      <c r="V60" s="2992"/>
      <c r="W60" s="2992"/>
      <c r="X60" s="2992"/>
      <c r="Y60" s="2992"/>
      <c r="Z60" s="2992"/>
      <c r="AA60" s="2992"/>
      <c r="AB60" s="2992"/>
      <c r="AC60" s="2992"/>
      <c r="AD60" s="2992"/>
      <c r="AE60" s="2992"/>
    </row>
    <row r="61" spans="1:31" s="646" customFormat="1" ht="15" thickBot="1">
      <c r="A61" s="649" t="s">
        <v>2589</v>
      </c>
      <c r="B61" s="650" t="s">
        <v>28</v>
      </c>
      <c r="C61" s="650" t="s">
        <v>29</v>
      </c>
      <c r="D61" s="650" t="s">
        <v>997</v>
      </c>
      <c r="E61" s="650">
        <f>IF(B41="楼面地价",SUM(E51:E60),'数据-汇总表'!D3)</f>
        <v>0</v>
      </c>
      <c r="F61" s="651" t="e">
        <f>IF(B41="楼面地价",SUM(F51:F60),ROUND(C43*E61/10000,0))</f>
        <v>#DIV/0!</v>
      </c>
      <c r="G61" s="1062"/>
      <c r="H61" s="1062"/>
      <c r="I61" s="1062"/>
      <c r="J61" s="1062"/>
      <c r="K61" s="2940"/>
      <c r="L61" s="2992"/>
      <c r="M61" s="2992"/>
      <c r="N61" s="2992"/>
      <c r="O61" s="2992"/>
      <c r="P61" s="2992"/>
      <c r="Q61" s="2992"/>
      <c r="R61" s="2992"/>
      <c r="S61" s="2992"/>
      <c r="T61" s="2992"/>
      <c r="U61" s="2992"/>
      <c r="V61" s="2992"/>
      <c r="W61" s="2992"/>
      <c r="X61" s="2992"/>
      <c r="Y61" s="2992"/>
      <c r="Z61" s="2992"/>
      <c r="AA61" s="2992"/>
      <c r="AB61" s="2992"/>
      <c r="AC61" s="2992"/>
      <c r="AD61" s="2992"/>
      <c r="AE61" s="2992"/>
    </row>
    <row r="62" spans="1:31">
      <c r="A62" s="1050"/>
      <c r="B62" s="1052"/>
      <c r="C62" s="1054"/>
      <c r="D62" s="1050"/>
      <c r="E62" s="1050"/>
      <c r="F62" s="1050"/>
      <c r="G62" s="1050"/>
      <c r="H62" s="1050"/>
      <c r="I62" s="1050"/>
      <c r="J62" s="1050"/>
      <c r="K62" s="1015"/>
      <c r="L62" s="1016"/>
      <c r="M62" s="1050"/>
      <c r="N62" s="1050"/>
      <c r="O62" s="1050"/>
      <c r="P62" s="2935"/>
      <c r="Q62" s="2935"/>
      <c r="R62" s="2935"/>
      <c r="S62" s="2935"/>
      <c r="T62" s="2935"/>
      <c r="U62" s="2935"/>
      <c r="V62" s="2935"/>
      <c r="W62" s="2935"/>
      <c r="X62" s="2935"/>
      <c r="Y62" s="2935"/>
      <c r="Z62" s="2935"/>
      <c r="AA62" s="2935"/>
      <c r="AB62" s="2935"/>
      <c r="AC62" s="2935"/>
      <c r="AD62" s="2935"/>
      <c r="AE62" s="2935"/>
    </row>
    <row r="63" spans="1:31">
      <c r="A63" s="1050"/>
      <c r="B63" s="1052"/>
      <c r="C63" s="699" t="str">
        <f>YEAR(C7)&amp;"-"&amp;MONTH(C7)&amp;"-1"</f>
        <v>2021-3-1</v>
      </c>
      <c r="D63" s="699">
        <f>EDATE(C63,-3)</f>
        <v>44166</v>
      </c>
      <c r="E63" s="699">
        <f>EDATE(D63,-3)</f>
        <v>44075</v>
      </c>
      <c r="F63" s="699">
        <f t="shared" ref="F63:O63" si="18">EDATE(E63,-3)</f>
        <v>43983</v>
      </c>
      <c r="G63" s="699">
        <f t="shared" si="18"/>
        <v>43891</v>
      </c>
      <c r="H63" s="699">
        <f t="shared" si="18"/>
        <v>43800</v>
      </c>
      <c r="I63" s="699">
        <f t="shared" si="18"/>
        <v>43709</v>
      </c>
      <c r="J63" s="699">
        <f t="shared" si="18"/>
        <v>43617</v>
      </c>
      <c r="K63" s="699">
        <f t="shared" si="18"/>
        <v>43525</v>
      </c>
      <c r="L63" s="699">
        <f t="shared" si="18"/>
        <v>43435</v>
      </c>
      <c r="M63" s="699">
        <f t="shared" si="18"/>
        <v>43344</v>
      </c>
      <c r="N63" s="699">
        <f t="shared" si="18"/>
        <v>43252</v>
      </c>
      <c r="O63" s="699">
        <f t="shared" si="18"/>
        <v>43160</v>
      </c>
      <c r="P63" s="2935"/>
      <c r="Q63" s="2935"/>
      <c r="R63" s="2935"/>
      <c r="S63" s="2935"/>
      <c r="T63" s="2935"/>
      <c r="U63" s="2935"/>
      <c r="V63" s="2935"/>
      <c r="W63" s="2935"/>
      <c r="X63" s="2935"/>
      <c r="Y63" s="2935"/>
      <c r="Z63" s="2935"/>
      <c r="AA63" s="2935"/>
      <c r="AB63" s="2935"/>
      <c r="AC63" s="2935"/>
      <c r="AD63" s="2935"/>
      <c r="AE63" s="2935"/>
    </row>
    <row r="64" spans="1:31" ht="21.75" thickBot="1">
      <c r="A64" s="701" t="s">
        <v>2489</v>
      </c>
      <c r="B64" s="697"/>
      <c r="C64" s="702"/>
      <c r="D64" s="702"/>
      <c r="E64" s="702"/>
      <c r="F64" s="703"/>
      <c r="G64" s="703"/>
      <c r="H64" s="702"/>
      <c r="I64" s="702"/>
      <c r="J64" s="702"/>
      <c r="K64" s="704"/>
      <c r="L64" s="705"/>
      <c r="M64" s="702"/>
      <c r="N64" s="702"/>
      <c r="O64" s="1063"/>
      <c r="P64" s="2979"/>
      <c r="Q64" s="2949"/>
      <c r="R64" s="2935"/>
      <c r="S64" s="2935"/>
      <c r="T64" s="2935"/>
      <c r="U64" s="2935"/>
      <c r="V64" s="2935"/>
      <c r="W64" s="2935"/>
      <c r="X64" s="2935"/>
      <c r="Y64" s="2935"/>
      <c r="Z64" s="2935"/>
      <c r="AA64" s="2935"/>
      <c r="AB64" s="2935"/>
      <c r="AC64" s="2935"/>
      <c r="AD64" s="2935"/>
      <c r="AE64" s="2935"/>
    </row>
    <row r="65" spans="1:31" s="464" customFormat="1" ht="15">
      <c r="A65" s="2161" t="s">
        <v>2590</v>
      </c>
      <c r="B65" s="1260"/>
      <c r="C65" s="1332" t="str">
        <f>YEAR(C63)&amp;"-"&amp;ROUNDUP(MONTH(C63)/3,0)</f>
        <v>2021-1</v>
      </c>
      <c r="D65" s="1332" t="str">
        <f t="shared" ref="D65:O65" si="19">YEAR(D63)&amp;"-"&amp;ROUNDUP(MONTH(D63)/3,0)</f>
        <v>2020-4</v>
      </c>
      <c r="E65" s="1332" t="str">
        <f t="shared" si="19"/>
        <v>2020-3</v>
      </c>
      <c r="F65" s="1332" t="str">
        <f t="shared" si="19"/>
        <v>2020-2</v>
      </c>
      <c r="G65" s="1332" t="str">
        <f t="shared" si="19"/>
        <v>2020-1</v>
      </c>
      <c r="H65" s="1332" t="str">
        <f t="shared" si="19"/>
        <v>2019-4</v>
      </c>
      <c r="I65" s="1332" t="str">
        <f t="shared" si="19"/>
        <v>2019-3</v>
      </c>
      <c r="J65" s="1332" t="str">
        <f t="shared" si="19"/>
        <v>2019-2</v>
      </c>
      <c r="K65" s="1332" t="str">
        <f t="shared" si="19"/>
        <v>2019-1</v>
      </c>
      <c r="L65" s="1332" t="str">
        <f t="shared" si="19"/>
        <v>2018-4</v>
      </c>
      <c r="M65" s="1332" t="str">
        <f t="shared" si="19"/>
        <v>2018-3</v>
      </c>
      <c r="N65" s="1332" t="str">
        <f t="shared" si="19"/>
        <v>2018-2</v>
      </c>
      <c r="O65" s="1332" t="str">
        <f t="shared" si="19"/>
        <v>2018-1</v>
      </c>
      <c r="P65" s="2986"/>
      <c r="Q65" s="2951"/>
      <c r="R65" s="2951"/>
      <c r="S65" s="2951"/>
      <c r="T65" s="2951"/>
      <c r="U65" s="2951"/>
      <c r="V65" s="2951"/>
      <c r="W65" s="2951"/>
      <c r="X65" s="2951"/>
      <c r="Y65" s="2951"/>
      <c r="Z65" s="2951"/>
      <c r="AA65" s="2951"/>
      <c r="AB65" s="2951"/>
      <c r="AC65" s="2951"/>
      <c r="AD65" s="2951"/>
      <c r="AE65" s="2951"/>
    </row>
    <row r="66" spans="1:31" s="113" customFormat="1" ht="30.75" customHeight="1">
      <c r="A66" s="2165" t="s">
        <v>2607</v>
      </c>
      <c r="B66" s="294" t="str">
        <f>"北京市平均增长率"&amp;TEXT(基准地价修正!P24,"0.00%")</f>
        <v>北京市平均增长率1.28%</v>
      </c>
      <c r="C66" s="559">
        <v>100</v>
      </c>
      <c r="D66" s="551"/>
      <c r="E66" s="551"/>
      <c r="F66" s="551"/>
      <c r="G66" s="551"/>
      <c r="H66" s="551"/>
      <c r="I66" s="551"/>
      <c r="J66" s="551"/>
      <c r="K66" s="551"/>
      <c r="L66" s="551"/>
      <c r="M66" s="1329"/>
      <c r="N66" s="1329"/>
      <c r="O66" s="1330"/>
      <c r="P66" s="2949"/>
      <c r="Q66" s="2870"/>
      <c r="R66" s="2870"/>
      <c r="S66" s="2870"/>
      <c r="T66" s="2870"/>
      <c r="U66" s="2870"/>
      <c r="V66" s="2870"/>
      <c r="W66" s="2870"/>
      <c r="X66" s="2870"/>
      <c r="Y66" s="2870"/>
      <c r="Z66" s="2870"/>
      <c r="AA66" s="2870"/>
      <c r="AB66" s="2870"/>
      <c r="AC66" s="2870"/>
      <c r="AD66" s="2870"/>
      <c r="AE66" s="2870"/>
    </row>
    <row r="67" spans="1:31" s="113" customFormat="1" ht="15.75" thickBot="1">
      <c r="A67" s="471" t="s">
        <v>2400</v>
      </c>
      <c r="B67" s="472"/>
      <c r="C67" s="473"/>
      <c r="D67" s="474"/>
      <c r="E67" s="474"/>
      <c r="F67" s="474"/>
      <c r="G67" s="474"/>
      <c r="H67" s="474"/>
      <c r="I67" s="474"/>
      <c r="J67" s="474"/>
      <c r="K67" s="474"/>
      <c r="L67" s="474"/>
      <c r="M67" s="475"/>
      <c r="N67" s="475"/>
      <c r="O67" s="476"/>
      <c r="P67" s="2949"/>
      <c r="Q67" s="2949"/>
      <c r="R67" s="2870"/>
      <c r="S67" s="2870"/>
      <c r="T67" s="2870"/>
      <c r="U67" s="2870"/>
      <c r="V67" s="2870"/>
      <c r="W67" s="2870"/>
      <c r="X67" s="2870"/>
      <c r="Y67" s="2870"/>
      <c r="Z67" s="2870"/>
      <c r="AA67" s="2870"/>
      <c r="AB67" s="2870"/>
      <c r="AC67" s="2870"/>
      <c r="AD67" s="2870"/>
      <c r="AE67" s="2870"/>
    </row>
    <row r="68" spans="1:31" s="113" customFormat="1" ht="15">
      <c r="A68" s="477" t="s">
        <v>2365</v>
      </c>
      <c r="B68" s="466"/>
      <c r="C68" s="478" t="s">
        <v>2467</v>
      </c>
      <c r="D68" s="479"/>
      <c r="E68" s="479"/>
      <c r="F68" s="479"/>
      <c r="G68" s="479"/>
      <c r="H68" s="479"/>
      <c r="I68" s="479"/>
      <c r="J68" s="479"/>
      <c r="K68" s="479"/>
      <c r="L68" s="480"/>
      <c r="M68" s="481"/>
      <c r="N68" s="2962"/>
      <c r="O68" s="2962"/>
      <c r="P68" s="2987"/>
      <c r="Q68" s="2949"/>
      <c r="R68" s="2870"/>
      <c r="S68" s="2870"/>
      <c r="T68" s="2870"/>
      <c r="U68" s="2870"/>
      <c r="V68" s="2870"/>
      <c r="W68" s="2870"/>
      <c r="X68" s="2870"/>
      <c r="Y68" s="2870"/>
      <c r="Z68" s="2870"/>
      <c r="AA68" s="2870"/>
      <c r="AB68" s="2870"/>
      <c r="AC68" s="2870"/>
      <c r="AD68" s="2870"/>
      <c r="AE68" s="2870"/>
    </row>
    <row r="69" spans="1:31" s="113" customFormat="1" ht="15.75" thickBot="1">
      <c r="A69" s="477"/>
      <c r="B69" s="466"/>
      <c r="C69" s="594">
        <v>100</v>
      </c>
      <c r="D69" s="468"/>
      <c r="E69" s="468"/>
      <c r="F69" s="468"/>
      <c r="G69" s="468"/>
      <c r="H69" s="468"/>
      <c r="I69" s="468"/>
      <c r="J69" s="468"/>
      <c r="K69" s="468"/>
      <c r="L69" s="468"/>
      <c r="M69" s="470"/>
      <c r="N69" s="2962"/>
      <c r="O69" s="2962"/>
      <c r="P69" s="2949"/>
      <c r="Q69" s="2949"/>
      <c r="R69" s="2870"/>
      <c r="S69" s="2870"/>
      <c r="T69" s="2870"/>
      <c r="U69" s="2870"/>
      <c r="V69" s="2870"/>
      <c r="W69" s="2870"/>
      <c r="X69" s="2870"/>
      <c r="Y69" s="2870"/>
      <c r="Z69" s="2870"/>
      <c r="AA69" s="2870"/>
      <c r="AB69" s="2870"/>
      <c r="AC69" s="2870"/>
      <c r="AD69" s="2870"/>
      <c r="AE69" s="2870"/>
    </row>
    <row r="70" spans="1:31">
      <c r="A70" s="483" t="s">
        <v>2403</v>
      </c>
      <c r="B70" s="484" t="s">
        <v>2369</v>
      </c>
      <c r="C70" s="486"/>
      <c r="D70" s="486"/>
      <c r="E70" s="486"/>
      <c r="F70" s="486"/>
      <c r="G70" s="486"/>
      <c r="H70" s="486"/>
      <c r="I70" s="486"/>
      <c r="J70" s="486"/>
      <c r="K70" s="487"/>
      <c r="L70" s="488"/>
      <c r="M70" s="489"/>
      <c r="N70" s="2963"/>
      <c r="O70" s="2963"/>
      <c r="P70" s="2988"/>
      <c r="Q70" s="2949"/>
      <c r="R70" s="2935"/>
      <c r="S70" s="2935"/>
      <c r="T70" s="2935"/>
      <c r="U70" s="2935"/>
      <c r="V70" s="2935"/>
      <c r="W70" s="2935"/>
      <c r="X70" s="2935"/>
      <c r="Y70" s="2935"/>
      <c r="Z70" s="2935"/>
      <c r="AA70" s="2935"/>
      <c r="AB70" s="2935"/>
      <c r="AC70" s="2935"/>
      <c r="AD70" s="2935"/>
      <c r="AE70" s="2935"/>
    </row>
    <row r="71" spans="1:31" ht="15.75" thickBot="1">
      <c r="A71" s="490"/>
      <c r="B71" s="491"/>
      <c r="C71" s="492"/>
      <c r="D71" s="492"/>
      <c r="E71" s="492"/>
      <c r="F71" s="492"/>
      <c r="G71" s="492"/>
      <c r="H71" s="492"/>
      <c r="I71" s="492"/>
      <c r="J71" s="492"/>
      <c r="K71" s="492"/>
      <c r="L71" s="492"/>
      <c r="M71" s="493"/>
      <c r="N71" s="2964"/>
      <c r="O71" s="2964"/>
      <c r="P71" s="2988"/>
      <c r="Q71" s="2949"/>
      <c r="R71" s="2935"/>
      <c r="S71" s="2935"/>
      <c r="T71" s="2935"/>
      <c r="U71" s="2935"/>
      <c r="V71" s="2935"/>
      <c r="W71" s="2935"/>
      <c r="X71" s="2935"/>
      <c r="Y71" s="2935"/>
      <c r="Z71" s="2935"/>
      <c r="AA71" s="2935"/>
      <c r="AB71" s="2935"/>
      <c r="AC71" s="2935"/>
      <c r="AD71" s="2935"/>
      <c r="AE71" s="2935"/>
    </row>
    <row r="72" spans="1:31" ht="27.75" thickTop="1">
      <c r="A72" s="490"/>
      <c r="B72" s="494" t="s">
        <v>2372</v>
      </c>
      <c r="C72" s="495"/>
      <c r="D72" s="495"/>
      <c r="E72" s="495"/>
      <c r="F72" s="495"/>
      <c r="G72" s="495"/>
      <c r="H72" s="495"/>
      <c r="I72" s="495"/>
      <c r="J72" s="495"/>
      <c r="K72" s="496"/>
      <c r="L72" s="497"/>
      <c r="M72" s="498"/>
      <c r="N72" s="2963"/>
      <c r="O72" s="2963"/>
      <c r="P72" s="2988"/>
      <c r="Q72" s="2949"/>
      <c r="R72" s="2935"/>
      <c r="S72" s="2935"/>
      <c r="T72" s="2935"/>
      <c r="U72" s="2935"/>
      <c r="V72" s="2935"/>
      <c r="W72" s="2935"/>
      <c r="X72" s="2935"/>
      <c r="Y72" s="2935"/>
      <c r="Z72" s="2935"/>
      <c r="AA72" s="2935"/>
      <c r="AB72" s="2935"/>
      <c r="AC72" s="2935"/>
      <c r="AD72" s="2935"/>
      <c r="AE72" s="2935"/>
    </row>
    <row r="73" spans="1:31" ht="15.75" thickBot="1">
      <c r="A73" s="490"/>
      <c r="B73" s="499"/>
      <c r="C73" s="500"/>
      <c r="D73" s="500"/>
      <c r="E73" s="500"/>
      <c r="F73" s="500"/>
      <c r="G73" s="500"/>
      <c r="H73" s="500"/>
      <c r="I73" s="500"/>
      <c r="J73" s="500"/>
      <c r="K73" s="500"/>
      <c r="L73" s="500"/>
      <c r="M73" s="501"/>
      <c r="N73" s="2964"/>
      <c r="O73" s="2964"/>
      <c r="P73" s="2988"/>
      <c r="Q73" s="2949"/>
      <c r="R73" s="2935"/>
      <c r="S73" s="2935"/>
      <c r="T73" s="2935"/>
      <c r="U73" s="2935"/>
      <c r="V73" s="2935"/>
      <c r="W73" s="2935"/>
      <c r="X73" s="2935"/>
      <c r="Y73" s="2935"/>
      <c r="Z73" s="2935"/>
      <c r="AA73" s="2935"/>
      <c r="AB73" s="2935"/>
      <c r="AC73" s="2935"/>
      <c r="AD73" s="2935"/>
      <c r="AE73" s="2935"/>
    </row>
    <row r="74" spans="1:31" ht="15.75" thickTop="1">
      <c r="A74" s="490"/>
      <c r="B74" s="502" t="s">
        <v>2373</v>
      </c>
      <c r="C74" s="503" t="str">
        <f>C75&amp;"（含）"&amp;"-"&amp;D75</f>
        <v>（含）-</v>
      </c>
      <c r="D74" s="503" t="str">
        <f t="shared" ref="D74:L74" si="20">D75&amp;"（含）"&amp;"-"&amp;E75</f>
        <v>（含）-</v>
      </c>
      <c r="E74" s="503" t="str">
        <f t="shared" si="20"/>
        <v>（含）-</v>
      </c>
      <c r="F74" s="503" t="str">
        <f t="shared" si="20"/>
        <v>（含）-</v>
      </c>
      <c r="G74" s="503" t="str">
        <f t="shared" si="20"/>
        <v>（含）-</v>
      </c>
      <c r="H74" s="503" t="str">
        <f t="shared" si="20"/>
        <v>（含）-</v>
      </c>
      <c r="I74" s="503" t="str">
        <f t="shared" si="20"/>
        <v>（含）-</v>
      </c>
      <c r="J74" s="503" t="str">
        <f t="shared" si="20"/>
        <v>（含）-</v>
      </c>
      <c r="K74" s="503" t="str">
        <f t="shared" si="20"/>
        <v>（含）-</v>
      </c>
      <c r="L74" s="503" t="str">
        <f t="shared" si="20"/>
        <v>（含）-</v>
      </c>
      <c r="M74" s="406" t="str">
        <f>M75&amp;"（含）"&amp;"-"&amp;P75</f>
        <v>（含）-</v>
      </c>
      <c r="N74" s="2964"/>
      <c r="O74" s="2964"/>
      <c r="P74" s="2988"/>
      <c r="Q74" s="2949"/>
      <c r="R74" s="2935"/>
      <c r="S74" s="2935"/>
      <c r="T74" s="2935"/>
      <c r="U74" s="2935"/>
      <c r="V74" s="2935"/>
      <c r="W74" s="2935"/>
      <c r="X74" s="2935"/>
      <c r="Y74" s="2935"/>
      <c r="Z74" s="2935"/>
      <c r="AA74" s="2935"/>
      <c r="AB74" s="2935"/>
      <c r="AC74" s="2935"/>
      <c r="AD74" s="2935"/>
      <c r="AE74" s="2935"/>
    </row>
    <row r="75" spans="1:31" ht="15">
      <c r="A75" s="490"/>
      <c r="B75" s="504"/>
      <c r="C75" s="505"/>
      <c r="D75" s="505"/>
      <c r="E75" s="505"/>
      <c r="F75" s="505"/>
      <c r="G75" s="505"/>
      <c r="H75" s="505"/>
      <c r="I75" s="505"/>
      <c r="J75" s="505"/>
      <c r="K75" s="506"/>
      <c r="L75" s="507"/>
      <c r="M75" s="508"/>
      <c r="N75" s="2963"/>
      <c r="O75" s="2963"/>
      <c r="P75" s="2988"/>
      <c r="Q75" s="2949"/>
      <c r="R75" s="2935"/>
      <c r="S75" s="2935"/>
      <c r="T75" s="2935"/>
      <c r="U75" s="2935"/>
      <c r="V75" s="2935"/>
      <c r="W75" s="2935"/>
      <c r="X75" s="2935"/>
      <c r="Y75" s="2935"/>
      <c r="Z75" s="2935"/>
      <c r="AA75" s="2935"/>
      <c r="AB75" s="2935"/>
      <c r="AC75" s="2935"/>
      <c r="AD75" s="2935"/>
      <c r="AE75" s="2935"/>
    </row>
    <row r="76" spans="1:31" ht="15.75" thickBot="1">
      <c r="A76" s="490"/>
      <c r="B76" s="491"/>
      <c r="C76" s="500">
        <v>100</v>
      </c>
      <c r="D76" s="500">
        <f>IF($B$41="单位面积地价",C76+$K11,C76-$K11)</f>
        <v>100</v>
      </c>
      <c r="E76" s="500">
        <f t="shared" ref="E76:M76" si="21">IF($B$41="单位面积地价",D76+$K11,D76-$K11)</f>
        <v>100</v>
      </c>
      <c r="F76" s="500">
        <f t="shared" si="21"/>
        <v>100</v>
      </c>
      <c r="G76" s="500">
        <f t="shared" si="21"/>
        <v>100</v>
      </c>
      <c r="H76" s="500">
        <f t="shared" si="21"/>
        <v>100</v>
      </c>
      <c r="I76" s="500">
        <f t="shared" si="21"/>
        <v>100</v>
      </c>
      <c r="J76" s="500">
        <f t="shared" si="21"/>
        <v>100</v>
      </c>
      <c r="K76" s="500">
        <f t="shared" si="21"/>
        <v>100</v>
      </c>
      <c r="L76" s="500">
        <f t="shared" si="21"/>
        <v>100</v>
      </c>
      <c r="M76" s="500">
        <f t="shared" si="21"/>
        <v>100</v>
      </c>
      <c r="N76" s="2964"/>
      <c r="O76" s="2964"/>
      <c r="P76" s="2988"/>
      <c r="Q76" s="2949"/>
      <c r="R76" s="2935"/>
      <c r="S76" s="2935"/>
      <c r="T76" s="2935"/>
      <c r="U76" s="2935"/>
      <c r="V76" s="2935"/>
      <c r="W76" s="2935"/>
      <c r="X76" s="2935"/>
      <c r="Y76" s="2935"/>
      <c r="Z76" s="2935"/>
      <c r="AA76" s="2935"/>
      <c r="AB76" s="2935"/>
      <c r="AC76" s="2935"/>
      <c r="AD76" s="2935"/>
      <c r="AE76" s="2935"/>
    </row>
    <row r="77" spans="1:31" s="429" customFormat="1" ht="15.75" thickTop="1">
      <c r="A77" s="509"/>
      <c r="B77" s="494">
        <f>B12</f>
        <v>111</v>
      </c>
      <c r="C77" s="510"/>
      <c r="D77" s="510"/>
      <c r="E77" s="510"/>
      <c r="F77" s="510"/>
      <c r="G77" s="510"/>
      <c r="H77" s="511"/>
      <c r="I77" s="511"/>
      <c r="J77" s="511"/>
      <c r="K77" s="511"/>
      <c r="L77" s="512"/>
      <c r="M77" s="513"/>
      <c r="N77" s="2965"/>
      <c r="O77" s="2965"/>
      <c r="P77" s="2989"/>
      <c r="Q77" s="2956"/>
      <c r="R77" s="2957"/>
      <c r="S77" s="2957"/>
      <c r="T77" s="2957"/>
      <c r="U77" s="2957"/>
      <c r="V77" s="2957"/>
      <c r="W77" s="2957"/>
      <c r="X77" s="2957"/>
      <c r="Y77" s="2957"/>
      <c r="Z77" s="2957"/>
      <c r="AA77" s="2957"/>
      <c r="AB77" s="2957"/>
      <c r="AC77" s="2957"/>
      <c r="AD77" s="2957"/>
      <c r="AE77" s="2957"/>
    </row>
    <row r="78" spans="1:31" s="429" customFormat="1" ht="15.75" thickBot="1">
      <c r="A78" s="509"/>
      <c r="B78" s="499"/>
      <c r="C78" s="516"/>
      <c r="D78" s="492"/>
      <c r="E78" s="492"/>
      <c r="F78" s="492"/>
      <c r="G78" s="492"/>
      <c r="H78" s="492"/>
      <c r="I78" s="492"/>
      <c r="J78" s="492"/>
      <c r="K78" s="492"/>
      <c r="L78" s="492"/>
      <c r="M78" s="493"/>
      <c r="N78" s="2964"/>
      <c r="O78" s="2964"/>
      <c r="P78" s="2989"/>
      <c r="Q78" s="2956"/>
      <c r="R78" s="2957"/>
      <c r="S78" s="2957"/>
      <c r="T78" s="2957"/>
      <c r="U78" s="2957"/>
      <c r="V78" s="2957"/>
      <c r="W78" s="2957"/>
      <c r="X78" s="2957"/>
      <c r="Y78" s="2957"/>
      <c r="Z78" s="2957"/>
      <c r="AA78" s="2957"/>
      <c r="AB78" s="2957"/>
      <c r="AC78" s="2957"/>
      <c r="AD78" s="2957"/>
      <c r="AE78" s="2957"/>
    </row>
    <row r="79" spans="1:31" s="429" customFormat="1" ht="15.75" thickTop="1">
      <c r="A79" s="509"/>
      <c r="B79" s="494">
        <f>B13</f>
        <v>111</v>
      </c>
      <c r="C79" s="510"/>
      <c r="D79" s="510"/>
      <c r="E79" s="510"/>
      <c r="F79" s="510"/>
      <c r="G79" s="510"/>
      <c r="H79" s="511"/>
      <c r="I79" s="511"/>
      <c r="J79" s="511"/>
      <c r="K79" s="511"/>
      <c r="L79" s="512"/>
      <c r="M79" s="513"/>
      <c r="N79" s="2965"/>
      <c r="O79" s="2965"/>
      <c r="P79" s="2933"/>
      <c r="Q79" s="2959"/>
      <c r="R79" s="2957"/>
      <c r="S79" s="2957"/>
      <c r="T79" s="2957"/>
      <c r="U79" s="2957"/>
      <c r="V79" s="2957"/>
      <c r="W79" s="2957"/>
      <c r="X79" s="2957"/>
      <c r="Y79" s="2957"/>
      <c r="Z79" s="2957"/>
      <c r="AA79" s="2957"/>
      <c r="AB79" s="2957"/>
      <c r="AC79" s="2957"/>
      <c r="AD79" s="2957"/>
      <c r="AE79" s="2957"/>
    </row>
    <row r="80" spans="1:31" s="429" customFormat="1" ht="15.75" thickBot="1">
      <c r="A80" s="509"/>
      <c r="B80" s="499"/>
      <c r="C80" s="516"/>
      <c r="D80" s="516"/>
      <c r="E80" s="516"/>
      <c r="F80" s="516"/>
      <c r="G80" s="516"/>
      <c r="H80" s="518"/>
      <c r="I80" s="518"/>
      <c r="J80" s="518"/>
      <c r="K80" s="518"/>
      <c r="L80" s="518"/>
      <c r="M80" s="519"/>
      <c r="N80" s="2965"/>
      <c r="O80" s="2965"/>
      <c r="P80" s="2989"/>
      <c r="Q80" s="2956"/>
      <c r="R80" s="2957"/>
      <c r="S80" s="2957"/>
      <c r="T80" s="2957"/>
      <c r="U80" s="2957"/>
      <c r="V80" s="2957"/>
      <c r="W80" s="2957"/>
      <c r="X80" s="2957"/>
      <c r="Y80" s="2957"/>
      <c r="Z80" s="2957"/>
      <c r="AA80" s="2957"/>
      <c r="AB80" s="2957"/>
      <c r="AC80" s="2957"/>
      <c r="AD80" s="2957"/>
      <c r="AE80" s="2957"/>
    </row>
    <row r="81" spans="1:31" s="429" customFormat="1" ht="15.75" thickTop="1">
      <c r="A81" s="509"/>
      <c r="B81" s="502">
        <f>B14</f>
        <v>111</v>
      </c>
      <c r="C81" s="479"/>
      <c r="D81" s="479"/>
      <c r="E81" s="479"/>
      <c r="F81" s="479"/>
      <c r="G81" s="479"/>
      <c r="H81" s="520"/>
      <c r="I81" s="520"/>
      <c r="J81" s="520"/>
      <c r="K81" s="520"/>
      <c r="L81" s="521"/>
      <c r="M81" s="522"/>
      <c r="N81" s="2965"/>
      <c r="O81" s="2965"/>
      <c r="P81" s="2993"/>
      <c r="Q81" s="2956"/>
      <c r="R81" s="2957"/>
      <c r="S81" s="2957"/>
      <c r="T81" s="2957"/>
      <c r="U81" s="2957"/>
      <c r="V81" s="2957"/>
      <c r="W81" s="2957"/>
      <c r="X81" s="2957"/>
      <c r="Y81" s="2957"/>
      <c r="Z81" s="2957"/>
      <c r="AA81" s="2957"/>
      <c r="AB81" s="2957"/>
      <c r="AC81" s="2957"/>
      <c r="AD81" s="2957"/>
      <c r="AE81" s="2957"/>
    </row>
    <row r="82" spans="1:31" s="429" customFormat="1" ht="15.75" thickBot="1">
      <c r="A82" s="524"/>
      <c r="B82" s="525"/>
      <c r="C82" s="526"/>
      <c r="D82" s="526"/>
      <c r="E82" s="526"/>
      <c r="F82" s="526"/>
      <c r="G82" s="526"/>
      <c r="H82" s="527"/>
      <c r="I82" s="527"/>
      <c r="J82" s="527"/>
      <c r="K82" s="527"/>
      <c r="L82" s="527"/>
      <c r="M82" s="528"/>
      <c r="N82" s="2965"/>
      <c r="O82" s="2965"/>
      <c r="P82" s="2989"/>
      <c r="Q82" s="2956"/>
      <c r="R82" s="2957"/>
      <c r="S82" s="2957"/>
      <c r="T82" s="2957"/>
      <c r="U82" s="2957"/>
      <c r="V82" s="2957"/>
      <c r="W82" s="2957"/>
      <c r="X82" s="2957"/>
      <c r="Y82" s="2957"/>
      <c r="Z82" s="2957"/>
      <c r="AA82" s="2957"/>
      <c r="AB82" s="2957"/>
      <c r="AC82" s="2957"/>
      <c r="AD82" s="2957"/>
      <c r="AE82" s="2957"/>
    </row>
    <row r="83" spans="1:31">
      <c r="A83" s="483" t="s">
        <v>2374</v>
      </c>
      <c r="B83" s="484" t="s">
        <v>2520</v>
      </c>
      <c r="C83" s="529" t="s">
        <v>2412</v>
      </c>
      <c r="D83" s="529" t="s">
        <v>2413</v>
      </c>
      <c r="E83" s="529" t="s">
        <v>2414</v>
      </c>
      <c r="F83" s="529" t="s">
        <v>2415</v>
      </c>
      <c r="G83" s="529" t="s">
        <v>2416</v>
      </c>
      <c r="H83" s="485"/>
      <c r="I83" s="485"/>
      <c r="J83" s="485"/>
      <c r="K83" s="530"/>
      <c r="L83" s="531"/>
      <c r="M83" s="532"/>
      <c r="N83" s="2963"/>
      <c r="O83" s="2963"/>
      <c r="P83" s="2990"/>
      <c r="Q83" s="2949"/>
      <c r="R83" s="2935"/>
      <c r="S83" s="2935"/>
      <c r="T83" s="2935"/>
      <c r="U83" s="2935"/>
      <c r="V83" s="2935"/>
      <c r="W83" s="2935"/>
      <c r="X83" s="2935"/>
      <c r="Y83" s="2935"/>
      <c r="Z83" s="2935"/>
      <c r="AA83" s="2935"/>
      <c r="AB83" s="2935"/>
      <c r="AC83" s="2935"/>
      <c r="AD83" s="2935"/>
      <c r="AE83" s="2935"/>
    </row>
    <row r="84" spans="1:31" ht="15.75" thickBot="1">
      <c r="A84" s="490"/>
      <c r="B84" s="499"/>
      <c r="C84" s="500">
        <v>100</v>
      </c>
      <c r="D84" s="500">
        <f>C84-$K15</f>
        <v>100</v>
      </c>
      <c r="E84" s="500">
        <f>D84-$K15</f>
        <v>100</v>
      </c>
      <c r="F84" s="500">
        <f>E84-$K15</f>
        <v>100</v>
      </c>
      <c r="G84" s="500">
        <f>F84-$K15</f>
        <v>100</v>
      </c>
      <c r="H84" s="500"/>
      <c r="I84" s="500"/>
      <c r="J84" s="500"/>
      <c r="K84" s="500"/>
      <c r="L84" s="500"/>
      <c r="M84" s="501"/>
      <c r="N84" s="2964"/>
      <c r="O84" s="2964"/>
      <c r="P84" s="2988"/>
      <c r="Q84" s="2949"/>
      <c r="R84" s="2935"/>
      <c r="S84" s="2935"/>
      <c r="T84" s="2935"/>
      <c r="U84" s="2935"/>
      <c r="V84" s="2935"/>
      <c r="W84" s="2935"/>
      <c r="X84" s="2935"/>
      <c r="Y84" s="2935"/>
      <c r="Z84" s="2935"/>
      <c r="AA84" s="2935"/>
      <c r="AB84" s="2935"/>
      <c r="AC84" s="2935"/>
      <c r="AD84" s="2935"/>
      <c r="AE84" s="2935"/>
    </row>
    <row r="85" spans="1:31" ht="15.75" thickTop="1">
      <c r="A85" s="490"/>
      <c r="B85" s="494" t="s">
        <v>2417</v>
      </c>
      <c r="C85" s="534" t="s">
        <v>2412</v>
      </c>
      <c r="D85" s="534" t="s">
        <v>2413</v>
      </c>
      <c r="E85" s="534" t="s">
        <v>2414</v>
      </c>
      <c r="F85" s="534" t="s">
        <v>2415</v>
      </c>
      <c r="G85" s="534" t="s">
        <v>2416</v>
      </c>
      <c r="H85" s="495"/>
      <c r="I85" s="495"/>
      <c r="J85" s="495"/>
      <c r="K85" s="496"/>
      <c r="L85" s="497"/>
      <c r="M85" s="498"/>
      <c r="N85" s="2963"/>
      <c r="O85" s="2963"/>
      <c r="P85" s="2988"/>
      <c r="Q85" s="2949"/>
      <c r="R85" s="2935"/>
      <c r="S85" s="2935"/>
      <c r="T85" s="2935"/>
      <c r="U85" s="2935"/>
      <c r="V85" s="2935"/>
      <c r="W85" s="2935"/>
      <c r="X85" s="2935"/>
      <c r="Y85" s="2935"/>
      <c r="Z85" s="2935"/>
      <c r="AA85" s="2935"/>
      <c r="AB85" s="2935"/>
      <c r="AC85" s="2935"/>
      <c r="AD85" s="2935"/>
      <c r="AE85" s="2935"/>
    </row>
    <row r="86" spans="1:31" ht="15.75" thickBot="1">
      <c r="A86" s="490"/>
      <c r="B86" s="499"/>
      <c r="C86" s="500">
        <v>100</v>
      </c>
      <c r="D86" s="500">
        <f>C86-$K17</f>
        <v>100</v>
      </c>
      <c r="E86" s="500">
        <f>D86-$K17</f>
        <v>100</v>
      </c>
      <c r="F86" s="500">
        <f>E86-$K17</f>
        <v>100</v>
      </c>
      <c r="G86" s="500">
        <f>F86-$K17</f>
        <v>100</v>
      </c>
      <c r="H86" s="500"/>
      <c r="I86" s="500"/>
      <c r="J86" s="500"/>
      <c r="K86" s="500"/>
      <c r="L86" s="500"/>
      <c r="M86" s="501"/>
      <c r="N86" s="2964"/>
      <c r="O86" s="2964"/>
      <c r="P86" s="2988"/>
      <c r="Q86" s="2949"/>
      <c r="R86" s="2935"/>
      <c r="S86" s="2935"/>
      <c r="T86" s="2935"/>
      <c r="U86" s="2935"/>
      <c r="V86" s="2935"/>
      <c r="W86" s="2935"/>
      <c r="X86" s="2935"/>
      <c r="Y86" s="2935"/>
      <c r="Z86" s="2935"/>
      <c r="AA86" s="2935"/>
      <c r="AB86" s="2935"/>
      <c r="AC86" s="2935"/>
      <c r="AD86" s="2935"/>
      <c r="AE86" s="2935"/>
    </row>
    <row r="87" spans="1:31" s="113" customFormat="1" ht="15.75" thickTop="1">
      <c r="A87" s="535"/>
      <c r="B87" s="494" t="s">
        <v>2591</v>
      </c>
      <c r="C87" s="529" t="s">
        <v>2412</v>
      </c>
      <c r="D87" s="529" t="s">
        <v>2413</v>
      </c>
      <c r="E87" s="529" t="s">
        <v>2414</v>
      </c>
      <c r="F87" s="529" t="s">
        <v>2415</v>
      </c>
      <c r="G87" s="529" t="s">
        <v>2416</v>
      </c>
      <c r="H87" s="534"/>
      <c r="I87" s="534"/>
      <c r="J87" s="534"/>
      <c r="K87" s="534"/>
      <c r="L87" s="652"/>
      <c r="M87" s="577"/>
      <c r="N87" s="2962"/>
      <c r="O87" s="2962"/>
      <c r="P87" s="2988"/>
      <c r="Q87" s="2949"/>
      <c r="R87" s="2870"/>
      <c r="S87" s="2870"/>
      <c r="T87" s="2870"/>
      <c r="U87" s="2870"/>
      <c r="V87" s="2870"/>
      <c r="W87" s="2870"/>
      <c r="X87" s="2870"/>
      <c r="Y87" s="2870"/>
      <c r="Z87" s="2870"/>
      <c r="AA87" s="2870"/>
      <c r="AB87" s="2870"/>
      <c r="AC87" s="2870"/>
      <c r="AD87" s="2870"/>
      <c r="AE87" s="2870"/>
    </row>
    <row r="88" spans="1:31" s="113" customFormat="1" ht="15.75" thickBot="1">
      <c r="A88" s="535"/>
      <c r="B88" s="499"/>
      <c r="C88" s="538">
        <v>100</v>
      </c>
      <c r="D88" s="500">
        <f>C88-$K19</f>
        <v>100</v>
      </c>
      <c r="E88" s="500">
        <f>D88-$K19</f>
        <v>100</v>
      </c>
      <c r="F88" s="500">
        <f>E88-$K19</f>
        <v>100</v>
      </c>
      <c r="G88" s="500">
        <f>F88-$K19</f>
        <v>100</v>
      </c>
      <c r="H88" s="500"/>
      <c r="I88" s="500"/>
      <c r="J88" s="500"/>
      <c r="K88" s="500"/>
      <c r="L88" s="500"/>
      <c r="M88" s="501"/>
      <c r="N88" s="2964"/>
      <c r="O88" s="2964"/>
      <c r="P88" s="2988"/>
      <c r="Q88" s="2949"/>
      <c r="R88" s="2870"/>
      <c r="S88" s="2870"/>
      <c r="T88" s="2870"/>
      <c r="U88" s="2870"/>
      <c r="V88" s="2870"/>
      <c r="W88" s="2870"/>
      <c r="X88" s="2870"/>
      <c r="Y88" s="2870"/>
      <c r="Z88" s="2870"/>
      <c r="AA88" s="2870"/>
      <c r="AB88" s="2870"/>
      <c r="AC88" s="2870"/>
      <c r="AD88" s="2870"/>
      <c r="AE88" s="2870"/>
    </row>
    <row r="89" spans="1:31" s="113" customFormat="1" ht="27.75" thickTop="1">
      <c r="A89" s="535"/>
      <c r="B89" s="494" t="s">
        <v>2592</v>
      </c>
      <c r="C89" s="529" t="s">
        <v>2412</v>
      </c>
      <c r="D89" s="529" t="s">
        <v>2413</v>
      </c>
      <c r="E89" s="529" t="s">
        <v>2414</v>
      </c>
      <c r="F89" s="529" t="s">
        <v>2415</v>
      </c>
      <c r="G89" s="529" t="s">
        <v>2416</v>
      </c>
      <c r="H89" s="534"/>
      <c r="I89" s="534"/>
      <c r="J89" s="534"/>
      <c r="K89" s="534"/>
      <c r="L89" s="534"/>
      <c r="M89" s="577"/>
      <c r="N89" s="2962"/>
      <c r="O89" s="2962"/>
      <c r="P89" s="2988"/>
      <c r="Q89" s="2949"/>
      <c r="R89" s="2870"/>
      <c r="S89" s="2870"/>
      <c r="T89" s="2870"/>
      <c r="U89" s="2870"/>
      <c r="V89" s="2870"/>
      <c r="W89" s="2870"/>
      <c r="X89" s="2870"/>
      <c r="Y89" s="2870"/>
      <c r="Z89" s="2870"/>
      <c r="AA89" s="2870"/>
      <c r="AB89" s="2870"/>
      <c r="AC89" s="2870"/>
      <c r="AD89" s="2870"/>
      <c r="AE89" s="2870"/>
    </row>
    <row r="90" spans="1:31" s="113" customFormat="1" ht="15.75" thickBot="1">
      <c r="A90" s="535"/>
      <c r="B90" s="499"/>
      <c r="C90" s="500">
        <v>100</v>
      </c>
      <c r="D90" s="500">
        <f>C90-$K21</f>
        <v>100</v>
      </c>
      <c r="E90" s="500">
        <f>D90-$K21</f>
        <v>100</v>
      </c>
      <c r="F90" s="500">
        <f>E90-$K21</f>
        <v>100</v>
      </c>
      <c r="G90" s="500">
        <f>F90-$K21</f>
        <v>100</v>
      </c>
      <c r="H90" s="500"/>
      <c r="I90" s="500"/>
      <c r="J90" s="500"/>
      <c r="K90" s="500"/>
      <c r="L90" s="500"/>
      <c r="M90" s="501"/>
      <c r="N90" s="2964"/>
      <c r="O90" s="2964"/>
      <c r="P90" s="2988"/>
      <c r="Q90" s="2949"/>
      <c r="R90" s="2870"/>
      <c r="S90" s="2870"/>
      <c r="T90" s="2870"/>
      <c r="U90" s="2870"/>
      <c r="V90" s="2870"/>
      <c r="W90" s="2870"/>
      <c r="X90" s="2870"/>
      <c r="Y90" s="2870"/>
      <c r="Z90" s="2870"/>
      <c r="AA90" s="2870"/>
      <c r="AB90" s="2870"/>
      <c r="AC90" s="2870"/>
      <c r="AD90" s="2870"/>
      <c r="AE90" s="2870"/>
    </row>
    <row r="91" spans="1:31" s="429" customFormat="1" ht="15.75" thickTop="1">
      <c r="A91" s="509"/>
      <c r="B91" s="494" t="s">
        <v>2469</v>
      </c>
      <c r="C91" s="529" t="s">
        <v>2412</v>
      </c>
      <c r="D91" s="529" t="s">
        <v>2413</v>
      </c>
      <c r="E91" s="529" t="s">
        <v>2414</v>
      </c>
      <c r="F91" s="529" t="s">
        <v>2415</v>
      </c>
      <c r="G91" s="529" t="s">
        <v>2416</v>
      </c>
      <c r="H91" s="556"/>
      <c r="I91" s="556"/>
      <c r="J91" s="556"/>
      <c r="K91" s="556"/>
      <c r="L91" s="557"/>
      <c r="M91" s="558"/>
      <c r="N91" s="2965"/>
      <c r="O91" s="2965"/>
      <c r="P91" s="2989"/>
      <c r="Q91" s="2956"/>
      <c r="R91" s="2957"/>
      <c r="S91" s="2957"/>
      <c r="T91" s="2957"/>
      <c r="U91" s="2957"/>
      <c r="V91" s="2957"/>
      <c r="W91" s="2957"/>
      <c r="X91" s="2957"/>
      <c r="Y91" s="2957"/>
      <c r="Z91" s="2957"/>
      <c r="AA91" s="2957"/>
      <c r="AB91" s="2957"/>
      <c r="AC91" s="2957"/>
      <c r="AD91" s="2957"/>
      <c r="AE91" s="2957"/>
    </row>
    <row r="92" spans="1:31" s="429" customFormat="1" ht="15.75" thickBot="1">
      <c r="A92" s="509"/>
      <c r="B92" s="499"/>
      <c r="C92" s="500">
        <v>100</v>
      </c>
      <c r="D92" s="500">
        <f>C92-$K23</f>
        <v>100</v>
      </c>
      <c r="E92" s="500">
        <f>D92-$K23</f>
        <v>100</v>
      </c>
      <c r="F92" s="500">
        <f>E92-$K23</f>
        <v>100</v>
      </c>
      <c r="G92" s="500">
        <f>F92-$K23</f>
        <v>100</v>
      </c>
      <c r="H92" s="563"/>
      <c r="I92" s="563"/>
      <c r="J92" s="563"/>
      <c r="K92" s="563"/>
      <c r="L92" s="563"/>
      <c r="M92" s="564"/>
      <c r="N92" s="2965"/>
      <c r="O92" s="2965"/>
      <c r="P92" s="2989"/>
      <c r="Q92" s="2956"/>
      <c r="R92" s="2957"/>
      <c r="S92" s="2957"/>
      <c r="T92" s="2957"/>
      <c r="U92" s="2957"/>
      <c r="V92" s="2957"/>
      <c r="W92" s="2957"/>
      <c r="X92" s="2957"/>
      <c r="Y92" s="2957"/>
      <c r="Z92" s="2957"/>
      <c r="AA92" s="2957"/>
      <c r="AB92" s="2957"/>
      <c r="AC92" s="2957"/>
      <c r="AD92" s="2957"/>
      <c r="AE92" s="2957"/>
    </row>
    <row r="93" spans="1:31" s="429" customFormat="1" ht="15.75" thickTop="1">
      <c r="A93" s="509"/>
      <c r="B93" s="502" t="s">
        <v>2608</v>
      </c>
      <c r="C93" s="615" t="s">
        <v>2490</v>
      </c>
      <c r="D93" s="615" t="s">
        <v>2491</v>
      </c>
      <c r="E93" s="615" t="s">
        <v>2492</v>
      </c>
      <c r="F93" s="615" t="s">
        <v>2493</v>
      </c>
      <c r="G93" s="615" t="s">
        <v>2494</v>
      </c>
      <c r="H93" s="556"/>
      <c r="I93" s="556"/>
      <c r="J93" s="556"/>
      <c r="K93" s="556"/>
      <c r="L93" s="556"/>
      <c r="M93" s="558"/>
      <c r="N93" s="2965"/>
      <c r="O93" s="2965"/>
      <c r="P93" s="2989"/>
      <c r="Q93" s="2956"/>
      <c r="R93" s="2957"/>
      <c r="S93" s="2957"/>
      <c r="T93" s="2957"/>
      <c r="U93" s="2957"/>
      <c r="V93" s="2957"/>
      <c r="W93" s="2957"/>
      <c r="X93" s="2957"/>
      <c r="Y93" s="2957"/>
      <c r="Z93" s="2957"/>
      <c r="AA93" s="2957"/>
      <c r="AB93" s="2957"/>
      <c r="AC93" s="2957"/>
      <c r="AD93" s="2957"/>
      <c r="AE93" s="2957"/>
    </row>
    <row r="94" spans="1:31" s="429" customFormat="1" ht="15.75" thickBot="1">
      <c r="A94" s="509"/>
      <c r="B94" s="502"/>
      <c r="C94" s="500">
        <v>100</v>
      </c>
      <c r="D94" s="500">
        <f>C94-$K25</f>
        <v>100</v>
      </c>
      <c r="E94" s="500">
        <f>D94-$K25</f>
        <v>100</v>
      </c>
      <c r="F94" s="500">
        <f>E94-$K25</f>
        <v>100</v>
      </c>
      <c r="G94" s="500">
        <f>F94-$K25</f>
        <v>100</v>
      </c>
      <c r="H94" s="504"/>
      <c r="I94" s="504"/>
      <c r="J94" s="504"/>
      <c r="K94" s="504"/>
      <c r="L94" s="504"/>
      <c r="M94" s="1285"/>
      <c r="N94" s="2965"/>
      <c r="O94" s="2965"/>
      <c r="P94" s="2989"/>
      <c r="Q94" s="2956"/>
      <c r="R94" s="2957"/>
      <c r="S94" s="2957"/>
      <c r="T94" s="2957"/>
      <c r="U94" s="2957"/>
      <c r="V94" s="2957"/>
      <c r="W94" s="2957"/>
      <c r="X94" s="2957"/>
      <c r="Y94" s="2957"/>
      <c r="Z94" s="2957"/>
      <c r="AA94" s="2957"/>
      <c r="AB94" s="2957"/>
      <c r="AC94" s="2957"/>
      <c r="AD94" s="2957"/>
      <c r="AE94" s="2957"/>
    </row>
    <row r="95" spans="1:31" ht="15.75" thickTop="1">
      <c r="A95" s="490"/>
      <c r="B95" s="494" t="str">
        <f>B27</f>
        <v>临街状况</v>
      </c>
      <c r="C95" s="495" t="s">
        <v>2593</v>
      </c>
      <c r="D95" s="495" t="s">
        <v>2594</v>
      </c>
      <c r="E95" s="495" t="s">
        <v>2595</v>
      </c>
      <c r="F95" s="495" t="s">
        <v>2596</v>
      </c>
      <c r="G95" s="495"/>
      <c r="H95" s="495"/>
      <c r="I95" s="495"/>
      <c r="J95" s="495"/>
      <c r="K95" s="496"/>
      <c r="L95" s="497"/>
      <c r="M95" s="498"/>
      <c r="N95" s="2963"/>
      <c r="O95" s="2963"/>
      <c r="P95" s="2988"/>
      <c r="Q95" s="2949"/>
      <c r="R95" s="2935"/>
      <c r="S95" s="2935"/>
      <c r="T95" s="2935"/>
      <c r="U95" s="2935"/>
      <c r="V95" s="2935"/>
      <c r="W95" s="2935"/>
      <c r="X95" s="2935"/>
      <c r="Y95" s="2935"/>
      <c r="Z95" s="2935"/>
      <c r="AA95" s="2935"/>
      <c r="AB95" s="2935"/>
      <c r="AC95" s="2935"/>
      <c r="AD95" s="2935"/>
      <c r="AE95" s="2935"/>
    </row>
    <row r="96" spans="1:31" ht="15.75" thickBot="1">
      <c r="A96" s="490"/>
      <c r="B96" s="499"/>
      <c r="C96" s="500">
        <v>100</v>
      </c>
      <c r="D96" s="500">
        <f t="shared" ref="D96:M96" si="22">C96-$K27</f>
        <v>100</v>
      </c>
      <c r="E96" s="500">
        <f t="shared" si="22"/>
        <v>100</v>
      </c>
      <c r="F96" s="500">
        <f t="shared" si="22"/>
        <v>100</v>
      </c>
      <c r="G96" s="500">
        <f t="shared" si="22"/>
        <v>100</v>
      </c>
      <c r="H96" s="500">
        <f t="shared" si="22"/>
        <v>100</v>
      </c>
      <c r="I96" s="500">
        <f t="shared" si="22"/>
        <v>100</v>
      </c>
      <c r="J96" s="500">
        <f t="shared" si="22"/>
        <v>100</v>
      </c>
      <c r="K96" s="500">
        <f t="shared" si="22"/>
        <v>100</v>
      </c>
      <c r="L96" s="500">
        <f t="shared" si="22"/>
        <v>100</v>
      </c>
      <c r="M96" s="500">
        <f t="shared" si="22"/>
        <v>100</v>
      </c>
      <c r="N96" s="2964"/>
      <c r="O96" s="2964"/>
      <c r="P96" s="2988"/>
      <c r="Q96" s="2949"/>
      <c r="R96" s="2935"/>
      <c r="S96" s="2935"/>
      <c r="T96" s="2935"/>
      <c r="U96" s="2935"/>
      <c r="V96" s="2935"/>
      <c r="W96" s="2935"/>
      <c r="X96" s="2935"/>
      <c r="Y96" s="2935"/>
      <c r="Z96" s="2935"/>
      <c r="AA96" s="2935"/>
      <c r="AB96" s="2935"/>
      <c r="AC96" s="2935"/>
      <c r="AD96" s="2935"/>
      <c r="AE96" s="2935"/>
    </row>
    <row r="97" spans="1:31" ht="27.75" thickTop="1">
      <c r="A97" s="490"/>
      <c r="B97" s="494" t="s">
        <v>2506</v>
      </c>
      <c r="C97" s="510"/>
      <c r="D97" s="510"/>
      <c r="E97" s="510"/>
      <c r="F97" s="510"/>
      <c r="G97" s="510"/>
      <c r="H97" s="539"/>
      <c r="I97" s="539"/>
      <c r="J97" s="539"/>
      <c r="K97" s="540"/>
      <c r="L97" s="541"/>
      <c r="M97" s="542"/>
      <c r="N97" s="2963"/>
      <c r="O97" s="2963"/>
      <c r="P97" s="2988"/>
      <c r="Q97" s="2949"/>
      <c r="R97" s="2935"/>
      <c r="S97" s="2935"/>
      <c r="T97" s="2935"/>
      <c r="U97" s="2935"/>
      <c r="V97" s="2935"/>
      <c r="W97" s="2935"/>
      <c r="X97" s="2935"/>
      <c r="Y97" s="2935"/>
      <c r="Z97" s="2935"/>
      <c r="AA97" s="2935"/>
      <c r="AB97" s="2935"/>
      <c r="AC97" s="2935"/>
      <c r="AD97" s="2935"/>
      <c r="AE97" s="2935"/>
    </row>
    <row r="98" spans="1:31" ht="15.75" thickBot="1">
      <c r="A98" s="490"/>
      <c r="B98" s="499"/>
      <c r="C98" s="500">
        <v>100</v>
      </c>
      <c r="D98" s="500">
        <f t="shared" ref="D98:M98" si="23">C98-$K28</f>
        <v>100</v>
      </c>
      <c r="E98" s="500">
        <f t="shared" si="23"/>
        <v>100</v>
      </c>
      <c r="F98" s="500">
        <f t="shared" si="23"/>
        <v>100</v>
      </c>
      <c r="G98" s="500">
        <f t="shared" si="23"/>
        <v>100</v>
      </c>
      <c r="H98" s="500">
        <f t="shared" si="23"/>
        <v>100</v>
      </c>
      <c r="I98" s="500">
        <f t="shared" si="23"/>
        <v>100</v>
      </c>
      <c r="J98" s="500">
        <f t="shared" si="23"/>
        <v>100</v>
      </c>
      <c r="K98" s="500">
        <f t="shared" si="23"/>
        <v>100</v>
      </c>
      <c r="L98" s="500">
        <f t="shared" si="23"/>
        <v>100</v>
      </c>
      <c r="M98" s="500">
        <f t="shared" si="23"/>
        <v>100</v>
      </c>
      <c r="N98" s="2964"/>
      <c r="O98" s="2964"/>
      <c r="P98" s="2988"/>
      <c r="Q98" s="2949"/>
      <c r="R98" s="2935"/>
      <c r="S98" s="2935"/>
      <c r="T98" s="2935"/>
      <c r="U98" s="2935"/>
      <c r="V98" s="2935"/>
      <c r="W98" s="2935"/>
      <c r="X98" s="2935"/>
      <c r="Y98" s="2935"/>
      <c r="Z98" s="2935"/>
      <c r="AA98" s="2935"/>
      <c r="AB98" s="2935"/>
      <c r="AC98" s="2935"/>
      <c r="AD98" s="2935"/>
      <c r="AE98" s="2935"/>
    </row>
    <row r="99" spans="1:31" ht="15.75" thickTop="1">
      <c r="A99" s="490"/>
      <c r="B99" s="494" t="s">
        <v>2562</v>
      </c>
      <c r="C99" s="539"/>
      <c r="D99" s="539"/>
      <c r="E99" s="539"/>
      <c r="F99" s="539"/>
      <c r="G99" s="539"/>
      <c r="H99" s="539"/>
      <c r="I99" s="539"/>
      <c r="J99" s="539"/>
      <c r="K99" s="540"/>
      <c r="L99" s="541"/>
      <c r="M99" s="542"/>
      <c r="N99" s="2963"/>
      <c r="O99" s="2963"/>
      <c r="P99" s="2988"/>
      <c r="Q99" s="2949"/>
      <c r="R99" s="2935"/>
      <c r="S99" s="2935"/>
      <c r="T99" s="2935"/>
      <c r="U99" s="2935"/>
      <c r="V99" s="2935"/>
      <c r="W99" s="2935"/>
      <c r="X99" s="2935"/>
      <c r="Y99" s="2935"/>
      <c r="Z99" s="2935"/>
      <c r="AA99" s="2935"/>
      <c r="AB99" s="2935"/>
      <c r="AC99" s="2935"/>
      <c r="AD99" s="2935"/>
      <c r="AE99" s="2935"/>
    </row>
    <row r="100" spans="1:31" ht="15.75" thickBot="1">
      <c r="A100" s="490"/>
      <c r="B100" s="499"/>
      <c r="C100" s="500">
        <v>100</v>
      </c>
      <c r="D100" s="500">
        <f t="shared" ref="D100:M100" si="24">C100-$K30</f>
        <v>100</v>
      </c>
      <c r="E100" s="500">
        <f t="shared" si="24"/>
        <v>100</v>
      </c>
      <c r="F100" s="500">
        <f t="shared" si="24"/>
        <v>100</v>
      </c>
      <c r="G100" s="500">
        <f t="shared" si="24"/>
        <v>100</v>
      </c>
      <c r="H100" s="500">
        <f t="shared" si="24"/>
        <v>100</v>
      </c>
      <c r="I100" s="500">
        <f t="shared" si="24"/>
        <v>100</v>
      </c>
      <c r="J100" s="500">
        <f t="shared" si="24"/>
        <v>100</v>
      </c>
      <c r="K100" s="500">
        <f t="shared" si="24"/>
        <v>100</v>
      </c>
      <c r="L100" s="500">
        <f t="shared" si="24"/>
        <v>100</v>
      </c>
      <c r="M100" s="500">
        <f t="shared" si="24"/>
        <v>100</v>
      </c>
      <c r="N100" s="2964"/>
      <c r="O100" s="2964"/>
      <c r="P100" s="2988"/>
      <c r="Q100" s="2949"/>
      <c r="R100" s="2935"/>
      <c r="S100" s="2935"/>
      <c r="T100" s="2935"/>
      <c r="U100" s="2935"/>
      <c r="V100" s="2935"/>
      <c r="W100" s="2935"/>
      <c r="X100" s="2935"/>
      <c r="Y100" s="2935"/>
      <c r="Z100" s="2935"/>
      <c r="AA100" s="2935"/>
      <c r="AB100" s="2935"/>
      <c r="AC100" s="2935"/>
      <c r="AD100" s="2935"/>
      <c r="AE100" s="2935"/>
    </row>
    <row r="101" spans="1:31" ht="15.75" thickTop="1">
      <c r="A101" s="490"/>
      <c r="B101" s="502">
        <f>B31</f>
        <v>111</v>
      </c>
      <c r="C101" s="510"/>
      <c r="D101" s="510"/>
      <c r="E101" s="510"/>
      <c r="F101" s="510"/>
      <c r="G101" s="543"/>
      <c r="H101" s="543"/>
      <c r="I101" s="543"/>
      <c r="J101" s="543"/>
      <c r="K101" s="544"/>
      <c r="L101" s="545"/>
      <c r="M101" s="546"/>
      <c r="N101" s="2963"/>
      <c r="O101" s="2963"/>
      <c r="P101" s="2988"/>
      <c r="Q101" s="2949"/>
      <c r="R101" s="2935"/>
      <c r="S101" s="2935"/>
      <c r="T101" s="2935"/>
      <c r="U101" s="2935"/>
      <c r="V101" s="2935"/>
      <c r="W101" s="2935"/>
      <c r="X101" s="2935"/>
      <c r="Y101" s="2935"/>
      <c r="Z101" s="2935"/>
      <c r="AA101" s="2935"/>
      <c r="AB101" s="2935"/>
      <c r="AC101" s="2935"/>
      <c r="AD101" s="2935"/>
      <c r="AE101" s="2935"/>
    </row>
    <row r="102" spans="1:31" ht="15.75" thickBot="1">
      <c r="A102" s="490"/>
      <c r="B102" s="525"/>
      <c r="C102" s="516"/>
      <c r="D102" s="492"/>
      <c r="E102" s="492"/>
      <c r="F102" s="492"/>
      <c r="G102" s="547"/>
      <c r="H102" s="547"/>
      <c r="I102" s="547"/>
      <c r="J102" s="547"/>
      <c r="K102" s="547"/>
      <c r="L102" s="547"/>
      <c r="M102" s="548"/>
      <c r="N102" s="2964"/>
      <c r="O102" s="2964"/>
      <c r="P102" s="2988"/>
      <c r="Q102" s="2949"/>
      <c r="R102" s="2935"/>
      <c r="S102" s="2935"/>
      <c r="T102" s="2935"/>
      <c r="U102" s="2935"/>
      <c r="V102" s="2935"/>
      <c r="W102" s="2935"/>
      <c r="X102" s="2935"/>
      <c r="Y102" s="2935"/>
      <c r="Z102" s="2935"/>
      <c r="AA102" s="2935"/>
      <c r="AB102" s="2935"/>
      <c r="AC102" s="2935"/>
      <c r="AD102" s="2935"/>
      <c r="AE102" s="2935"/>
    </row>
    <row r="103" spans="1:31" ht="15" thickTop="1">
      <c r="A103" s="630"/>
      <c r="B103" s="494">
        <f>B32</f>
        <v>111</v>
      </c>
      <c r="C103" s="510"/>
      <c r="D103" s="510"/>
      <c r="E103" s="510"/>
      <c r="F103" s="510"/>
      <c r="G103" s="539"/>
      <c r="H103" s="539"/>
      <c r="I103" s="539"/>
      <c r="J103" s="539"/>
      <c r="K103" s="540"/>
      <c r="L103" s="541"/>
      <c r="M103" s="542"/>
      <c r="N103" s="2963"/>
      <c r="O103" s="2963"/>
      <c r="P103" s="2988"/>
      <c r="Q103" s="2949"/>
      <c r="R103" s="2935"/>
      <c r="S103" s="2935"/>
      <c r="T103" s="2935"/>
      <c r="U103" s="2935"/>
      <c r="V103" s="2935"/>
      <c r="W103" s="2935"/>
      <c r="X103" s="2935"/>
      <c r="Y103" s="2935"/>
      <c r="Z103" s="2935"/>
      <c r="AA103" s="2935"/>
      <c r="AB103" s="2935"/>
      <c r="AC103" s="2935"/>
      <c r="AD103" s="2935"/>
      <c r="AE103" s="2935"/>
    </row>
    <row r="104" spans="1:31" ht="15.75" thickBot="1">
      <c r="A104" s="490"/>
      <c r="B104" s="499"/>
      <c r="C104" s="516"/>
      <c r="D104" s="516"/>
      <c r="E104" s="516"/>
      <c r="F104" s="516"/>
      <c r="G104" s="492"/>
      <c r="H104" s="492"/>
      <c r="I104" s="492"/>
      <c r="J104" s="492"/>
      <c r="K104" s="492"/>
      <c r="L104" s="492"/>
      <c r="M104" s="493"/>
      <c r="N104" s="2964"/>
      <c r="O104" s="2964"/>
      <c r="P104" s="2988"/>
      <c r="Q104" s="2949"/>
      <c r="R104" s="2935"/>
      <c r="S104" s="2935"/>
      <c r="T104" s="2935"/>
      <c r="U104" s="2935"/>
      <c r="V104" s="2935"/>
      <c r="W104" s="2935"/>
      <c r="X104" s="2935"/>
      <c r="Y104" s="2935"/>
      <c r="Z104" s="2935"/>
      <c r="AA104" s="2935"/>
      <c r="AB104" s="2935"/>
      <c r="AC104" s="2935"/>
      <c r="AD104" s="2935"/>
      <c r="AE104" s="2935"/>
    </row>
    <row r="105" spans="1:31" s="429" customFormat="1" ht="15" thickTop="1">
      <c r="A105" s="549"/>
      <c r="B105" s="550">
        <f>B33</f>
        <v>111</v>
      </c>
      <c r="C105" s="479"/>
      <c r="D105" s="479"/>
      <c r="E105" s="479"/>
      <c r="F105" s="479"/>
      <c r="G105" s="551"/>
      <c r="H105" s="551"/>
      <c r="I105" s="551"/>
      <c r="J105" s="552"/>
      <c r="K105" s="552"/>
      <c r="L105" s="553"/>
      <c r="M105" s="554"/>
      <c r="N105" s="2965"/>
      <c r="O105" s="2965"/>
      <c r="P105" s="2989"/>
      <c r="Q105" s="2956"/>
      <c r="R105" s="2957"/>
      <c r="S105" s="2957"/>
      <c r="T105" s="2957"/>
      <c r="U105" s="2957"/>
      <c r="V105" s="2957"/>
      <c r="W105" s="2957"/>
      <c r="X105" s="2957"/>
      <c r="Y105" s="2957"/>
      <c r="Z105" s="2957"/>
      <c r="AA105" s="2957"/>
      <c r="AB105" s="2957"/>
      <c r="AC105" s="2957"/>
      <c r="AD105" s="2957"/>
      <c r="AE105" s="2957"/>
    </row>
    <row r="106" spans="1:31" s="429" customFormat="1" ht="15.75" thickBot="1">
      <c r="A106" s="509"/>
      <c r="B106" s="502"/>
      <c r="C106" s="526"/>
      <c r="D106" s="526"/>
      <c r="E106" s="526"/>
      <c r="F106" s="526"/>
      <c r="G106" s="632"/>
      <c r="H106" s="632"/>
      <c r="I106" s="632"/>
      <c r="J106" s="632"/>
      <c r="K106" s="632"/>
      <c r="L106" s="632"/>
      <c r="M106" s="653"/>
      <c r="N106" s="2964"/>
      <c r="O106" s="2964"/>
      <c r="P106" s="2989"/>
      <c r="Q106" s="2956"/>
      <c r="R106" s="2957"/>
      <c r="S106" s="2957"/>
      <c r="T106" s="2957"/>
      <c r="U106" s="2957"/>
      <c r="V106" s="2957"/>
      <c r="W106" s="2957"/>
      <c r="X106" s="2957"/>
      <c r="Y106" s="2957"/>
      <c r="Z106" s="2957"/>
      <c r="AA106" s="2957"/>
      <c r="AB106" s="2957"/>
      <c r="AC106" s="2957"/>
      <c r="AD106" s="2957"/>
      <c r="AE106" s="2957"/>
    </row>
    <row r="107" spans="1:31">
      <c r="A107" s="483" t="s">
        <v>2378</v>
      </c>
      <c r="B107" s="484" t="s">
        <v>2597</v>
      </c>
      <c r="C107" s="485" t="str">
        <f t="shared" ref="C107:L107" si="25">C108&amp;"(含)"&amp;"-"&amp;D108</f>
        <v>(含)-</v>
      </c>
      <c r="D107" s="485" t="str">
        <f t="shared" si="25"/>
        <v>(含)-</v>
      </c>
      <c r="E107" s="485" t="str">
        <f t="shared" si="25"/>
        <v>(含)-</v>
      </c>
      <c r="F107" s="485" t="str">
        <f t="shared" si="25"/>
        <v>(含)-</v>
      </c>
      <c r="G107" s="485" t="str">
        <f t="shared" si="25"/>
        <v>(含)-</v>
      </c>
      <c r="H107" s="485" t="str">
        <f t="shared" si="25"/>
        <v>(含)-</v>
      </c>
      <c r="I107" s="485" t="str">
        <f t="shared" si="25"/>
        <v>(含)-</v>
      </c>
      <c r="J107" s="485" t="str">
        <f t="shared" si="25"/>
        <v>(含)-</v>
      </c>
      <c r="K107" s="1493" t="str">
        <f t="shared" si="25"/>
        <v>(含)-</v>
      </c>
      <c r="L107" s="1493" t="str">
        <f t="shared" si="25"/>
        <v>(含)-</v>
      </c>
      <c r="M107" s="1494" t="str">
        <f>M108&amp;"(含)"&amp;"-"&amp;P108</f>
        <v>(含)-</v>
      </c>
      <c r="N107" s="2963"/>
      <c r="O107" s="2963"/>
      <c r="P107" s="2988"/>
      <c r="Q107" s="2949"/>
      <c r="R107" s="2935"/>
      <c r="S107" s="2935"/>
      <c r="T107" s="2935"/>
      <c r="U107" s="2935"/>
      <c r="V107" s="2935"/>
      <c r="W107" s="2935"/>
      <c r="X107" s="2935"/>
      <c r="Y107" s="2935"/>
      <c r="Z107" s="2935"/>
      <c r="AA107" s="2935"/>
      <c r="AB107" s="2935"/>
      <c r="AC107" s="2935"/>
      <c r="AD107" s="2935"/>
      <c r="AE107" s="2935"/>
    </row>
    <row r="108" spans="1:31" ht="15">
      <c r="A108" s="490"/>
      <c r="B108" s="502"/>
      <c r="C108" s="551"/>
      <c r="D108" s="551"/>
      <c r="E108" s="551"/>
      <c r="F108" s="551"/>
      <c r="G108" s="551"/>
      <c r="H108" s="551"/>
      <c r="I108" s="551"/>
      <c r="J108" s="552"/>
      <c r="K108" s="552"/>
      <c r="L108" s="553"/>
      <c r="M108" s="554"/>
      <c r="N108" s="2963"/>
      <c r="O108" s="2963"/>
      <c r="P108" s="2988"/>
      <c r="Q108" s="2949"/>
      <c r="R108" s="2935"/>
      <c r="S108" s="2935"/>
      <c r="T108" s="2935"/>
      <c r="U108" s="2935"/>
      <c r="V108" s="2935"/>
      <c r="W108" s="2935"/>
      <c r="X108" s="2935"/>
      <c r="Y108" s="2935"/>
      <c r="Z108" s="2935"/>
      <c r="AA108" s="2935"/>
      <c r="AB108" s="2935"/>
      <c r="AC108" s="2935"/>
      <c r="AD108" s="2935"/>
      <c r="AE108" s="2935"/>
    </row>
    <row r="109" spans="1:31" ht="15.75" thickBot="1">
      <c r="A109" s="490"/>
      <c r="B109" s="499"/>
      <c r="C109" s="526"/>
      <c r="D109" s="547"/>
      <c r="E109" s="547"/>
      <c r="F109" s="547"/>
      <c r="G109" s="547"/>
      <c r="H109" s="547"/>
      <c r="I109" s="547"/>
      <c r="J109" s="547"/>
      <c r="K109" s="547"/>
      <c r="L109" s="547"/>
      <c r="M109" s="548"/>
      <c r="N109" s="2964"/>
      <c r="O109" s="2964"/>
      <c r="P109" s="2988"/>
      <c r="Q109" s="2949"/>
      <c r="R109" s="2935"/>
      <c r="S109" s="2935"/>
      <c r="T109" s="2935"/>
      <c r="U109" s="2935"/>
      <c r="V109" s="2935"/>
      <c r="W109" s="2935"/>
      <c r="X109" s="2935"/>
      <c r="Y109" s="2935"/>
      <c r="Z109" s="2935"/>
      <c r="AA109" s="2935"/>
      <c r="AB109" s="2935"/>
      <c r="AC109" s="2935"/>
      <c r="AD109" s="2935"/>
      <c r="AE109" s="2935"/>
    </row>
    <row r="110" spans="1:31" ht="15" thickTop="1">
      <c r="A110" s="555"/>
      <c r="B110" s="494" t="s">
        <v>2598</v>
      </c>
      <c r="C110" s="539"/>
      <c r="D110" s="539"/>
      <c r="E110" s="539"/>
      <c r="F110" s="539"/>
      <c r="G110" s="539"/>
      <c r="H110" s="539"/>
      <c r="I110" s="539"/>
      <c r="J110" s="539"/>
      <c r="K110" s="540"/>
      <c r="L110" s="541"/>
      <c r="M110" s="542"/>
      <c r="N110" s="2963"/>
      <c r="O110" s="2963"/>
      <c r="P110" s="2988"/>
      <c r="Q110" s="2949"/>
      <c r="R110" s="2935"/>
      <c r="S110" s="2935"/>
      <c r="T110" s="2935"/>
      <c r="U110" s="2935"/>
      <c r="V110" s="2935"/>
      <c r="W110" s="2935"/>
      <c r="X110" s="2935"/>
      <c r="Y110" s="2935"/>
      <c r="Z110" s="2935"/>
      <c r="AA110" s="2935"/>
      <c r="AB110" s="2935"/>
      <c r="AC110" s="2935"/>
      <c r="AD110" s="2935"/>
      <c r="AE110" s="2935"/>
    </row>
    <row r="111" spans="1:31" ht="15.75" thickBot="1">
      <c r="A111" s="490"/>
      <c r="B111" s="499"/>
      <c r="C111" s="500">
        <v>100</v>
      </c>
      <c r="D111" s="500">
        <f t="shared" ref="D111:M111" si="26">C111-$K35</f>
        <v>100</v>
      </c>
      <c r="E111" s="500">
        <f t="shared" si="26"/>
        <v>100</v>
      </c>
      <c r="F111" s="500">
        <f t="shared" si="26"/>
        <v>100</v>
      </c>
      <c r="G111" s="500">
        <f t="shared" si="26"/>
        <v>100</v>
      </c>
      <c r="H111" s="500">
        <f t="shared" si="26"/>
        <v>100</v>
      </c>
      <c r="I111" s="500">
        <f t="shared" si="26"/>
        <v>100</v>
      </c>
      <c r="J111" s="500">
        <f t="shared" si="26"/>
        <v>100</v>
      </c>
      <c r="K111" s="500">
        <f t="shared" si="26"/>
        <v>100</v>
      </c>
      <c r="L111" s="500">
        <f t="shared" si="26"/>
        <v>100</v>
      </c>
      <c r="M111" s="501">
        <f t="shared" si="26"/>
        <v>100</v>
      </c>
      <c r="N111" s="2964"/>
      <c r="O111" s="2964"/>
      <c r="P111" s="2988"/>
      <c r="Q111" s="2949"/>
      <c r="R111" s="2935"/>
      <c r="S111" s="2935"/>
      <c r="T111" s="2935"/>
      <c r="U111" s="2935"/>
      <c r="V111" s="2935"/>
      <c r="W111" s="2935"/>
      <c r="X111" s="2935"/>
      <c r="Y111" s="2935"/>
      <c r="Z111" s="2935"/>
      <c r="AA111" s="2935"/>
      <c r="AB111" s="2935"/>
      <c r="AC111" s="2935"/>
      <c r="AD111" s="2935"/>
      <c r="AE111" s="2935"/>
    </row>
    <row r="112" spans="1:31" s="429" customFormat="1" ht="15" thickTop="1">
      <c r="A112" s="549"/>
      <c r="B112" s="494" t="s">
        <v>2599</v>
      </c>
      <c r="C112" s="510"/>
      <c r="D112" s="510"/>
      <c r="E112" s="510"/>
      <c r="F112" s="510"/>
      <c r="G112" s="510"/>
      <c r="H112" s="539"/>
      <c r="I112" s="539"/>
      <c r="J112" s="539"/>
      <c r="K112" s="540"/>
      <c r="L112" s="541"/>
      <c r="M112" s="542"/>
      <c r="N112" s="2965"/>
      <c r="O112" s="2965"/>
      <c r="P112" s="2989"/>
      <c r="Q112" s="2956"/>
      <c r="R112" s="2957"/>
      <c r="S112" s="2957"/>
      <c r="T112" s="2957"/>
      <c r="U112" s="2957"/>
      <c r="V112" s="2957"/>
      <c r="W112" s="2957"/>
      <c r="X112" s="2957"/>
      <c r="Y112" s="2957"/>
      <c r="Z112" s="2957"/>
      <c r="AA112" s="2957"/>
      <c r="AB112" s="2957"/>
      <c r="AC112" s="2957"/>
      <c r="AD112" s="2957"/>
      <c r="AE112" s="2957"/>
    </row>
    <row r="113" spans="1:31" s="429" customFormat="1" ht="15.75" thickBot="1">
      <c r="A113" s="509"/>
      <c r="B113" s="499"/>
      <c r="C113" s="500">
        <v>100</v>
      </c>
      <c r="D113" s="500">
        <f t="shared" ref="D113:M113" si="27">C113-$K36</f>
        <v>100</v>
      </c>
      <c r="E113" s="500">
        <f t="shared" si="27"/>
        <v>100</v>
      </c>
      <c r="F113" s="500">
        <f t="shared" si="27"/>
        <v>100</v>
      </c>
      <c r="G113" s="500">
        <f t="shared" si="27"/>
        <v>100</v>
      </c>
      <c r="H113" s="500">
        <f t="shared" si="27"/>
        <v>100</v>
      </c>
      <c r="I113" s="500">
        <f t="shared" si="27"/>
        <v>100</v>
      </c>
      <c r="J113" s="500">
        <f t="shared" si="27"/>
        <v>100</v>
      </c>
      <c r="K113" s="500">
        <f t="shared" si="27"/>
        <v>100</v>
      </c>
      <c r="L113" s="500">
        <f t="shared" si="27"/>
        <v>100</v>
      </c>
      <c r="M113" s="501">
        <f t="shared" si="27"/>
        <v>100</v>
      </c>
      <c r="N113" s="2965"/>
      <c r="O113" s="2965"/>
      <c r="P113" s="2989"/>
      <c r="Q113" s="2956"/>
      <c r="R113" s="2957"/>
      <c r="S113" s="2957"/>
      <c r="T113" s="2957"/>
      <c r="U113" s="2957"/>
      <c r="V113" s="2957"/>
      <c r="W113" s="2957"/>
      <c r="X113" s="2957"/>
      <c r="Y113" s="2957"/>
      <c r="Z113" s="2957"/>
      <c r="AA113" s="2957"/>
      <c r="AB113" s="2957"/>
      <c r="AC113" s="2957"/>
      <c r="AD113" s="2957"/>
      <c r="AE113" s="2957"/>
    </row>
    <row r="114" spans="1:31" ht="15" thickTop="1">
      <c r="A114" s="555"/>
      <c r="B114" s="494" t="s">
        <v>2600</v>
      </c>
      <c r="C114" s="510"/>
      <c r="D114" s="510"/>
      <c r="E114" s="539"/>
      <c r="F114" s="539"/>
      <c r="G114" s="539"/>
      <c r="H114" s="539"/>
      <c r="I114" s="539"/>
      <c r="J114" s="539"/>
      <c r="K114" s="540"/>
      <c r="L114" s="541"/>
      <c r="M114" s="542"/>
      <c r="N114" s="2963"/>
      <c r="O114" s="2963"/>
      <c r="P114" s="2988"/>
      <c r="Q114" s="2949"/>
      <c r="R114" s="2935"/>
      <c r="S114" s="2935"/>
      <c r="T114" s="2935"/>
      <c r="U114" s="2935"/>
      <c r="V114" s="2935"/>
      <c r="W114" s="2935"/>
      <c r="X114" s="2935"/>
      <c r="Y114" s="2935"/>
      <c r="Z114" s="2935"/>
      <c r="AA114" s="2935"/>
      <c r="AB114" s="2935"/>
      <c r="AC114" s="2935"/>
      <c r="AD114" s="2935"/>
      <c r="AE114" s="2935"/>
    </row>
    <row r="115" spans="1:31" ht="15.75" thickBot="1">
      <c r="A115" s="490"/>
      <c r="B115" s="499"/>
      <c r="C115" s="500">
        <v>100</v>
      </c>
      <c r="D115" s="500">
        <f t="shared" ref="D115:M115" si="28">C115-$K37</f>
        <v>100</v>
      </c>
      <c r="E115" s="500">
        <f t="shared" si="28"/>
        <v>100</v>
      </c>
      <c r="F115" s="500">
        <f t="shared" si="28"/>
        <v>100</v>
      </c>
      <c r="G115" s="500">
        <f t="shared" si="28"/>
        <v>100</v>
      </c>
      <c r="H115" s="500">
        <f t="shared" si="28"/>
        <v>100</v>
      </c>
      <c r="I115" s="500">
        <f t="shared" si="28"/>
        <v>100</v>
      </c>
      <c r="J115" s="500">
        <f t="shared" si="28"/>
        <v>100</v>
      </c>
      <c r="K115" s="500">
        <f t="shared" si="28"/>
        <v>100</v>
      </c>
      <c r="L115" s="500">
        <f t="shared" si="28"/>
        <v>100</v>
      </c>
      <c r="M115" s="501">
        <f t="shared" si="28"/>
        <v>100</v>
      </c>
      <c r="N115" s="2964"/>
      <c r="O115" s="2964"/>
      <c r="P115" s="2988"/>
      <c r="Q115" s="2949"/>
      <c r="R115" s="2935"/>
      <c r="S115" s="2935"/>
      <c r="T115" s="2935"/>
      <c r="U115" s="2935"/>
      <c r="V115" s="2935"/>
      <c r="W115" s="2935"/>
      <c r="X115" s="2935"/>
      <c r="Y115" s="2935"/>
      <c r="Z115" s="2935"/>
      <c r="AA115" s="2935"/>
      <c r="AB115" s="2935"/>
      <c r="AC115" s="2935"/>
      <c r="AD115" s="2935"/>
      <c r="AE115" s="2935"/>
    </row>
    <row r="116" spans="1:31" ht="15" thickTop="1">
      <c r="A116" s="555"/>
      <c r="B116" s="494">
        <f>B38</f>
        <v>111</v>
      </c>
      <c r="C116" s="510"/>
      <c r="D116" s="510"/>
      <c r="E116" s="510"/>
      <c r="F116" s="510"/>
      <c r="G116" s="510"/>
      <c r="H116" s="539"/>
      <c r="I116" s="539"/>
      <c r="J116" s="539"/>
      <c r="K116" s="540"/>
      <c r="L116" s="541"/>
      <c r="M116" s="542"/>
      <c r="N116" s="2963"/>
      <c r="O116" s="2963"/>
      <c r="P116" s="2988"/>
      <c r="Q116" s="2949"/>
      <c r="R116" s="2935"/>
      <c r="S116" s="2935"/>
      <c r="T116" s="2935"/>
      <c r="U116" s="2935"/>
      <c r="V116" s="2935"/>
      <c r="W116" s="2935"/>
      <c r="X116" s="2935"/>
      <c r="Y116" s="2935"/>
      <c r="Z116" s="2935"/>
      <c r="AA116" s="2935"/>
      <c r="AB116" s="2935"/>
      <c r="AC116" s="2935"/>
      <c r="AD116" s="2935"/>
      <c r="AE116" s="2935"/>
    </row>
    <row r="117" spans="1:31" ht="15.75" thickBot="1">
      <c r="A117" s="490"/>
      <c r="B117" s="499"/>
      <c r="C117" s="516"/>
      <c r="D117" s="492"/>
      <c r="E117" s="492"/>
      <c r="F117" s="492"/>
      <c r="G117" s="492"/>
      <c r="H117" s="492"/>
      <c r="I117" s="492"/>
      <c r="J117" s="492"/>
      <c r="K117" s="492"/>
      <c r="L117" s="492"/>
      <c r="M117" s="493"/>
      <c r="N117" s="2964"/>
      <c r="O117" s="2964"/>
      <c r="P117" s="2988"/>
      <c r="Q117" s="2949"/>
      <c r="R117" s="2935"/>
      <c r="S117" s="2935"/>
      <c r="T117" s="2935"/>
      <c r="U117" s="2935"/>
      <c r="V117" s="2935"/>
      <c r="W117" s="2935"/>
      <c r="X117" s="2935"/>
      <c r="Y117" s="2935"/>
      <c r="Z117" s="2935"/>
      <c r="AA117" s="2935"/>
      <c r="AB117" s="2935"/>
      <c r="AC117" s="2935"/>
      <c r="AD117" s="2935"/>
      <c r="AE117" s="2935"/>
    </row>
    <row r="118" spans="1:31" ht="15" thickTop="1">
      <c r="A118" s="555"/>
      <c r="B118" s="494">
        <f>B39</f>
        <v>111</v>
      </c>
      <c r="C118" s="510"/>
      <c r="D118" s="510"/>
      <c r="E118" s="510"/>
      <c r="F118" s="510"/>
      <c r="G118" s="539"/>
      <c r="H118" s="539"/>
      <c r="I118" s="539"/>
      <c r="J118" s="539"/>
      <c r="K118" s="540"/>
      <c r="L118" s="541"/>
      <c r="M118" s="542"/>
      <c r="N118" s="2963"/>
      <c r="O118" s="2963"/>
      <c r="P118" s="2988"/>
      <c r="Q118" s="2949"/>
      <c r="R118" s="2935"/>
      <c r="S118" s="2935"/>
      <c r="T118" s="2935"/>
      <c r="U118" s="2935"/>
      <c r="V118" s="2935"/>
      <c r="W118" s="2935"/>
      <c r="X118" s="2935"/>
      <c r="Y118" s="2935"/>
      <c r="Z118" s="2935"/>
      <c r="AA118" s="2935"/>
      <c r="AB118" s="2935"/>
      <c r="AC118" s="2935"/>
      <c r="AD118" s="2935"/>
      <c r="AE118" s="2935"/>
    </row>
    <row r="119" spans="1:31" ht="15.75" thickBot="1">
      <c r="A119" s="490"/>
      <c r="B119" s="499"/>
      <c r="C119" s="516"/>
      <c r="D119" s="516"/>
      <c r="E119" s="516"/>
      <c r="F119" s="516"/>
      <c r="G119" s="492"/>
      <c r="H119" s="492"/>
      <c r="I119" s="492"/>
      <c r="J119" s="492"/>
      <c r="K119" s="492"/>
      <c r="L119" s="492"/>
      <c r="M119" s="493"/>
      <c r="N119" s="2964"/>
      <c r="O119" s="2964"/>
      <c r="P119" s="2988"/>
      <c r="Q119" s="2949"/>
      <c r="R119" s="2935"/>
      <c r="S119" s="2935"/>
      <c r="T119" s="2935"/>
      <c r="U119" s="2935"/>
      <c r="V119" s="2935"/>
      <c r="W119" s="2935"/>
      <c r="X119" s="2935"/>
      <c r="Y119" s="2935"/>
      <c r="Z119" s="2935"/>
      <c r="AA119" s="2935"/>
      <c r="AB119" s="2935"/>
      <c r="AC119" s="2935"/>
      <c r="AD119" s="2935"/>
      <c r="AE119" s="2935"/>
    </row>
    <row r="120" spans="1:31" s="429" customFormat="1" ht="15" thickTop="1">
      <c r="A120" s="549"/>
      <c r="B120" s="494">
        <f>B40</f>
        <v>111</v>
      </c>
      <c r="C120" s="479"/>
      <c r="D120" s="479"/>
      <c r="E120" s="479"/>
      <c r="F120" s="479"/>
      <c r="G120" s="511"/>
      <c r="H120" s="511"/>
      <c r="I120" s="511"/>
      <c r="J120" s="511"/>
      <c r="K120" s="511"/>
      <c r="L120" s="512"/>
      <c r="M120" s="513"/>
      <c r="N120" s="2965"/>
      <c r="O120" s="2965"/>
      <c r="P120" s="2989"/>
      <c r="Q120" s="2956"/>
      <c r="R120" s="2957"/>
      <c r="S120" s="2957"/>
      <c r="T120" s="2957"/>
      <c r="U120" s="2957"/>
      <c r="V120" s="2957"/>
      <c r="W120" s="2957"/>
      <c r="X120" s="2957"/>
      <c r="Y120" s="2957"/>
      <c r="Z120" s="2957"/>
      <c r="AA120" s="2957"/>
      <c r="AB120" s="2957"/>
      <c r="AC120" s="2957"/>
      <c r="AD120" s="2957"/>
      <c r="AE120" s="2957"/>
    </row>
    <row r="121" spans="1:31" s="429" customFormat="1" ht="15.75" thickBot="1">
      <c r="A121" s="524"/>
      <c r="B121" s="654"/>
      <c r="C121" s="526"/>
      <c r="D121" s="526"/>
      <c r="E121" s="526"/>
      <c r="F121" s="526"/>
      <c r="G121" s="547"/>
      <c r="H121" s="547"/>
      <c r="I121" s="547"/>
      <c r="J121" s="547"/>
      <c r="K121" s="547"/>
      <c r="L121" s="547"/>
      <c r="M121" s="548"/>
      <c r="N121" s="2965"/>
      <c r="O121" s="2965"/>
      <c r="P121" s="2989"/>
      <c r="Q121" s="2956"/>
      <c r="R121" s="2957"/>
      <c r="S121" s="2957"/>
      <c r="T121" s="2957"/>
      <c r="U121" s="2957"/>
      <c r="V121" s="2957"/>
      <c r="W121" s="2957"/>
      <c r="X121" s="2957"/>
      <c r="Y121" s="2957"/>
      <c r="Z121" s="2957"/>
      <c r="AA121" s="2957"/>
      <c r="AB121" s="2957"/>
      <c r="AC121" s="2957"/>
      <c r="AD121" s="2957"/>
      <c r="AE121" s="2957"/>
    </row>
    <row r="122" spans="1:31">
      <c r="N122" s="2935"/>
      <c r="O122" s="2935"/>
      <c r="P122" s="2935"/>
      <c r="Q122" s="2935"/>
      <c r="R122" s="2935"/>
      <c r="S122" s="2935"/>
      <c r="T122" s="2935"/>
      <c r="U122" s="2935"/>
      <c r="V122" s="2935"/>
      <c r="W122" s="2935"/>
      <c r="X122" s="2935"/>
      <c r="Y122" s="2935"/>
      <c r="Z122" s="2935"/>
      <c r="AA122" s="2935"/>
      <c r="AB122" s="2935"/>
      <c r="AC122" s="2935"/>
      <c r="AD122" s="2935"/>
      <c r="AE122" s="2935"/>
    </row>
    <row r="123" spans="1:31">
      <c r="P123" s="2935"/>
      <c r="Q123" s="2935"/>
      <c r="R123" s="2935"/>
      <c r="S123" s="2935"/>
      <c r="T123" s="2935"/>
      <c r="U123" s="2935"/>
      <c r="V123" s="2935"/>
      <c r="W123" s="2935"/>
      <c r="X123" s="2935"/>
      <c r="Y123" s="2935"/>
      <c r="Z123" s="2935"/>
      <c r="AA123" s="2935"/>
      <c r="AB123" s="2935"/>
      <c r="AC123" s="2935"/>
      <c r="AD123" s="2935"/>
      <c r="AE123" s="2935"/>
    </row>
  </sheetData>
  <sheetProtection password="CEE9" sheet="1" objects="1" scenarios="1" formatCells="0" formatColumns="0" formatRows="0"/>
  <mergeCells count="42">
    <mergeCell ref="P43:Q43"/>
    <mergeCell ref="R43:W43"/>
    <mergeCell ref="P42:Q42"/>
    <mergeCell ref="R42:S42"/>
    <mergeCell ref="T42:U42"/>
    <mergeCell ref="V42:W42"/>
    <mergeCell ref="P41:Q41"/>
    <mergeCell ref="R41:S41"/>
    <mergeCell ref="T41:U41"/>
    <mergeCell ref="V41:W41"/>
    <mergeCell ref="P15:P31"/>
    <mergeCell ref="P32:P40"/>
    <mergeCell ref="Y32:Y40"/>
    <mergeCell ref="AC4:AC6"/>
    <mergeCell ref="C4:D4"/>
    <mergeCell ref="E4:F4"/>
    <mergeCell ref="G4:H4"/>
    <mergeCell ref="I4:J4"/>
    <mergeCell ref="P4:Q6"/>
    <mergeCell ref="AA4:AA6"/>
    <mergeCell ref="AB4:AB6"/>
    <mergeCell ref="E5:F5"/>
    <mergeCell ref="P8:Q8"/>
    <mergeCell ref="Y8:Z8"/>
    <mergeCell ref="P9:P14"/>
    <mergeCell ref="Y9:Y14"/>
    <mergeCell ref="G50:H51"/>
    <mergeCell ref="G52:G55"/>
    <mergeCell ref="Y7:Z7"/>
    <mergeCell ref="R4:S6"/>
    <mergeCell ref="C5:D5"/>
    <mergeCell ref="C6:D6"/>
    <mergeCell ref="I5:J5"/>
    <mergeCell ref="P7:Q7"/>
    <mergeCell ref="E6:F6"/>
    <mergeCell ref="G6:H6"/>
    <mergeCell ref="I6:J6"/>
    <mergeCell ref="G5:H5"/>
    <mergeCell ref="T4:U6"/>
    <mergeCell ref="V4:W6"/>
    <mergeCell ref="Y4:Z6"/>
    <mergeCell ref="Y15:Y31"/>
  </mergeCells>
  <phoneticPr fontId="33" type="noConversion"/>
  <conditionalFormatting sqref="F46 H46 J46">
    <cfRule type="containsText" dxfId="18" priority="18" stopIfTrue="1" operator="containsText" text="超过">
      <formula>NOT(ISERROR(SEARCH("超过",F46)))</formula>
    </cfRule>
  </conditionalFormatting>
  <conditionalFormatting sqref="J48">
    <cfRule type="containsText" dxfId="17" priority="17" stopIfTrue="1" operator="containsText" text="超过">
      <formula>NOT(ISERROR(SEARCH("超过",J48)))</formula>
    </cfRule>
  </conditionalFormatting>
  <conditionalFormatting sqref="H48">
    <cfRule type="containsText" dxfId="16" priority="16" stopIfTrue="1" operator="containsText" text="超过">
      <formula>NOT(ISERROR(SEARCH("超过",H48)))</formula>
    </cfRule>
  </conditionalFormatting>
  <conditionalFormatting sqref="F48">
    <cfRule type="containsText" dxfId="15" priority="15" stopIfTrue="1" operator="containsText" text="超过">
      <formula>NOT(ISERROR(SEARCH("超过",F48)))</formula>
    </cfRule>
  </conditionalFormatting>
  <conditionalFormatting sqref="F47 H47 J47">
    <cfRule type="containsText" dxfId="14" priority="14" stopIfTrue="1" operator="containsText" text="超过">
      <formula>NOT(ISERROR(SEARCH("超过",F47)))</formula>
    </cfRule>
  </conditionalFormatting>
  <conditionalFormatting sqref="E46">
    <cfRule type="expression" dxfId="13" priority="13" stopIfTrue="1">
      <formula>$F$46="超过30%"</formula>
    </cfRule>
  </conditionalFormatting>
  <conditionalFormatting sqref="G48">
    <cfRule type="expression" dxfId="12" priority="12" stopIfTrue="1">
      <formula>$H$48="超过30%"</formula>
    </cfRule>
  </conditionalFormatting>
  <conditionalFormatting sqref="E48">
    <cfRule type="expression" dxfId="11" priority="10" stopIfTrue="1">
      <formula>$F$48="超过30%"</formula>
    </cfRule>
  </conditionalFormatting>
  <conditionalFormatting sqref="G46">
    <cfRule type="expression" dxfId="10" priority="9" stopIfTrue="1">
      <formula>$H$46="超过30%"</formula>
    </cfRule>
  </conditionalFormatting>
  <conditionalFormatting sqref="G47">
    <cfRule type="expression" dxfId="9" priority="8" stopIfTrue="1">
      <formula>$H$47="超过20%"</formula>
    </cfRule>
  </conditionalFormatting>
  <conditionalFormatting sqref="I46">
    <cfRule type="expression" dxfId="8" priority="7" stopIfTrue="1">
      <formula>$J$46="超过30%"</formula>
    </cfRule>
  </conditionalFormatting>
  <conditionalFormatting sqref="I47">
    <cfRule type="expression" dxfId="7" priority="6" stopIfTrue="1">
      <formula>$J$47="超过20%"</formula>
    </cfRule>
  </conditionalFormatting>
  <conditionalFormatting sqref="I48">
    <cfRule type="expression" dxfId="6" priority="5" stopIfTrue="1">
      <formula>$J$48="超过30%"</formula>
    </cfRule>
  </conditionalFormatting>
  <conditionalFormatting sqref="E47">
    <cfRule type="expression" dxfId="5" priority="53" stopIfTrue="1">
      <formula>#REF!+$F$47="超过20%"</formula>
    </cfRule>
  </conditionalFormatting>
  <conditionalFormatting sqref="F42">
    <cfRule type="expression" dxfId="4" priority="4">
      <formula>$D$42="简单平均"</formula>
    </cfRule>
  </conditionalFormatting>
  <conditionalFormatting sqref="H42">
    <cfRule type="expression" dxfId="3" priority="3">
      <formula>$D$42="简单平均"</formula>
    </cfRule>
  </conditionalFormatting>
  <conditionalFormatting sqref="J42">
    <cfRule type="expression" dxfId="2" priority="2">
      <formula>$D$42="简单平均"</formula>
    </cfRule>
  </conditionalFormatting>
  <conditionalFormatting sqref="F7:F40 H7:H40 J7:J40">
    <cfRule type="cellIs" dxfId="1" priority="1" operator="notEqual">
      <formula>100</formula>
    </cfRule>
  </conditionalFormatting>
  <dataValidations count="20">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G24 I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29 E29 G29 I29">
      <formula1>套工道路等级</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G58">
      <formula1>"住宅,工业"</formula1>
    </dataValidation>
    <dataValidation type="list" allowBlank="1" showInputMessage="1" showErrorMessage="1" sqref="G57">
      <formula1>"商业,办公,住宅,工业"</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1" fitToHeight="0" orientation="portrait" r:id="rId1"/>
  <legacy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5" defaultRowHeight="19.5" customHeight="1"/>
  <cols>
    <col min="1" max="1" width="13.625" style="752" customWidth="1"/>
    <col min="2" max="9" width="8.25" style="814" customWidth="1"/>
    <col min="10" max="13" width="8.25" style="752"/>
    <col min="14" max="14" width="10" style="752" customWidth="1"/>
    <col min="15" max="16" width="8.25" style="752"/>
    <col min="17" max="17" width="34.125" style="752" customWidth="1"/>
    <col min="18" max="18" width="8.25" style="752" customWidth="1"/>
    <col min="19" max="19" width="8.25" style="752"/>
    <col min="20" max="20" width="11.625" style="752" customWidth="1"/>
    <col min="21" max="16384" width="8.25" style="752"/>
  </cols>
  <sheetData>
    <row r="1" spans="1:13" ht="19.5" customHeight="1" thickBot="1">
      <c r="A1" s="792" t="s">
        <v>546</v>
      </c>
      <c r="B1" s="767" t="s">
        <v>157</v>
      </c>
      <c r="C1" s="767" t="s">
        <v>158</v>
      </c>
      <c r="D1" s="767" t="s">
        <v>159</v>
      </c>
      <c r="E1" s="767" t="s">
        <v>160</v>
      </c>
      <c r="F1" s="767" t="s">
        <v>161</v>
      </c>
      <c r="G1" s="767" t="s">
        <v>162</v>
      </c>
      <c r="H1" s="767" t="s">
        <v>163</v>
      </c>
      <c r="I1" s="767" t="s">
        <v>164</v>
      </c>
      <c r="J1" s="767" t="s">
        <v>165</v>
      </c>
      <c r="K1" s="767" t="s">
        <v>166</v>
      </c>
      <c r="L1" s="767" t="s">
        <v>167</v>
      </c>
      <c r="M1" s="768" t="s">
        <v>168</v>
      </c>
    </row>
    <row r="2" spans="1:13" ht="19.5" customHeight="1">
      <c r="A2" s="793" t="s">
        <v>183</v>
      </c>
      <c r="B2" s="794">
        <v>3.5</v>
      </c>
      <c r="C2" s="794">
        <v>3.5</v>
      </c>
      <c r="D2" s="795">
        <v>2.5</v>
      </c>
      <c r="E2" s="795">
        <v>2.5</v>
      </c>
      <c r="F2" s="795">
        <v>2.5</v>
      </c>
      <c r="G2" s="795">
        <v>2.5</v>
      </c>
      <c r="H2" s="795">
        <v>2.5</v>
      </c>
      <c r="I2" s="794">
        <v>2</v>
      </c>
      <c r="J2" s="794">
        <v>2</v>
      </c>
      <c r="K2" s="794">
        <v>2</v>
      </c>
      <c r="L2" s="794">
        <v>2</v>
      </c>
      <c r="M2" s="796">
        <v>2</v>
      </c>
    </row>
    <row r="3" spans="1:13" ht="19.5" customHeight="1">
      <c r="A3" s="797" t="s">
        <v>184</v>
      </c>
      <c r="B3" s="798">
        <v>3.5</v>
      </c>
      <c r="C3" s="798">
        <v>3.5</v>
      </c>
      <c r="D3" s="799">
        <v>2.5</v>
      </c>
      <c r="E3" s="799">
        <v>2.5</v>
      </c>
      <c r="F3" s="799">
        <v>2.5</v>
      </c>
      <c r="G3" s="799">
        <v>2.5</v>
      </c>
      <c r="H3" s="799">
        <v>2.5</v>
      </c>
      <c r="I3" s="798">
        <v>2</v>
      </c>
      <c r="J3" s="798">
        <v>2</v>
      </c>
      <c r="K3" s="798">
        <v>2</v>
      </c>
      <c r="L3" s="798">
        <v>2</v>
      </c>
      <c r="M3" s="800">
        <v>2</v>
      </c>
    </row>
    <row r="4" spans="1:13" ht="19.5" customHeight="1">
      <c r="A4" s="797" t="s">
        <v>752</v>
      </c>
      <c r="B4" s="799">
        <v>2.5</v>
      </c>
      <c r="C4" s="799">
        <v>2.5</v>
      </c>
      <c r="D4" s="799">
        <v>2.5</v>
      </c>
      <c r="E4" s="799">
        <v>2.5</v>
      </c>
      <c r="F4" s="799">
        <v>2.5</v>
      </c>
      <c r="G4" s="799">
        <v>2.5</v>
      </c>
      <c r="H4" s="799">
        <v>2.5</v>
      </c>
      <c r="I4" s="798">
        <v>1.5</v>
      </c>
      <c r="J4" s="798">
        <v>1.5</v>
      </c>
      <c r="K4" s="798">
        <v>1.5</v>
      </c>
      <c r="L4" s="798">
        <v>1.5</v>
      </c>
      <c r="M4" s="800">
        <v>1.5</v>
      </c>
    </row>
    <row r="5" spans="1:13" ht="19.5" customHeight="1" thickBot="1">
      <c r="A5" s="801" t="s">
        <v>186</v>
      </c>
      <c r="B5" s="802">
        <v>1.5</v>
      </c>
      <c r="C5" s="802">
        <v>1.5</v>
      </c>
      <c r="D5" s="802">
        <v>1.5</v>
      </c>
      <c r="E5" s="802">
        <v>1.5</v>
      </c>
      <c r="F5" s="802">
        <v>1.5</v>
      </c>
      <c r="G5" s="803">
        <v>1.2</v>
      </c>
      <c r="H5" s="803">
        <v>1.2</v>
      </c>
      <c r="I5" s="803">
        <v>1</v>
      </c>
      <c r="J5" s="803">
        <v>1</v>
      </c>
      <c r="K5" s="803">
        <v>1</v>
      </c>
      <c r="L5" s="803">
        <v>1</v>
      </c>
      <c r="M5" s="804">
        <v>1</v>
      </c>
    </row>
    <row r="6" spans="1:13" ht="19.5" customHeight="1">
      <c r="A6" s="805" t="s">
        <v>547</v>
      </c>
      <c r="B6" s="806">
        <v>80</v>
      </c>
      <c r="C6" s="806">
        <v>80</v>
      </c>
      <c r="D6" s="806">
        <v>65</v>
      </c>
      <c r="E6" s="806">
        <v>65</v>
      </c>
      <c r="F6" s="806">
        <v>65</v>
      </c>
      <c r="G6" s="806">
        <v>65</v>
      </c>
      <c r="H6" s="806">
        <v>65</v>
      </c>
      <c r="I6" s="806">
        <v>50</v>
      </c>
      <c r="J6" s="806">
        <v>50</v>
      </c>
      <c r="K6" s="806">
        <v>50</v>
      </c>
      <c r="L6" s="806">
        <v>50</v>
      </c>
      <c r="M6" s="807">
        <v>50</v>
      </c>
    </row>
    <row r="7" spans="1:13" ht="19.5" customHeight="1">
      <c r="A7" s="753" t="s">
        <v>548</v>
      </c>
      <c r="B7" s="754">
        <v>70</v>
      </c>
      <c r="C7" s="754">
        <v>70</v>
      </c>
      <c r="D7" s="754">
        <v>55</v>
      </c>
      <c r="E7" s="754">
        <v>55</v>
      </c>
      <c r="F7" s="754">
        <v>55</v>
      </c>
      <c r="G7" s="754">
        <v>55</v>
      </c>
      <c r="H7" s="754">
        <v>55</v>
      </c>
      <c r="I7" s="754">
        <v>40</v>
      </c>
      <c r="J7" s="754">
        <v>40</v>
      </c>
      <c r="K7" s="754">
        <v>40</v>
      </c>
      <c r="L7" s="754">
        <v>40</v>
      </c>
      <c r="M7" s="808">
        <v>40</v>
      </c>
    </row>
    <row r="8" spans="1:13" ht="19.5" customHeight="1">
      <c r="A8" s="753" t="s">
        <v>549</v>
      </c>
      <c r="B8" s="754">
        <v>20</v>
      </c>
      <c r="C8" s="754">
        <v>20</v>
      </c>
      <c r="D8" s="754">
        <v>15</v>
      </c>
      <c r="E8" s="754">
        <v>15</v>
      </c>
      <c r="F8" s="754">
        <v>15</v>
      </c>
      <c r="G8" s="754">
        <v>15</v>
      </c>
      <c r="H8" s="754">
        <v>15</v>
      </c>
      <c r="I8" s="754">
        <v>10</v>
      </c>
      <c r="J8" s="754">
        <v>10</v>
      </c>
      <c r="K8" s="754">
        <v>10</v>
      </c>
      <c r="L8" s="754">
        <v>10</v>
      </c>
      <c r="M8" s="808">
        <v>10</v>
      </c>
    </row>
    <row r="9" spans="1:13" ht="19.5" customHeight="1">
      <c r="A9" s="753" t="s">
        <v>550</v>
      </c>
      <c r="B9" s="754">
        <v>30</v>
      </c>
      <c r="C9" s="754">
        <v>30</v>
      </c>
      <c r="D9" s="754">
        <v>25</v>
      </c>
      <c r="E9" s="754">
        <v>25</v>
      </c>
      <c r="F9" s="754">
        <v>25</v>
      </c>
      <c r="G9" s="754">
        <v>25</v>
      </c>
      <c r="H9" s="754">
        <v>25</v>
      </c>
      <c r="I9" s="754">
        <v>20</v>
      </c>
      <c r="J9" s="754">
        <v>20</v>
      </c>
      <c r="K9" s="754">
        <v>20</v>
      </c>
      <c r="L9" s="754">
        <v>20</v>
      </c>
      <c r="M9" s="808">
        <v>20</v>
      </c>
    </row>
    <row r="10" spans="1:13" ht="19.5" customHeight="1">
      <c r="A10" s="753" t="s">
        <v>551</v>
      </c>
      <c r="B10" s="754">
        <v>45</v>
      </c>
      <c r="C10" s="754">
        <v>45</v>
      </c>
      <c r="D10" s="754">
        <v>35</v>
      </c>
      <c r="E10" s="754">
        <v>35</v>
      </c>
      <c r="F10" s="754">
        <v>35</v>
      </c>
      <c r="G10" s="754">
        <v>35</v>
      </c>
      <c r="H10" s="754">
        <v>35</v>
      </c>
      <c r="I10" s="754">
        <v>25</v>
      </c>
      <c r="J10" s="754">
        <v>25</v>
      </c>
      <c r="K10" s="754">
        <v>25</v>
      </c>
      <c r="L10" s="754">
        <v>25</v>
      </c>
      <c r="M10" s="808">
        <v>25</v>
      </c>
    </row>
    <row r="11" spans="1:13" ht="19.5" customHeight="1">
      <c r="A11" s="753" t="s">
        <v>552</v>
      </c>
      <c r="B11" s="754">
        <v>60</v>
      </c>
      <c r="C11" s="754">
        <v>60</v>
      </c>
      <c r="D11" s="754">
        <v>50</v>
      </c>
      <c r="E11" s="754">
        <v>50</v>
      </c>
      <c r="F11" s="754">
        <v>50</v>
      </c>
      <c r="G11" s="754">
        <v>50</v>
      </c>
      <c r="H11" s="754">
        <v>50</v>
      </c>
      <c r="I11" s="754">
        <v>40</v>
      </c>
      <c r="J11" s="754">
        <v>40</v>
      </c>
      <c r="K11" s="754">
        <v>40</v>
      </c>
      <c r="L11" s="754">
        <v>40</v>
      </c>
      <c r="M11" s="808">
        <v>40</v>
      </c>
    </row>
    <row r="12" spans="1:13" ht="19.5" customHeight="1">
      <c r="A12" s="753" t="s">
        <v>553</v>
      </c>
      <c r="B12" s="754">
        <v>50</v>
      </c>
      <c r="C12" s="754">
        <v>50</v>
      </c>
      <c r="D12" s="754">
        <v>40</v>
      </c>
      <c r="E12" s="754">
        <v>40</v>
      </c>
      <c r="F12" s="754">
        <v>40</v>
      </c>
      <c r="G12" s="754">
        <v>40</v>
      </c>
      <c r="H12" s="754">
        <v>40</v>
      </c>
      <c r="I12" s="754">
        <v>30</v>
      </c>
      <c r="J12" s="754">
        <v>30</v>
      </c>
      <c r="K12" s="754">
        <v>30</v>
      </c>
      <c r="L12" s="754">
        <v>30</v>
      </c>
      <c r="M12" s="808">
        <v>30</v>
      </c>
    </row>
    <row r="13" spans="1:13" ht="19.5" customHeight="1">
      <c r="A13" s="809" t="s">
        <v>554</v>
      </c>
      <c r="B13" s="759">
        <v>20</v>
      </c>
      <c r="C13" s="759">
        <v>20</v>
      </c>
      <c r="D13" s="759">
        <v>15</v>
      </c>
      <c r="E13" s="759">
        <v>15</v>
      </c>
      <c r="F13" s="759">
        <v>15</v>
      </c>
      <c r="G13" s="759">
        <v>15</v>
      </c>
      <c r="H13" s="759">
        <v>15</v>
      </c>
      <c r="I13" s="759">
        <v>10</v>
      </c>
      <c r="J13" s="759">
        <v>10</v>
      </c>
      <c r="K13" s="759">
        <v>10</v>
      </c>
      <c r="L13" s="759">
        <v>10</v>
      </c>
      <c r="M13" s="810">
        <v>10</v>
      </c>
    </row>
    <row r="14" spans="1:13" ht="19.5" customHeight="1">
      <c r="A14" s="754" t="s">
        <v>555</v>
      </c>
      <c r="B14" s="811">
        <v>0</v>
      </c>
      <c r="C14" s="811">
        <v>0</v>
      </c>
      <c r="D14" s="811">
        <v>0</v>
      </c>
      <c r="E14" s="811">
        <v>0</v>
      </c>
      <c r="F14" s="811">
        <v>0</v>
      </c>
      <c r="G14" s="811">
        <v>0</v>
      </c>
      <c r="H14" s="811">
        <v>0</v>
      </c>
      <c r="I14" s="811">
        <v>0</v>
      </c>
      <c r="J14" s="811">
        <v>0</v>
      </c>
      <c r="K14" s="811">
        <v>0</v>
      </c>
      <c r="L14" s="811">
        <v>0</v>
      </c>
      <c r="M14" s="811">
        <v>0</v>
      </c>
    </row>
    <row r="15" spans="1:13" ht="19.5" customHeight="1">
      <c r="A15" s="754" t="s">
        <v>2849</v>
      </c>
      <c r="B15" s="811">
        <f>SUM(B6:B13)</f>
        <v>375</v>
      </c>
      <c r="C15" s="811">
        <f t="shared" ref="C15:H15" si="0">SUM(C6:C13)</f>
        <v>375</v>
      </c>
      <c r="D15" s="811">
        <f t="shared" si="0"/>
        <v>300</v>
      </c>
      <c r="E15" s="811">
        <f t="shared" si="0"/>
        <v>300</v>
      </c>
      <c r="F15" s="811">
        <f t="shared" si="0"/>
        <v>300</v>
      </c>
      <c r="G15" s="811">
        <f t="shared" si="0"/>
        <v>300</v>
      </c>
      <c r="H15" s="811">
        <f t="shared" si="0"/>
        <v>300</v>
      </c>
      <c r="I15" s="811">
        <f>SUM(I6:I10,I13)</f>
        <v>155</v>
      </c>
      <c r="J15" s="811">
        <f t="shared" ref="J15:M15" si="1">SUM(J6:J10,J13)</f>
        <v>155</v>
      </c>
      <c r="K15" s="811">
        <f t="shared" si="1"/>
        <v>155</v>
      </c>
      <c r="L15" s="811">
        <f t="shared" si="1"/>
        <v>155</v>
      </c>
      <c r="M15" s="811">
        <f t="shared" si="1"/>
        <v>155</v>
      </c>
    </row>
    <row r="16" spans="1:13" ht="19.5" customHeight="1">
      <c r="A16" s="812" t="s">
        <v>556</v>
      </c>
      <c r="B16" s="812"/>
      <c r="C16" s="813"/>
      <c r="D16" s="813"/>
      <c r="E16" s="812"/>
      <c r="F16" s="813"/>
      <c r="G16" s="813"/>
    </row>
    <row r="17" spans="1:9" ht="19.5" customHeight="1">
      <c r="A17" s="754" t="s">
        <v>557</v>
      </c>
      <c r="B17" s="815" t="s">
        <v>558</v>
      </c>
      <c r="C17" s="869" t="s">
        <v>758</v>
      </c>
      <c r="D17" s="816"/>
      <c r="E17" s="754" t="s">
        <v>559</v>
      </c>
      <c r="F17" s="817"/>
      <c r="G17" s="817"/>
    </row>
    <row r="18" spans="1:9" s="823" customFormat="1" ht="19.5" customHeight="1">
      <c r="A18" s="3484" t="s">
        <v>183</v>
      </c>
      <c r="B18" s="818" t="s">
        <v>560</v>
      </c>
      <c r="C18" s="819" t="s">
        <v>561</v>
      </c>
      <c r="D18" s="820"/>
      <c r="E18" s="818">
        <v>1</v>
      </c>
      <c r="F18" s="821" t="s">
        <v>562</v>
      </c>
      <c r="G18" s="822"/>
      <c r="H18" s="814"/>
      <c r="I18" s="814"/>
    </row>
    <row r="19" spans="1:9" s="823" customFormat="1" ht="19.5" customHeight="1">
      <c r="A19" s="3484"/>
      <c r="B19" s="3484" t="s">
        <v>563</v>
      </c>
      <c r="C19" s="819" t="s">
        <v>564</v>
      </c>
      <c r="D19" s="820"/>
      <c r="E19" s="818">
        <v>0.9</v>
      </c>
      <c r="F19" s="821" t="s">
        <v>565</v>
      </c>
      <c r="G19" s="822"/>
      <c r="H19" s="814"/>
      <c r="I19" s="814"/>
    </row>
    <row r="20" spans="1:9" s="823" customFormat="1" ht="19.5" customHeight="1">
      <c r="A20" s="3484"/>
      <c r="B20" s="3484"/>
      <c r="C20" s="819" t="s">
        <v>566</v>
      </c>
      <c r="D20" s="820"/>
      <c r="E20" s="818">
        <v>1.1000000000000001</v>
      </c>
      <c r="F20" s="821" t="s">
        <v>567</v>
      </c>
      <c r="G20" s="822"/>
      <c r="H20" s="814"/>
      <c r="I20" s="814"/>
    </row>
    <row r="21" spans="1:9" s="823" customFormat="1" ht="19.5" customHeight="1">
      <c r="A21" s="3484"/>
      <c r="B21" s="3484"/>
      <c r="C21" s="819" t="s">
        <v>568</v>
      </c>
      <c r="D21" s="820"/>
      <c r="E21" s="818">
        <v>0.8</v>
      </c>
      <c r="F21" s="821" t="s">
        <v>569</v>
      </c>
      <c r="G21" s="822"/>
      <c r="H21" s="814"/>
      <c r="I21" s="814"/>
    </row>
    <row r="22" spans="1:9" s="823" customFormat="1" ht="19.5" customHeight="1">
      <c r="A22" s="3484"/>
      <c r="B22" s="3484"/>
      <c r="C22" s="819" t="s">
        <v>570</v>
      </c>
      <c r="D22" s="820"/>
      <c r="E22" s="818">
        <v>0.5</v>
      </c>
      <c r="F22" s="821"/>
      <c r="G22" s="822"/>
      <c r="H22" s="814"/>
      <c r="I22" s="814"/>
    </row>
    <row r="23" spans="1:9" s="823" customFormat="1" ht="19.5" customHeight="1">
      <c r="A23" s="3484" t="s">
        <v>184</v>
      </c>
      <c r="B23" s="818" t="s">
        <v>560</v>
      </c>
      <c r="C23" s="819" t="s">
        <v>571</v>
      </c>
      <c r="D23" s="820"/>
      <c r="E23" s="818">
        <v>1</v>
      </c>
      <c r="F23" s="821" t="s">
        <v>572</v>
      </c>
      <c r="G23" s="822"/>
      <c r="H23" s="814"/>
      <c r="I23" s="814"/>
    </row>
    <row r="24" spans="1:9" s="823" customFormat="1" ht="19.5" customHeight="1">
      <c r="A24" s="3484"/>
      <c r="B24" s="3484" t="s">
        <v>563</v>
      </c>
      <c r="C24" s="819" t="s">
        <v>573</v>
      </c>
      <c r="D24" s="820"/>
      <c r="E24" s="818">
        <v>0.5</v>
      </c>
      <c r="F24" s="821"/>
      <c r="G24" s="822"/>
      <c r="H24" s="814"/>
      <c r="I24" s="814"/>
    </row>
    <row r="25" spans="1:9" s="823" customFormat="1" ht="19.5" customHeight="1">
      <c r="A25" s="3484"/>
      <c r="B25" s="3484"/>
      <c r="C25" s="819" t="s">
        <v>574</v>
      </c>
      <c r="D25" s="820"/>
      <c r="E25" s="818">
        <v>1.1000000000000001</v>
      </c>
      <c r="F25" s="821"/>
      <c r="G25" s="822"/>
      <c r="H25" s="814"/>
      <c r="I25" s="814"/>
    </row>
    <row r="26" spans="1:9" s="823" customFormat="1" ht="19.5" customHeight="1">
      <c r="A26" s="3484"/>
      <c r="B26" s="3484"/>
      <c r="C26" s="819" t="s">
        <v>575</v>
      </c>
      <c r="D26" s="820"/>
      <c r="E26" s="818">
        <v>1.1000000000000001</v>
      </c>
      <c r="F26" s="821"/>
      <c r="G26" s="822"/>
      <c r="H26" s="814"/>
      <c r="I26" s="814"/>
    </row>
    <row r="27" spans="1:9" s="823" customFormat="1" ht="19.5" customHeight="1">
      <c r="A27" s="3484"/>
      <c r="B27" s="3484"/>
      <c r="C27" s="819" t="s">
        <v>576</v>
      </c>
      <c r="D27" s="820"/>
      <c r="E27" s="818">
        <v>0.9</v>
      </c>
      <c r="F27" s="821" t="s">
        <v>577</v>
      </c>
      <c r="G27" s="822"/>
      <c r="H27" s="814"/>
      <c r="I27" s="814"/>
    </row>
    <row r="28" spans="1:9" s="823" customFormat="1" ht="19.5" customHeight="1">
      <c r="A28" s="3484"/>
      <c r="B28" s="3484"/>
      <c r="C28" s="819" t="s">
        <v>578</v>
      </c>
      <c r="D28" s="820"/>
      <c r="E28" s="818">
        <v>0.9</v>
      </c>
      <c r="F28" s="821" t="s">
        <v>579</v>
      </c>
      <c r="G28" s="822"/>
      <c r="H28" s="814"/>
      <c r="I28" s="814"/>
    </row>
    <row r="29" spans="1:9" s="823" customFormat="1" ht="19.5" customHeight="1">
      <c r="A29" s="3484"/>
      <c r="B29" s="3484"/>
      <c r="C29" s="819" t="s">
        <v>580</v>
      </c>
      <c r="D29" s="820"/>
      <c r="E29" s="818">
        <v>0.9</v>
      </c>
      <c r="F29" s="821" t="s">
        <v>581</v>
      </c>
      <c r="G29" s="822"/>
      <c r="H29" s="814"/>
      <c r="I29" s="814"/>
    </row>
    <row r="30" spans="1:9" s="823" customFormat="1" ht="19.5" customHeight="1">
      <c r="A30" s="3484"/>
      <c r="B30" s="3484"/>
      <c r="C30" s="819" t="s">
        <v>582</v>
      </c>
      <c r="D30" s="820"/>
      <c r="E30" s="818">
        <v>0.9</v>
      </c>
      <c r="F30" s="821" t="s">
        <v>583</v>
      </c>
      <c r="G30" s="822"/>
      <c r="H30" s="814"/>
      <c r="I30" s="814"/>
    </row>
    <row r="31" spans="1:9" s="823" customFormat="1" ht="19.5" customHeight="1">
      <c r="A31" s="3484"/>
      <c r="B31" s="3484"/>
      <c r="C31" s="819" t="s">
        <v>584</v>
      </c>
      <c r="D31" s="820"/>
      <c r="E31" s="818">
        <v>0.8</v>
      </c>
      <c r="F31" s="821" t="s">
        <v>585</v>
      </c>
      <c r="G31" s="822"/>
      <c r="H31" s="814"/>
      <c r="I31" s="814"/>
    </row>
    <row r="32" spans="1:9" s="823" customFormat="1" ht="19.5" customHeight="1">
      <c r="A32" s="3484"/>
      <c r="B32" s="3484"/>
      <c r="C32" s="819" t="s">
        <v>586</v>
      </c>
      <c r="D32" s="820"/>
      <c r="E32" s="818">
        <v>0.8</v>
      </c>
      <c r="F32" s="821" t="s">
        <v>587</v>
      </c>
      <c r="G32" s="822"/>
      <c r="H32" s="814"/>
      <c r="I32" s="814"/>
    </row>
    <row r="33" spans="1:9" s="823" customFormat="1" ht="19.5" customHeight="1">
      <c r="A33" s="3484" t="s">
        <v>185</v>
      </c>
      <c r="B33" s="818" t="s">
        <v>560</v>
      </c>
      <c r="C33" s="819" t="s">
        <v>588</v>
      </c>
      <c r="D33" s="820"/>
      <c r="E33" s="818">
        <v>1</v>
      </c>
      <c r="F33" s="821" t="s">
        <v>589</v>
      </c>
      <c r="G33" s="822"/>
      <c r="H33" s="814"/>
      <c r="I33" s="814"/>
    </row>
    <row r="34" spans="1:9" s="823" customFormat="1" ht="19.5" customHeight="1">
      <c r="A34" s="3484"/>
      <c r="B34" s="818" t="s">
        <v>563</v>
      </c>
      <c r="C34" s="819" t="s">
        <v>590</v>
      </c>
      <c r="D34" s="820"/>
      <c r="E34" s="818">
        <v>1.5</v>
      </c>
      <c r="F34" s="821" t="s">
        <v>591</v>
      </c>
      <c r="G34" s="822"/>
      <c r="H34" s="814"/>
      <c r="I34" s="814"/>
    </row>
    <row r="35" spans="1:9" s="823" customFormat="1" ht="19.5" customHeight="1">
      <c r="A35" s="3484" t="s">
        <v>186</v>
      </c>
      <c r="B35" s="818" t="s">
        <v>560</v>
      </c>
      <c r="C35" s="819" t="s">
        <v>592</v>
      </c>
      <c r="D35" s="820"/>
      <c r="E35" s="818">
        <v>1</v>
      </c>
      <c r="F35" s="821" t="s">
        <v>593</v>
      </c>
      <c r="G35" s="822"/>
      <c r="H35" s="814"/>
      <c r="I35" s="814"/>
    </row>
    <row r="36" spans="1:9" s="823" customFormat="1" ht="19.5" customHeight="1">
      <c r="A36" s="3484"/>
      <c r="B36" s="3484" t="s">
        <v>563</v>
      </c>
      <c r="C36" s="819" t="s">
        <v>594</v>
      </c>
      <c r="D36" s="820"/>
      <c r="E36" s="818">
        <v>1</v>
      </c>
      <c r="F36" s="821" t="s">
        <v>595</v>
      </c>
      <c r="G36" s="822"/>
      <c r="H36" s="814"/>
      <c r="I36" s="814"/>
    </row>
    <row r="37" spans="1:9" s="823" customFormat="1" ht="19.5" customHeight="1">
      <c r="A37" s="3484"/>
      <c r="B37" s="3484"/>
      <c r="C37" s="819" t="s">
        <v>596</v>
      </c>
      <c r="D37" s="820"/>
      <c r="E37" s="818">
        <v>1.5</v>
      </c>
      <c r="F37" s="821" t="s">
        <v>597</v>
      </c>
      <c r="G37" s="822"/>
      <c r="H37" s="814"/>
      <c r="I37" s="814"/>
    </row>
    <row r="38" spans="1:9" s="823" customFormat="1" ht="19.5" customHeight="1">
      <c r="A38" s="3484"/>
      <c r="B38" s="3484"/>
      <c r="C38" s="819" t="s">
        <v>598</v>
      </c>
      <c r="D38" s="820"/>
      <c r="E38" s="818">
        <v>1</v>
      </c>
      <c r="F38" s="821" t="s">
        <v>599</v>
      </c>
      <c r="G38" s="822"/>
      <c r="H38" s="814"/>
      <c r="I38" s="814"/>
    </row>
    <row r="39" spans="1:9" s="823" customFormat="1" ht="19.5" customHeight="1">
      <c r="A39" s="3484"/>
      <c r="B39" s="3484"/>
      <c r="C39" s="819" t="s">
        <v>600</v>
      </c>
      <c r="D39" s="820"/>
      <c r="E39" s="818">
        <v>1</v>
      </c>
      <c r="F39" s="821" t="s">
        <v>601</v>
      </c>
      <c r="G39" s="822"/>
      <c r="H39" s="814"/>
      <c r="I39" s="814"/>
    </row>
    <row r="40" spans="1:9" s="823" customFormat="1" ht="19.5" customHeight="1">
      <c r="A40" s="824" t="s">
        <v>602</v>
      </c>
      <c r="B40" s="824"/>
      <c r="C40" s="824"/>
      <c r="D40" s="824"/>
      <c r="E40" s="824"/>
      <c r="F40" s="825"/>
      <c r="G40" s="825"/>
      <c r="H40" s="814"/>
      <c r="I40" s="814"/>
    </row>
    <row r="42" spans="1:9" ht="19.5" customHeight="1">
      <c r="A42" s="826"/>
      <c r="B42" s="754" t="s">
        <v>603</v>
      </c>
      <c r="C42" s="754" t="s">
        <v>603</v>
      </c>
      <c r="D42" s="754" t="s">
        <v>603</v>
      </c>
      <c r="E42" s="759" t="s">
        <v>603</v>
      </c>
      <c r="F42" s="759" t="s">
        <v>603</v>
      </c>
      <c r="G42" s="759" t="s">
        <v>604</v>
      </c>
      <c r="H42" s="759" t="s">
        <v>603</v>
      </c>
    </row>
    <row r="43" spans="1:9" ht="19.5" customHeight="1">
      <c r="A43" s="827"/>
      <c r="B43" s="759" t="s">
        <v>183</v>
      </c>
      <c r="C43" s="759" t="s">
        <v>183</v>
      </c>
      <c r="D43" s="759" t="s">
        <v>183</v>
      </c>
      <c r="E43" s="759" t="s">
        <v>183</v>
      </c>
      <c r="F43" s="754" t="s">
        <v>184</v>
      </c>
      <c r="G43" s="754" t="s">
        <v>186</v>
      </c>
      <c r="H43" s="754" t="s">
        <v>605</v>
      </c>
    </row>
    <row r="44" spans="1:9" ht="19.5" customHeight="1">
      <c r="A44" s="828"/>
      <c r="B44" s="754">
        <v>1</v>
      </c>
      <c r="C44" s="754">
        <v>2</v>
      </c>
      <c r="D44" s="754">
        <v>3</v>
      </c>
      <c r="E44" s="759">
        <v>4</v>
      </c>
      <c r="F44" s="816" t="s">
        <v>606</v>
      </c>
      <c r="G44" s="816" t="s">
        <v>606</v>
      </c>
      <c r="H44" s="816" t="s">
        <v>606</v>
      </c>
    </row>
    <row r="45" spans="1:9" ht="19.5" customHeight="1">
      <c r="A45" s="829" t="s">
        <v>157</v>
      </c>
      <c r="B45" s="754">
        <v>0.8</v>
      </c>
      <c r="C45" s="754">
        <v>0.5</v>
      </c>
      <c r="D45" s="754">
        <v>0.36</v>
      </c>
      <c r="E45" s="754">
        <v>0.3</v>
      </c>
      <c r="F45" s="816">
        <v>0.3</v>
      </c>
      <c r="G45" s="754">
        <v>0.3</v>
      </c>
      <c r="H45" s="754">
        <v>0.25</v>
      </c>
    </row>
    <row r="46" spans="1:9" ht="19.5" customHeight="1">
      <c r="A46" s="829" t="s">
        <v>158</v>
      </c>
      <c r="B46" s="754">
        <v>0.8</v>
      </c>
      <c r="C46" s="754">
        <v>0.5</v>
      </c>
      <c r="D46" s="754">
        <v>0.36</v>
      </c>
      <c r="E46" s="754">
        <v>0.3</v>
      </c>
      <c r="F46" s="754">
        <v>0.3</v>
      </c>
      <c r="G46" s="754">
        <v>0.3</v>
      </c>
      <c r="H46" s="754">
        <v>0.25</v>
      </c>
    </row>
    <row r="47" spans="1:9" ht="19.5" customHeight="1">
      <c r="A47" s="829" t="s">
        <v>159</v>
      </c>
      <c r="B47" s="754">
        <v>0.7</v>
      </c>
      <c r="C47" s="754">
        <v>0.4</v>
      </c>
      <c r="D47" s="754">
        <v>0.28000000000000003</v>
      </c>
      <c r="E47" s="754">
        <v>0.25</v>
      </c>
      <c r="F47" s="754">
        <v>0.25</v>
      </c>
      <c r="G47" s="754">
        <v>0.25</v>
      </c>
      <c r="H47" s="754">
        <v>0.2</v>
      </c>
    </row>
    <row r="48" spans="1:9" ht="19.5" customHeight="1">
      <c r="A48" s="829" t="s">
        <v>160</v>
      </c>
      <c r="B48" s="754">
        <v>0.7</v>
      </c>
      <c r="C48" s="754">
        <v>0.4</v>
      </c>
      <c r="D48" s="754">
        <v>0.28000000000000003</v>
      </c>
      <c r="E48" s="754">
        <v>0.25</v>
      </c>
      <c r="F48" s="754">
        <v>0.25</v>
      </c>
      <c r="G48" s="754">
        <v>0.25</v>
      </c>
      <c r="H48" s="754">
        <v>0.2</v>
      </c>
    </row>
    <row r="49" spans="1:8" s="814" customFormat="1" ht="19.5" customHeight="1">
      <c r="A49" s="829" t="s">
        <v>161</v>
      </c>
      <c r="B49" s="754">
        <v>0.7</v>
      </c>
      <c r="C49" s="754">
        <v>0.4</v>
      </c>
      <c r="D49" s="754">
        <v>0.28000000000000003</v>
      </c>
      <c r="E49" s="754">
        <v>0.25</v>
      </c>
      <c r="F49" s="754">
        <v>0.25</v>
      </c>
      <c r="G49" s="754">
        <v>0.25</v>
      </c>
      <c r="H49" s="754">
        <v>0.2</v>
      </c>
    </row>
    <row r="50" spans="1:8" s="814" customFormat="1" ht="19.5" customHeight="1">
      <c r="A50" s="829" t="s">
        <v>162</v>
      </c>
      <c r="B50" s="754">
        <v>0.7</v>
      </c>
      <c r="C50" s="754">
        <v>0.4</v>
      </c>
      <c r="D50" s="754">
        <v>0.28000000000000003</v>
      </c>
      <c r="E50" s="754">
        <v>0.25</v>
      </c>
      <c r="F50" s="754">
        <v>0.25</v>
      </c>
      <c r="G50" s="754">
        <v>0.25</v>
      </c>
      <c r="H50" s="754">
        <v>0.2</v>
      </c>
    </row>
    <row r="51" spans="1:8" s="814" customFormat="1" ht="19.5" customHeight="1">
      <c r="A51" s="829" t="s">
        <v>163</v>
      </c>
      <c r="B51" s="754">
        <v>0.7</v>
      </c>
      <c r="C51" s="754">
        <v>0.4</v>
      </c>
      <c r="D51" s="754">
        <v>0.28000000000000003</v>
      </c>
      <c r="E51" s="754">
        <v>0.25</v>
      </c>
      <c r="F51" s="754">
        <v>0.25</v>
      </c>
      <c r="G51" s="754">
        <v>0.25</v>
      </c>
      <c r="H51" s="754">
        <v>0.2</v>
      </c>
    </row>
    <row r="52" spans="1:8" s="814" customFormat="1" ht="19.5" customHeight="1">
      <c r="A52" s="829" t="s">
        <v>164</v>
      </c>
      <c r="B52" s="754">
        <v>0.6</v>
      </c>
      <c r="C52" s="754">
        <v>0.3</v>
      </c>
      <c r="D52" s="754">
        <v>0.2</v>
      </c>
      <c r="E52" s="754">
        <v>0.2</v>
      </c>
      <c r="F52" s="754">
        <v>0.2</v>
      </c>
      <c r="G52" s="754">
        <v>0.2</v>
      </c>
      <c r="H52" s="754">
        <v>0.15</v>
      </c>
    </row>
    <row r="53" spans="1:8" s="814" customFormat="1" ht="19.5" customHeight="1">
      <c r="A53" s="829" t="s">
        <v>165</v>
      </c>
      <c r="B53" s="754">
        <v>0.6</v>
      </c>
      <c r="C53" s="754">
        <v>0.3</v>
      </c>
      <c r="D53" s="754">
        <v>0.2</v>
      </c>
      <c r="E53" s="754">
        <v>0.2</v>
      </c>
      <c r="F53" s="754">
        <v>0.2</v>
      </c>
      <c r="G53" s="754">
        <v>0.2</v>
      </c>
      <c r="H53" s="754">
        <v>0.15</v>
      </c>
    </row>
    <row r="54" spans="1:8" s="814" customFormat="1" ht="19.5" customHeight="1">
      <c r="A54" s="829" t="s">
        <v>166</v>
      </c>
      <c r="B54" s="754">
        <v>0.6</v>
      </c>
      <c r="C54" s="754">
        <v>0.3</v>
      </c>
      <c r="D54" s="754">
        <v>0.2</v>
      </c>
      <c r="E54" s="754">
        <v>0.2</v>
      </c>
      <c r="F54" s="754">
        <v>0.2</v>
      </c>
      <c r="G54" s="754">
        <v>0.2</v>
      </c>
      <c r="H54" s="754">
        <v>0.15</v>
      </c>
    </row>
    <row r="55" spans="1:8" s="814" customFormat="1" ht="19.5" customHeight="1">
      <c r="A55" s="829" t="s">
        <v>167</v>
      </c>
      <c r="B55" s="754">
        <v>0.6</v>
      </c>
      <c r="C55" s="754">
        <v>0.3</v>
      </c>
      <c r="D55" s="754">
        <v>0.2</v>
      </c>
      <c r="E55" s="754">
        <v>0.2</v>
      </c>
      <c r="F55" s="754">
        <v>0.2</v>
      </c>
      <c r="G55" s="754">
        <v>0.2</v>
      </c>
      <c r="H55" s="754">
        <v>0.15</v>
      </c>
    </row>
    <row r="56" spans="1:8" s="814" customFormat="1" ht="19.5" customHeight="1">
      <c r="A56" s="829" t="s">
        <v>168</v>
      </c>
      <c r="B56" s="754">
        <v>0.6</v>
      </c>
      <c r="C56" s="754">
        <v>0.3</v>
      </c>
      <c r="D56" s="754">
        <v>0.2</v>
      </c>
      <c r="E56" s="754">
        <v>0.2</v>
      </c>
      <c r="F56" s="754">
        <v>0.2</v>
      </c>
      <c r="G56" s="754">
        <v>0.2</v>
      </c>
      <c r="H56" s="754">
        <v>0.15</v>
      </c>
    </row>
    <row r="58" spans="1:8" s="814" customFormat="1" ht="19.5" customHeight="1">
      <c r="A58" s="830"/>
      <c r="B58" s="812"/>
      <c r="C58" s="812"/>
      <c r="D58" s="812" t="s">
        <v>607</v>
      </c>
      <c r="E58" s="812"/>
      <c r="F58" s="812"/>
    </row>
    <row r="59" spans="1:8" s="814" customFormat="1" ht="19.5" customHeight="1">
      <c r="A59" s="818" t="s">
        <v>608</v>
      </c>
      <c r="B59" s="818" t="s">
        <v>609</v>
      </c>
      <c r="C59" s="818" t="s">
        <v>610</v>
      </c>
      <c r="D59" s="818" t="s">
        <v>611</v>
      </c>
      <c r="E59" s="818" t="s">
        <v>612</v>
      </c>
      <c r="F59" s="818" t="s">
        <v>613</v>
      </c>
    </row>
    <row r="60" spans="1:8" ht="13.5">
      <c r="A60" s="875"/>
      <c r="B60" s="875"/>
      <c r="C60" s="875" t="s">
        <v>745</v>
      </c>
      <c r="D60" s="875"/>
      <c r="E60" s="831" t="s">
        <v>1</v>
      </c>
      <c r="F60" s="875" t="s">
        <v>1</v>
      </c>
    </row>
    <row r="61" spans="1:8" s="814" customFormat="1" ht="24">
      <c r="A61" s="818">
        <v>1</v>
      </c>
      <c r="B61" s="3484" t="s">
        <v>614</v>
      </c>
      <c r="C61" s="754" t="s">
        <v>615</v>
      </c>
      <c r="D61" s="754" t="s">
        <v>616</v>
      </c>
      <c r="E61" s="831">
        <v>0.5</v>
      </c>
      <c r="F61" s="818">
        <v>80</v>
      </c>
    </row>
    <row r="62" spans="1:8" s="814" customFormat="1" ht="24">
      <c r="A62" s="818">
        <v>2</v>
      </c>
      <c r="B62" s="3484"/>
      <c r="C62" s="754" t="s">
        <v>617</v>
      </c>
      <c r="D62" s="754" t="s">
        <v>618</v>
      </c>
      <c r="E62" s="831">
        <v>0.5</v>
      </c>
      <c r="F62" s="818">
        <v>80</v>
      </c>
    </row>
    <row r="63" spans="1:8" s="814" customFormat="1" ht="36">
      <c r="A63" s="818">
        <v>3</v>
      </c>
      <c r="B63" s="3484"/>
      <c r="C63" s="754" t="s">
        <v>619</v>
      </c>
      <c r="D63" s="754" t="s">
        <v>620</v>
      </c>
      <c r="E63" s="831">
        <v>0.5</v>
      </c>
      <c r="F63" s="818">
        <v>80</v>
      </c>
    </row>
    <row r="64" spans="1:8" s="814" customFormat="1" ht="36">
      <c r="A64" s="818">
        <v>4</v>
      </c>
      <c r="B64" s="3484"/>
      <c r="C64" s="754" t="s">
        <v>621</v>
      </c>
      <c r="D64" s="754" t="s">
        <v>622</v>
      </c>
      <c r="E64" s="831">
        <v>0.4</v>
      </c>
      <c r="F64" s="818">
        <v>60</v>
      </c>
    </row>
    <row r="65" spans="1:6" s="814" customFormat="1" ht="36">
      <c r="A65" s="818">
        <v>5</v>
      </c>
      <c r="B65" s="3484"/>
      <c r="C65" s="754" t="s">
        <v>623</v>
      </c>
      <c r="D65" s="754" t="s">
        <v>624</v>
      </c>
      <c r="E65" s="831">
        <v>0.2</v>
      </c>
      <c r="F65" s="818">
        <v>30</v>
      </c>
    </row>
    <row r="66" spans="1:6" s="814" customFormat="1" ht="36">
      <c r="A66" s="818">
        <v>6</v>
      </c>
      <c r="B66" s="3484"/>
      <c r="C66" s="754" t="s">
        <v>625</v>
      </c>
      <c r="D66" s="754" t="s">
        <v>626</v>
      </c>
      <c r="E66" s="831">
        <v>0.3</v>
      </c>
      <c r="F66" s="818">
        <v>50</v>
      </c>
    </row>
    <row r="67" spans="1:6" s="814" customFormat="1" ht="36">
      <c r="A67" s="818">
        <v>7</v>
      </c>
      <c r="B67" s="3484"/>
      <c r="C67" s="754" t="s">
        <v>627</v>
      </c>
      <c r="D67" s="754" t="s">
        <v>628</v>
      </c>
      <c r="E67" s="831">
        <v>0.2</v>
      </c>
      <c r="F67" s="818">
        <v>30</v>
      </c>
    </row>
    <row r="68" spans="1:6" s="814" customFormat="1" ht="36">
      <c r="A68" s="818">
        <v>8</v>
      </c>
      <c r="B68" s="3484"/>
      <c r="C68" s="754" t="s">
        <v>629</v>
      </c>
      <c r="D68" s="754" t="s">
        <v>630</v>
      </c>
      <c r="E68" s="831">
        <v>0.2</v>
      </c>
      <c r="F68" s="818">
        <v>30</v>
      </c>
    </row>
    <row r="69" spans="1:6" s="814" customFormat="1" ht="36">
      <c r="A69" s="818">
        <v>9</v>
      </c>
      <c r="B69" s="3484"/>
      <c r="C69" s="754" t="s">
        <v>631</v>
      </c>
      <c r="D69" s="754" t="s">
        <v>632</v>
      </c>
      <c r="E69" s="831">
        <v>0.2</v>
      </c>
      <c r="F69" s="818">
        <v>30</v>
      </c>
    </row>
    <row r="70" spans="1:6" s="814" customFormat="1" ht="48">
      <c r="A70" s="818">
        <v>10</v>
      </c>
      <c r="B70" s="3484"/>
      <c r="C70" s="754" t="s">
        <v>633</v>
      </c>
      <c r="D70" s="754" t="s">
        <v>634</v>
      </c>
      <c r="E70" s="831">
        <v>0.2</v>
      </c>
      <c r="F70" s="818">
        <v>30</v>
      </c>
    </row>
    <row r="71" spans="1:6" s="814" customFormat="1" ht="48">
      <c r="A71" s="818">
        <v>11</v>
      </c>
      <c r="B71" s="3484"/>
      <c r="C71" s="754" t="s">
        <v>635</v>
      </c>
      <c r="D71" s="754" t="s">
        <v>636</v>
      </c>
      <c r="E71" s="831">
        <v>0.2</v>
      </c>
      <c r="F71" s="818">
        <v>30</v>
      </c>
    </row>
    <row r="72" spans="1:6" s="814" customFormat="1" ht="36">
      <c r="A72" s="818">
        <v>12</v>
      </c>
      <c r="B72" s="3484"/>
      <c r="C72" s="754" t="s">
        <v>637</v>
      </c>
      <c r="D72" s="754" t="s">
        <v>638</v>
      </c>
      <c r="E72" s="831">
        <v>0.5</v>
      </c>
      <c r="F72" s="818">
        <v>80</v>
      </c>
    </row>
    <row r="73" spans="1:6" s="814" customFormat="1" ht="24">
      <c r="A73" s="818">
        <v>13</v>
      </c>
      <c r="B73" s="3484"/>
      <c r="C73" s="754" t="s">
        <v>639</v>
      </c>
      <c r="D73" s="754" t="s">
        <v>640</v>
      </c>
      <c r="E73" s="831">
        <v>0.4</v>
      </c>
      <c r="F73" s="818">
        <v>60</v>
      </c>
    </row>
    <row r="74" spans="1:6" s="814" customFormat="1" ht="24">
      <c r="A74" s="818">
        <v>14</v>
      </c>
      <c r="B74" s="3484"/>
      <c r="C74" s="754" t="s">
        <v>641</v>
      </c>
      <c r="D74" s="754" t="s">
        <v>642</v>
      </c>
      <c r="E74" s="831">
        <v>0.2</v>
      </c>
      <c r="F74" s="818">
        <v>30</v>
      </c>
    </row>
    <row r="75" spans="1:6" s="814" customFormat="1" ht="24">
      <c r="A75" s="818">
        <v>15</v>
      </c>
      <c r="B75" s="3484"/>
      <c r="C75" s="754" t="s">
        <v>643</v>
      </c>
      <c r="D75" s="754" t="s">
        <v>644</v>
      </c>
      <c r="E75" s="831">
        <v>0.2</v>
      </c>
      <c r="F75" s="818">
        <v>30</v>
      </c>
    </row>
    <row r="76" spans="1:6" s="814" customFormat="1" ht="24">
      <c r="A76" s="818">
        <v>16</v>
      </c>
      <c r="B76" s="3484" t="s">
        <v>645</v>
      </c>
      <c r="C76" s="754" t="s">
        <v>646</v>
      </c>
      <c r="D76" s="754" t="s">
        <v>647</v>
      </c>
      <c r="E76" s="831">
        <v>0.5</v>
      </c>
      <c r="F76" s="818">
        <v>80</v>
      </c>
    </row>
    <row r="77" spans="1:6" s="814" customFormat="1" ht="24">
      <c r="A77" s="818">
        <v>17</v>
      </c>
      <c r="B77" s="3484"/>
      <c r="C77" s="754" t="s">
        <v>648</v>
      </c>
      <c r="D77" s="754" t="s">
        <v>649</v>
      </c>
      <c r="E77" s="831">
        <v>0.5</v>
      </c>
      <c r="F77" s="818">
        <v>80</v>
      </c>
    </row>
    <row r="78" spans="1:6" s="814" customFormat="1" ht="24">
      <c r="A78" s="818">
        <v>18</v>
      </c>
      <c r="B78" s="3484"/>
      <c r="C78" s="754" t="s">
        <v>650</v>
      </c>
      <c r="D78" s="754" t="s">
        <v>651</v>
      </c>
      <c r="E78" s="831">
        <v>0.2</v>
      </c>
      <c r="F78" s="818">
        <v>30</v>
      </c>
    </row>
    <row r="79" spans="1:6" s="814" customFormat="1" ht="24">
      <c r="A79" s="818">
        <v>19</v>
      </c>
      <c r="B79" s="3484"/>
      <c r="C79" s="754" t="s">
        <v>652</v>
      </c>
      <c r="D79" s="754" t="s">
        <v>653</v>
      </c>
      <c r="E79" s="831">
        <v>0.5</v>
      </c>
      <c r="F79" s="818">
        <v>80</v>
      </c>
    </row>
    <row r="80" spans="1:6" s="814" customFormat="1" ht="36">
      <c r="A80" s="818">
        <v>20</v>
      </c>
      <c r="B80" s="3484"/>
      <c r="C80" s="754" t="s">
        <v>654</v>
      </c>
      <c r="D80" s="754" t="s">
        <v>655</v>
      </c>
      <c r="E80" s="831">
        <v>0.2</v>
      </c>
      <c r="F80" s="818">
        <v>30</v>
      </c>
    </row>
    <row r="81" spans="1:6" s="814" customFormat="1" ht="36">
      <c r="A81" s="818">
        <v>21</v>
      </c>
      <c r="B81" s="3484"/>
      <c r="C81" s="754" t="s">
        <v>656</v>
      </c>
      <c r="D81" s="754" t="s">
        <v>657</v>
      </c>
      <c r="E81" s="831">
        <v>0.2</v>
      </c>
      <c r="F81" s="818">
        <v>30</v>
      </c>
    </row>
    <row r="82" spans="1:6" s="814" customFormat="1" ht="48">
      <c r="A82" s="818">
        <v>22</v>
      </c>
      <c r="B82" s="3484"/>
      <c r="C82" s="754" t="s">
        <v>658</v>
      </c>
      <c r="D82" s="754" t="s">
        <v>659</v>
      </c>
      <c r="E82" s="831">
        <v>0.2</v>
      </c>
      <c r="F82" s="818">
        <v>30</v>
      </c>
    </row>
    <row r="83" spans="1:6" s="814" customFormat="1" ht="48">
      <c r="A83" s="818">
        <v>23</v>
      </c>
      <c r="B83" s="3484"/>
      <c r="C83" s="754" t="s">
        <v>660</v>
      </c>
      <c r="D83" s="754" t="s">
        <v>661</v>
      </c>
      <c r="E83" s="831">
        <v>0.2</v>
      </c>
      <c r="F83" s="818">
        <v>30</v>
      </c>
    </row>
    <row r="84" spans="1:6" s="814" customFormat="1" ht="36">
      <c r="A84" s="818">
        <v>24</v>
      </c>
      <c r="B84" s="3484"/>
      <c r="C84" s="754" t="s">
        <v>662</v>
      </c>
      <c r="D84" s="754" t="s">
        <v>663</v>
      </c>
      <c r="E84" s="831">
        <v>0.2</v>
      </c>
      <c r="F84" s="818">
        <v>30</v>
      </c>
    </row>
    <row r="85" spans="1:6" s="814" customFormat="1" ht="36">
      <c r="A85" s="818">
        <v>25</v>
      </c>
      <c r="B85" s="3484"/>
      <c r="C85" s="754" t="s">
        <v>664</v>
      </c>
      <c r="D85" s="754" t="s">
        <v>665</v>
      </c>
      <c r="E85" s="831">
        <v>0.5</v>
      </c>
      <c r="F85" s="818">
        <v>80</v>
      </c>
    </row>
    <row r="86" spans="1:6" s="814" customFormat="1" ht="36">
      <c r="A86" s="818">
        <v>26</v>
      </c>
      <c r="B86" s="3484"/>
      <c r="C86" s="754" t="s">
        <v>666</v>
      </c>
      <c r="D86" s="754" t="s">
        <v>667</v>
      </c>
      <c r="E86" s="831">
        <v>0.2</v>
      </c>
      <c r="F86" s="818">
        <v>30</v>
      </c>
    </row>
    <row r="87" spans="1:6" s="814" customFormat="1" ht="36">
      <c r="A87" s="818">
        <v>27</v>
      </c>
      <c r="B87" s="3484"/>
      <c r="C87" s="754" t="s">
        <v>668</v>
      </c>
      <c r="D87" s="754" t="s">
        <v>669</v>
      </c>
      <c r="E87" s="831">
        <v>0.2</v>
      </c>
      <c r="F87" s="818">
        <v>30</v>
      </c>
    </row>
    <row r="88" spans="1:6" s="814" customFormat="1" ht="36">
      <c r="A88" s="818">
        <v>28</v>
      </c>
      <c r="B88" s="3484"/>
      <c r="C88" s="754" t="s">
        <v>670</v>
      </c>
      <c r="D88" s="754" t="s">
        <v>671</v>
      </c>
      <c r="E88" s="831">
        <v>0.2</v>
      </c>
      <c r="F88" s="818">
        <v>30</v>
      </c>
    </row>
    <row r="89" spans="1:6" s="814" customFormat="1" ht="24">
      <c r="A89" s="818">
        <v>29</v>
      </c>
      <c r="B89" s="3484"/>
      <c r="C89" s="754" t="s">
        <v>672</v>
      </c>
      <c r="D89" s="754" t="s">
        <v>673</v>
      </c>
      <c r="E89" s="831">
        <v>0.2</v>
      </c>
      <c r="F89" s="818">
        <v>30</v>
      </c>
    </row>
    <row r="90" spans="1:6" s="814" customFormat="1" ht="24">
      <c r="A90" s="818">
        <v>30</v>
      </c>
      <c r="B90" s="3484"/>
      <c r="C90" s="754" t="s">
        <v>674</v>
      </c>
      <c r="D90" s="754" t="s">
        <v>675</v>
      </c>
      <c r="E90" s="831">
        <v>0.2</v>
      </c>
      <c r="F90" s="818">
        <v>30</v>
      </c>
    </row>
    <row r="91" spans="1:6" s="814" customFormat="1" ht="36">
      <c r="A91" s="818">
        <v>31</v>
      </c>
      <c r="B91" s="3484"/>
      <c r="C91" s="754" t="s">
        <v>676</v>
      </c>
      <c r="D91" s="754" t="s">
        <v>677</v>
      </c>
      <c r="E91" s="831">
        <v>0.2</v>
      </c>
      <c r="F91" s="818">
        <v>30</v>
      </c>
    </row>
    <row r="92" spans="1:6" s="814" customFormat="1" ht="24">
      <c r="A92" s="818">
        <v>32</v>
      </c>
      <c r="B92" s="3484" t="s">
        <v>678</v>
      </c>
      <c r="C92" s="818" t="s">
        <v>679</v>
      </c>
      <c r="D92" s="754" t="s">
        <v>680</v>
      </c>
      <c r="E92" s="831">
        <v>0.2</v>
      </c>
      <c r="F92" s="818">
        <v>30</v>
      </c>
    </row>
    <row r="93" spans="1:6" s="814" customFormat="1" ht="36">
      <c r="A93" s="818">
        <v>33</v>
      </c>
      <c r="B93" s="3484"/>
      <c r="C93" s="818" t="s">
        <v>681</v>
      </c>
      <c r="D93" s="754" t="s">
        <v>682</v>
      </c>
      <c r="E93" s="831">
        <v>0.2</v>
      </c>
      <c r="F93" s="818">
        <v>30</v>
      </c>
    </row>
    <row r="94" spans="1:6" s="814" customFormat="1" ht="48">
      <c r="A94" s="818">
        <v>34</v>
      </c>
      <c r="B94" s="3484"/>
      <c r="C94" s="818" t="s">
        <v>683</v>
      </c>
      <c r="D94" s="754" t="s">
        <v>684</v>
      </c>
      <c r="E94" s="831">
        <v>0.2</v>
      </c>
      <c r="F94" s="818">
        <v>30</v>
      </c>
    </row>
    <row r="95" spans="1:6" s="814" customFormat="1" ht="36">
      <c r="A95" s="818">
        <v>35</v>
      </c>
      <c r="B95" s="3484"/>
      <c r="C95" s="818" t="s">
        <v>685</v>
      </c>
      <c r="D95" s="754" t="s">
        <v>686</v>
      </c>
      <c r="E95" s="831">
        <v>0.2</v>
      </c>
      <c r="F95" s="818">
        <v>30</v>
      </c>
    </row>
    <row r="96" spans="1:6" s="814" customFormat="1" ht="48">
      <c r="A96" s="818">
        <v>36</v>
      </c>
      <c r="B96" s="3484"/>
      <c r="C96" s="754" t="s">
        <v>687</v>
      </c>
      <c r="D96" s="754" t="s">
        <v>688</v>
      </c>
      <c r="E96" s="831">
        <v>0.2</v>
      </c>
      <c r="F96" s="818">
        <v>30</v>
      </c>
    </row>
    <row r="97" spans="1:6" s="814" customFormat="1" ht="36">
      <c r="A97" s="818">
        <v>37</v>
      </c>
      <c r="B97" s="3484"/>
      <c r="C97" s="818" t="s">
        <v>689</v>
      </c>
      <c r="D97" s="754" t="s">
        <v>690</v>
      </c>
      <c r="E97" s="831">
        <v>0.2</v>
      </c>
      <c r="F97" s="818">
        <v>30</v>
      </c>
    </row>
    <row r="98" spans="1:6" s="814" customFormat="1" ht="36">
      <c r="A98" s="818">
        <v>38</v>
      </c>
      <c r="B98" s="3484"/>
      <c r="C98" s="818" t="s">
        <v>691</v>
      </c>
      <c r="D98" s="754" t="s">
        <v>692</v>
      </c>
      <c r="E98" s="831">
        <v>0.2</v>
      </c>
      <c r="F98" s="818">
        <v>30</v>
      </c>
    </row>
    <row r="99" spans="1:6" s="814" customFormat="1" ht="36">
      <c r="A99" s="818">
        <v>39</v>
      </c>
      <c r="B99" s="3484" t="s">
        <v>693</v>
      </c>
      <c r="C99" s="818" t="s">
        <v>694</v>
      </c>
      <c r="D99" s="754" t="s">
        <v>695</v>
      </c>
      <c r="E99" s="831">
        <v>0.3</v>
      </c>
      <c r="F99" s="818">
        <v>50</v>
      </c>
    </row>
    <row r="100" spans="1:6" s="814" customFormat="1" ht="24">
      <c r="A100" s="818">
        <v>40</v>
      </c>
      <c r="B100" s="3484"/>
      <c r="C100" s="818" t="s">
        <v>696</v>
      </c>
      <c r="D100" s="754" t="s">
        <v>697</v>
      </c>
      <c r="E100" s="831">
        <v>0.2</v>
      </c>
      <c r="F100" s="818">
        <v>30</v>
      </c>
    </row>
    <row r="101" spans="1:6" s="814" customFormat="1" ht="36">
      <c r="A101" s="818">
        <v>41</v>
      </c>
      <c r="B101" s="3484"/>
      <c r="C101" s="818" t="s">
        <v>698</v>
      </c>
      <c r="D101" s="754" t="s">
        <v>695</v>
      </c>
      <c r="E101" s="831">
        <v>0.2</v>
      </c>
      <c r="F101" s="818">
        <v>30</v>
      </c>
    </row>
    <row r="102" spans="1:6" s="814" customFormat="1" ht="48">
      <c r="A102" s="818">
        <v>42</v>
      </c>
      <c r="B102" s="818" t="s">
        <v>699</v>
      </c>
      <c r="C102" s="754" t="s">
        <v>700</v>
      </c>
      <c r="D102" s="754" t="s">
        <v>701</v>
      </c>
      <c r="E102" s="831">
        <v>0.2</v>
      </c>
      <c r="F102" s="818">
        <v>30</v>
      </c>
    </row>
    <row r="103" spans="1:6" s="814" customFormat="1" ht="24">
      <c r="A103" s="818">
        <v>43</v>
      </c>
      <c r="B103" s="818" t="s">
        <v>702</v>
      </c>
      <c r="C103" s="818" t="s">
        <v>703</v>
      </c>
      <c r="D103" s="754" t="s">
        <v>704</v>
      </c>
      <c r="E103" s="831">
        <v>0.2</v>
      </c>
      <c r="F103" s="818">
        <v>30</v>
      </c>
    </row>
    <row r="104" spans="1:6" s="814" customFormat="1" ht="36">
      <c r="A104" s="818">
        <v>44</v>
      </c>
      <c r="B104" s="818" t="s">
        <v>705</v>
      </c>
      <c r="C104" s="818" t="s">
        <v>706</v>
      </c>
      <c r="D104" s="754" t="s">
        <v>707</v>
      </c>
      <c r="E104" s="831">
        <v>0.2</v>
      </c>
      <c r="F104" s="818">
        <v>30</v>
      </c>
    </row>
    <row r="105" spans="1:6" s="814" customFormat="1" ht="36">
      <c r="A105" s="818">
        <v>45</v>
      </c>
      <c r="B105" s="3484" t="s">
        <v>708</v>
      </c>
      <c r="C105" s="818" t="s">
        <v>709</v>
      </c>
      <c r="D105" s="754" t="s">
        <v>710</v>
      </c>
      <c r="E105" s="831">
        <v>0.2</v>
      </c>
      <c r="F105" s="818">
        <v>30</v>
      </c>
    </row>
    <row r="106" spans="1:6" s="814" customFormat="1" ht="36">
      <c r="A106" s="818">
        <v>46</v>
      </c>
      <c r="B106" s="3484"/>
      <c r="C106" s="818" t="s">
        <v>711</v>
      </c>
      <c r="D106" s="754" t="s">
        <v>712</v>
      </c>
      <c r="E106" s="831">
        <v>0.2</v>
      </c>
      <c r="F106" s="818">
        <v>30</v>
      </c>
    </row>
    <row r="107" spans="1:6" s="814" customFormat="1" ht="36">
      <c r="A107" s="818">
        <v>47</v>
      </c>
      <c r="B107" s="3484" t="s">
        <v>713</v>
      </c>
      <c r="C107" s="818" t="s">
        <v>714</v>
      </c>
      <c r="D107" s="754" t="s">
        <v>715</v>
      </c>
      <c r="E107" s="831">
        <v>0.3</v>
      </c>
      <c r="F107" s="818">
        <v>50</v>
      </c>
    </row>
    <row r="108" spans="1:6" s="814" customFormat="1" ht="36">
      <c r="A108" s="818">
        <v>48</v>
      </c>
      <c r="B108" s="3484"/>
      <c r="C108" s="818" t="s">
        <v>716</v>
      </c>
      <c r="D108" s="754" t="s">
        <v>717</v>
      </c>
      <c r="E108" s="831">
        <v>0.2</v>
      </c>
      <c r="F108" s="818">
        <v>30</v>
      </c>
    </row>
    <row r="109" spans="1:6" s="814" customFormat="1" ht="36">
      <c r="A109" s="818">
        <v>49</v>
      </c>
      <c r="B109" s="818" t="s">
        <v>718</v>
      </c>
      <c r="C109" s="818" t="s">
        <v>719</v>
      </c>
      <c r="D109" s="754" t="s">
        <v>720</v>
      </c>
      <c r="E109" s="831">
        <v>0.2</v>
      </c>
      <c r="F109" s="818">
        <v>30</v>
      </c>
    </row>
    <row r="110" spans="1:6" s="814" customFormat="1" ht="36">
      <c r="A110" s="818">
        <v>50</v>
      </c>
      <c r="B110" s="818" t="s">
        <v>721</v>
      </c>
      <c r="C110" s="818" t="s">
        <v>722</v>
      </c>
      <c r="D110" s="754" t="s">
        <v>723</v>
      </c>
      <c r="E110" s="831">
        <v>0.2</v>
      </c>
      <c r="F110" s="818">
        <v>30</v>
      </c>
    </row>
    <row r="111" spans="1:6" s="814" customFormat="1" ht="36">
      <c r="A111" s="818">
        <v>51</v>
      </c>
      <c r="B111" s="3484" t="s">
        <v>724</v>
      </c>
      <c r="C111" s="818" t="s">
        <v>725</v>
      </c>
      <c r="D111" s="754" t="s">
        <v>726</v>
      </c>
      <c r="E111" s="831">
        <v>0.2</v>
      </c>
      <c r="F111" s="818">
        <v>30</v>
      </c>
    </row>
    <row r="112" spans="1:6" s="814" customFormat="1" ht="24">
      <c r="A112" s="818">
        <v>52</v>
      </c>
      <c r="B112" s="3484"/>
      <c r="C112" s="818" t="s">
        <v>727</v>
      </c>
      <c r="D112" s="754" t="s">
        <v>728</v>
      </c>
      <c r="E112" s="831">
        <v>0.2</v>
      </c>
      <c r="F112" s="818">
        <v>30</v>
      </c>
    </row>
    <row r="113" spans="1:6" s="814" customFormat="1" ht="24">
      <c r="A113" s="818">
        <v>53</v>
      </c>
      <c r="B113" s="3484"/>
      <c r="C113" s="818" t="s">
        <v>729</v>
      </c>
      <c r="D113" s="754" t="s">
        <v>730</v>
      </c>
      <c r="E113" s="831">
        <v>0.2</v>
      </c>
      <c r="F113" s="818">
        <v>30</v>
      </c>
    </row>
    <row r="114" spans="1:6" ht="36">
      <c r="A114" s="818">
        <v>54</v>
      </c>
      <c r="B114" s="818" t="s">
        <v>731</v>
      </c>
      <c r="C114" s="818" t="s">
        <v>732</v>
      </c>
      <c r="D114" s="754" t="s">
        <v>733</v>
      </c>
      <c r="E114" s="831">
        <v>0.2</v>
      </c>
      <c r="F114" s="818">
        <v>30</v>
      </c>
    </row>
    <row r="115" spans="1:6" ht="24">
      <c r="A115" s="818">
        <v>55</v>
      </c>
      <c r="B115" s="818" t="s">
        <v>734</v>
      </c>
      <c r="C115" s="818" t="s">
        <v>735</v>
      </c>
      <c r="D115" s="754" t="s">
        <v>736</v>
      </c>
      <c r="E115" s="831">
        <v>0.2</v>
      </c>
      <c r="F115" s="818">
        <v>30</v>
      </c>
    </row>
    <row r="116" spans="1:6" ht="24">
      <c r="A116" s="818">
        <v>56</v>
      </c>
      <c r="B116" s="3484" t="s">
        <v>737</v>
      </c>
      <c r="C116" s="818" t="s">
        <v>738</v>
      </c>
      <c r="D116" s="754" t="s">
        <v>739</v>
      </c>
      <c r="E116" s="831">
        <v>0.2</v>
      </c>
      <c r="F116" s="818">
        <v>30</v>
      </c>
    </row>
    <row r="117" spans="1:6" ht="36">
      <c r="A117" s="818">
        <v>57</v>
      </c>
      <c r="B117" s="3484"/>
      <c r="C117" s="818" t="s">
        <v>740</v>
      </c>
      <c r="D117" s="754" t="s">
        <v>741</v>
      </c>
      <c r="E117" s="831">
        <v>0.2</v>
      </c>
      <c r="F117" s="818">
        <v>30</v>
      </c>
    </row>
    <row r="118" spans="1:6" ht="36">
      <c r="A118" s="818">
        <v>58</v>
      </c>
      <c r="B118" s="818" t="s">
        <v>742</v>
      </c>
      <c r="C118" s="818" t="s">
        <v>743</v>
      </c>
      <c r="D118" s="754" t="s">
        <v>744</v>
      </c>
      <c r="E118" s="831">
        <v>0.2</v>
      </c>
      <c r="F118" s="818">
        <v>30</v>
      </c>
    </row>
    <row r="119" spans="1:6" ht="13.5">
      <c r="A119" s="818"/>
      <c r="B119" s="818"/>
      <c r="C119" s="818" t="s">
        <v>745</v>
      </c>
      <c r="D119" s="818"/>
      <c r="E119" s="831" t="s">
        <v>555</v>
      </c>
      <c r="F119" s="818" t="s">
        <v>555</v>
      </c>
    </row>
  </sheetData>
  <sheetProtection sheet="1" objects="1" scenarios="1" formatCells="0" formatColumns="0" formatRows="0"/>
  <mergeCells count="15">
    <mergeCell ref="B111:B113"/>
    <mergeCell ref="B116:B117"/>
    <mergeCell ref="B107:B108"/>
    <mergeCell ref="A18:A22"/>
    <mergeCell ref="B19:B22"/>
    <mergeCell ref="A23:A32"/>
    <mergeCell ref="B24:B32"/>
    <mergeCell ref="A33:A34"/>
    <mergeCell ref="A35:A39"/>
    <mergeCell ref="B36:B39"/>
    <mergeCell ref="B61:B75"/>
    <mergeCell ref="B76:B91"/>
    <mergeCell ref="B92:B98"/>
    <mergeCell ref="B99:B101"/>
    <mergeCell ref="B105:B106"/>
  </mergeCells>
  <phoneticPr fontId="78" type="noConversion"/>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V30" sqref="V30"/>
    </sheetView>
  </sheetViews>
  <sheetFormatPr defaultColWidth="9" defaultRowHeight="13.5"/>
  <cols>
    <col min="1" max="1" width="9" style="851"/>
    <col min="2" max="16384" width="9" style="834"/>
  </cols>
  <sheetData>
    <row r="1" spans="1:14" ht="14.25">
      <c r="A1" s="832" t="s">
        <v>747</v>
      </c>
      <c r="B1" s="833"/>
      <c r="C1" s="833"/>
      <c r="D1" s="833"/>
      <c r="E1" s="833"/>
      <c r="F1" s="833"/>
      <c r="G1" s="833"/>
      <c r="H1" s="833"/>
      <c r="I1" s="833"/>
      <c r="J1" s="833"/>
      <c r="K1" s="833"/>
      <c r="L1" s="833"/>
      <c r="M1" s="833"/>
      <c r="N1" s="833"/>
    </row>
    <row r="2" spans="1:14">
      <c r="A2" s="835" t="s">
        <v>746</v>
      </c>
      <c r="B2" s="836" t="s">
        <v>157</v>
      </c>
      <c r="C2" s="836" t="s">
        <v>158</v>
      </c>
      <c r="D2" s="836" t="s">
        <v>159</v>
      </c>
      <c r="E2" s="836" t="s">
        <v>160</v>
      </c>
      <c r="F2" s="836" t="s">
        <v>161</v>
      </c>
      <c r="G2" s="836" t="s">
        <v>162</v>
      </c>
      <c r="H2" s="837" t="s">
        <v>163</v>
      </c>
      <c r="I2" s="837" t="s">
        <v>164</v>
      </c>
      <c r="J2" s="838" t="s">
        <v>165</v>
      </c>
      <c r="K2" s="838" t="s">
        <v>166</v>
      </c>
      <c r="L2" s="838" t="s">
        <v>167</v>
      </c>
      <c r="M2" s="838" t="s">
        <v>168</v>
      </c>
    </row>
    <row r="3" spans="1:14">
      <c r="A3" s="835">
        <v>0.1</v>
      </c>
      <c r="B3" s="842">
        <v>15.052</v>
      </c>
      <c r="C3" s="842">
        <v>15.052</v>
      </c>
      <c r="D3" s="842">
        <v>14.263</v>
      </c>
      <c r="E3" s="842">
        <v>14.263</v>
      </c>
      <c r="F3" s="842">
        <v>14.263</v>
      </c>
      <c r="G3" s="842">
        <v>14.263</v>
      </c>
      <c r="H3" s="842">
        <v>14.263</v>
      </c>
      <c r="I3" s="842">
        <v>14.097</v>
      </c>
      <c r="J3" s="842">
        <v>14.097</v>
      </c>
      <c r="K3" s="842">
        <v>14.097</v>
      </c>
      <c r="L3" s="842">
        <v>14.097</v>
      </c>
      <c r="M3" s="842">
        <v>14.097</v>
      </c>
      <c r="N3" s="843"/>
    </row>
    <row r="4" spans="1:14">
      <c r="A4" s="835">
        <v>0.2</v>
      </c>
      <c r="B4" s="842">
        <v>7.5259999999999998</v>
      </c>
      <c r="C4" s="842">
        <v>7.5259999999999998</v>
      </c>
      <c r="D4" s="842">
        <v>7.1315</v>
      </c>
      <c r="E4" s="842">
        <v>7.1315</v>
      </c>
      <c r="F4" s="842">
        <v>7.1315</v>
      </c>
      <c r="G4" s="842">
        <v>7.1315</v>
      </c>
      <c r="H4" s="842">
        <v>7.1315</v>
      </c>
      <c r="I4" s="842">
        <v>7.0484999999999998</v>
      </c>
      <c r="J4" s="842">
        <v>7.0484999999999998</v>
      </c>
      <c r="K4" s="842">
        <v>7.0484999999999998</v>
      </c>
      <c r="L4" s="842">
        <v>7.0484999999999998</v>
      </c>
      <c r="M4" s="842">
        <v>7.0484999999999998</v>
      </c>
    </row>
    <row r="5" spans="1:14">
      <c r="A5" s="835">
        <v>0.3</v>
      </c>
      <c r="B5" s="842">
        <v>5.0172999999999996</v>
      </c>
      <c r="C5" s="842">
        <v>5.0172999999999996</v>
      </c>
      <c r="D5" s="842">
        <v>4.7542999999999997</v>
      </c>
      <c r="E5" s="842">
        <v>4.7542999999999997</v>
      </c>
      <c r="F5" s="842">
        <v>4.7542999999999997</v>
      </c>
      <c r="G5" s="842">
        <v>4.7542999999999997</v>
      </c>
      <c r="H5" s="842">
        <v>4.7542999999999997</v>
      </c>
      <c r="I5" s="842">
        <v>4.6989999999999998</v>
      </c>
      <c r="J5" s="842">
        <v>4.6989999999999998</v>
      </c>
      <c r="K5" s="842">
        <v>4.6989999999999998</v>
      </c>
      <c r="L5" s="842">
        <v>4.6989999999999998</v>
      </c>
      <c r="M5" s="842">
        <v>4.6989999999999998</v>
      </c>
    </row>
    <row r="6" spans="1:14">
      <c r="A6" s="835">
        <v>0.4</v>
      </c>
      <c r="B6" s="842">
        <v>3.7629999999999999</v>
      </c>
      <c r="C6" s="842">
        <v>3.7629999999999999</v>
      </c>
      <c r="D6" s="842">
        <v>3.5657999999999999</v>
      </c>
      <c r="E6" s="842">
        <v>3.5657999999999999</v>
      </c>
      <c r="F6" s="842">
        <v>3.5657999999999999</v>
      </c>
      <c r="G6" s="842">
        <v>3.5657999999999999</v>
      </c>
      <c r="H6" s="842">
        <v>3.5657999999999999</v>
      </c>
      <c r="I6" s="842">
        <v>3.5243000000000002</v>
      </c>
      <c r="J6" s="842">
        <v>3.5243000000000002</v>
      </c>
      <c r="K6" s="842">
        <v>3.5243000000000002</v>
      </c>
      <c r="L6" s="842">
        <v>3.5243000000000002</v>
      </c>
      <c r="M6" s="842">
        <v>3.5243000000000002</v>
      </c>
    </row>
    <row r="7" spans="1:14">
      <c r="A7" s="835">
        <v>0.5</v>
      </c>
      <c r="B7" s="842">
        <v>3.0104000000000002</v>
      </c>
      <c r="C7" s="842">
        <v>3.0104000000000002</v>
      </c>
      <c r="D7" s="842">
        <v>2.8525999999999998</v>
      </c>
      <c r="E7" s="842">
        <v>2.8525999999999998</v>
      </c>
      <c r="F7" s="842">
        <v>2.8525999999999998</v>
      </c>
      <c r="G7" s="842">
        <v>2.8525999999999998</v>
      </c>
      <c r="H7" s="842">
        <v>2.8525999999999998</v>
      </c>
      <c r="I7" s="842">
        <v>2.8193999999999999</v>
      </c>
      <c r="J7" s="842">
        <v>2.8193999999999999</v>
      </c>
      <c r="K7" s="842">
        <v>2.8193999999999999</v>
      </c>
      <c r="L7" s="842">
        <v>2.8193999999999999</v>
      </c>
      <c r="M7" s="842">
        <v>2.8193999999999999</v>
      </c>
    </row>
    <row r="8" spans="1:14">
      <c r="A8" s="835">
        <v>0.6</v>
      </c>
      <c r="B8" s="842">
        <v>2.5087000000000002</v>
      </c>
      <c r="C8" s="842">
        <v>2.5087000000000002</v>
      </c>
      <c r="D8" s="842">
        <v>2.3772000000000002</v>
      </c>
      <c r="E8" s="842">
        <v>2.3772000000000002</v>
      </c>
      <c r="F8" s="842">
        <v>2.3772000000000002</v>
      </c>
      <c r="G8" s="842">
        <v>2.3772000000000002</v>
      </c>
      <c r="H8" s="842">
        <v>2.3772000000000002</v>
      </c>
      <c r="I8" s="842">
        <v>2.3494999999999999</v>
      </c>
      <c r="J8" s="842">
        <v>2.3494999999999999</v>
      </c>
      <c r="K8" s="842">
        <v>2.3494999999999999</v>
      </c>
      <c r="L8" s="842">
        <v>2.3494999999999999</v>
      </c>
      <c r="M8" s="842">
        <v>2.3494999999999999</v>
      </c>
    </row>
    <row r="9" spans="1:14">
      <c r="A9" s="835">
        <v>0.7</v>
      </c>
      <c r="B9" s="842">
        <v>2.1503000000000001</v>
      </c>
      <c r="C9" s="842">
        <v>2.1503000000000001</v>
      </c>
      <c r="D9" s="842">
        <v>2.0375999999999999</v>
      </c>
      <c r="E9" s="842">
        <v>2.0375999999999999</v>
      </c>
      <c r="F9" s="842">
        <v>2.0375999999999999</v>
      </c>
      <c r="G9" s="842">
        <v>2.0375999999999999</v>
      </c>
      <c r="H9" s="842">
        <v>2.0375999999999999</v>
      </c>
      <c r="I9" s="842">
        <v>2.0139</v>
      </c>
      <c r="J9" s="842">
        <v>2.0139</v>
      </c>
      <c r="K9" s="842">
        <v>2.0139</v>
      </c>
      <c r="L9" s="842">
        <v>2.0139</v>
      </c>
      <c r="M9" s="842">
        <v>2.0139</v>
      </c>
    </row>
    <row r="10" spans="1:14">
      <c r="A10" s="835">
        <v>0.8</v>
      </c>
      <c r="B10" s="842">
        <v>1.8815</v>
      </c>
      <c r="C10" s="842">
        <v>1.8815</v>
      </c>
      <c r="D10" s="842">
        <v>1.7828999999999999</v>
      </c>
      <c r="E10" s="842">
        <v>1.7828999999999999</v>
      </c>
      <c r="F10" s="842">
        <v>1.7828999999999999</v>
      </c>
      <c r="G10" s="842">
        <v>1.7828999999999999</v>
      </c>
      <c r="H10" s="842">
        <v>1.7828999999999999</v>
      </c>
      <c r="I10" s="842">
        <v>1.7621</v>
      </c>
      <c r="J10" s="842">
        <v>1.7621</v>
      </c>
      <c r="K10" s="842">
        <v>1.7621</v>
      </c>
      <c r="L10" s="842">
        <v>1.7621</v>
      </c>
      <c r="M10" s="842">
        <v>1.7621</v>
      </c>
    </row>
    <row r="11" spans="1:14">
      <c r="A11" s="835">
        <v>0.9</v>
      </c>
      <c r="B11" s="842">
        <v>1.6724000000000001</v>
      </c>
      <c r="C11" s="842">
        <v>1.6724000000000001</v>
      </c>
      <c r="D11" s="842">
        <v>1.5848</v>
      </c>
      <c r="E11" s="842">
        <v>1.5848</v>
      </c>
      <c r="F11" s="842">
        <v>1.5848</v>
      </c>
      <c r="G11" s="842">
        <v>1.5848</v>
      </c>
      <c r="H11" s="842">
        <v>1.5848</v>
      </c>
      <c r="I11" s="842">
        <v>1.5663</v>
      </c>
      <c r="J11" s="842">
        <v>1.5663</v>
      </c>
      <c r="K11" s="842">
        <v>1.5663</v>
      </c>
      <c r="L11" s="842">
        <v>1.5663</v>
      </c>
      <c r="M11" s="842">
        <v>1.5663</v>
      </c>
    </row>
    <row r="12" spans="1:14">
      <c r="A12" s="835">
        <v>1</v>
      </c>
      <c r="B12" s="842">
        <v>1.5052000000000001</v>
      </c>
      <c r="C12" s="842">
        <v>1.5052000000000001</v>
      </c>
      <c r="D12" s="842">
        <v>1.4262999999999999</v>
      </c>
      <c r="E12" s="842">
        <v>1.4262999999999999</v>
      </c>
      <c r="F12" s="842">
        <v>1.4262999999999999</v>
      </c>
      <c r="G12" s="842">
        <v>1.4262999999999999</v>
      </c>
      <c r="H12" s="842">
        <v>1.4262999999999999</v>
      </c>
      <c r="I12" s="842">
        <v>1.4097</v>
      </c>
      <c r="J12" s="842">
        <v>1.4097</v>
      </c>
      <c r="K12" s="842">
        <v>1.4097</v>
      </c>
      <c r="L12" s="842">
        <v>1.4097</v>
      </c>
      <c r="M12" s="842">
        <v>1.4097</v>
      </c>
    </row>
    <row r="13" spans="1:14">
      <c r="A13" s="835">
        <v>1.1000000000000001</v>
      </c>
      <c r="B13" s="842">
        <v>1.4509000000000001</v>
      </c>
      <c r="C13" s="842">
        <v>1.4509000000000001</v>
      </c>
      <c r="D13" s="842">
        <v>1.3697999999999999</v>
      </c>
      <c r="E13" s="842">
        <v>1.3697999999999999</v>
      </c>
      <c r="F13" s="842">
        <v>1.3697999999999999</v>
      </c>
      <c r="G13" s="842">
        <v>1.3697999999999999</v>
      </c>
      <c r="H13" s="842">
        <v>1.3697999999999999</v>
      </c>
      <c r="I13" s="842">
        <v>1.343</v>
      </c>
      <c r="J13" s="842">
        <v>1.343</v>
      </c>
      <c r="K13" s="842">
        <v>1.343</v>
      </c>
      <c r="L13" s="842">
        <v>1.343</v>
      </c>
      <c r="M13" s="842">
        <v>1.343</v>
      </c>
    </row>
    <row r="14" spans="1:14">
      <c r="A14" s="835">
        <v>1.2</v>
      </c>
      <c r="B14" s="842">
        <v>1.4035</v>
      </c>
      <c r="C14" s="842">
        <v>1.4035</v>
      </c>
      <c r="D14" s="842">
        <v>1.3205</v>
      </c>
      <c r="E14" s="842">
        <v>1.3205</v>
      </c>
      <c r="F14" s="842">
        <v>1.3205</v>
      </c>
      <c r="G14" s="842">
        <v>1.3205</v>
      </c>
      <c r="H14" s="842">
        <v>1.3205</v>
      </c>
      <c r="I14" s="842">
        <v>1.2845</v>
      </c>
      <c r="J14" s="842">
        <v>1.2845</v>
      </c>
      <c r="K14" s="842">
        <v>1.2845</v>
      </c>
      <c r="L14" s="842">
        <v>1.2845</v>
      </c>
      <c r="M14" s="842">
        <v>1.2845</v>
      </c>
    </row>
    <row r="15" spans="1:14">
      <c r="A15" s="835">
        <v>1.3</v>
      </c>
      <c r="B15" s="842">
        <v>1.3622000000000001</v>
      </c>
      <c r="C15" s="842">
        <v>1.3622000000000001</v>
      </c>
      <c r="D15" s="842">
        <v>1.2775000000000001</v>
      </c>
      <c r="E15" s="842">
        <v>1.2775000000000001</v>
      </c>
      <c r="F15" s="842">
        <v>1.2775000000000001</v>
      </c>
      <c r="G15" s="842">
        <v>1.2775000000000001</v>
      </c>
      <c r="H15" s="842">
        <v>1.2775000000000001</v>
      </c>
      <c r="I15" s="842">
        <v>1.2332000000000001</v>
      </c>
      <c r="J15" s="842">
        <v>1.2332000000000001</v>
      </c>
      <c r="K15" s="842">
        <v>1.2332000000000001</v>
      </c>
      <c r="L15" s="842">
        <v>1.2332000000000001</v>
      </c>
      <c r="M15" s="842">
        <v>1.2332000000000001</v>
      </c>
    </row>
    <row r="16" spans="1:14">
      <c r="A16" s="835">
        <v>1.4</v>
      </c>
      <c r="B16" s="842">
        <v>1.3262</v>
      </c>
      <c r="C16" s="842">
        <v>1.3262</v>
      </c>
      <c r="D16" s="842">
        <v>1.2402</v>
      </c>
      <c r="E16" s="842">
        <v>1.2402</v>
      </c>
      <c r="F16" s="842">
        <v>1.2402</v>
      </c>
      <c r="G16" s="842">
        <v>1.2402</v>
      </c>
      <c r="H16" s="842">
        <v>1.2402</v>
      </c>
      <c r="I16" s="842">
        <v>1.1881999999999999</v>
      </c>
      <c r="J16" s="842">
        <v>1.1881999999999999</v>
      </c>
      <c r="K16" s="842">
        <v>1.1881999999999999</v>
      </c>
      <c r="L16" s="842">
        <v>1.1881999999999999</v>
      </c>
      <c r="M16" s="842">
        <v>1.1881999999999999</v>
      </c>
      <c r="N16" s="843"/>
    </row>
    <row r="17" spans="1:14">
      <c r="A17" s="835">
        <v>1.5</v>
      </c>
      <c r="B17" s="842">
        <v>1.2948</v>
      </c>
      <c r="C17" s="842">
        <v>1.2948</v>
      </c>
      <c r="D17" s="842">
        <v>1.2075</v>
      </c>
      <c r="E17" s="842">
        <v>1.2075</v>
      </c>
      <c r="F17" s="842">
        <v>1.2075</v>
      </c>
      <c r="G17" s="842">
        <v>1.2075</v>
      </c>
      <c r="H17" s="842">
        <v>1.2075</v>
      </c>
      <c r="I17" s="842">
        <v>1.1486000000000001</v>
      </c>
      <c r="J17" s="842">
        <v>1.1486000000000001</v>
      </c>
      <c r="K17" s="842">
        <v>1.1486000000000001</v>
      </c>
      <c r="L17" s="842">
        <v>1.1486000000000001</v>
      </c>
      <c r="M17" s="842">
        <v>1.1486000000000001</v>
      </c>
      <c r="N17" s="843"/>
    </row>
    <row r="18" spans="1:14">
      <c r="A18" s="835">
        <v>1.6</v>
      </c>
      <c r="B18" s="842">
        <v>1.2673000000000001</v>
      </c>
      <c r="C18" s="842">
        <v>1.2673000000000001</v>
      </c>
      <c r="D18" s="842">
        <v>1.1789000000000001</v>
      </c>
      <c r="E18" s="842">
        <v>1.1789000000000001</v>
      </c>
      <c r="F18" s="842">
        <v>1.1789000000000001</v>
      </c>
      <c r="G18" s="842">
        <v>1.1789000000000001</v>
      </c>
      <c r="H18" s="842">
        <v>1.1789000000000001</v>
      </c>
      <c r="I18" s="842">
        <v>1.1134999999999999</v>
      </c>
      <c r="J18" s="842">
        <v>1.1134999999999999</v>
      </c>
      <c r="K18" s="842">
        <v>1.1134999999999999</v>
      </c>
      <c r="L18" s="842">
        <v>1.1134999999999999</v>
      </c>
      <c r="M18" s="842">
        <v>1.1134999999999999</v>
      </c>
    </row>
    <row r="19" spans="1:14">
      <c r="A19" s="835">
        <v>1.7</v>
      </c>
      <c r="B19" s="842">
        <v>1.2428999999999999</v>
      </c>
      <c r="C19" s="842">
        <v>1.2428999999999999</v>
      </c>
      <c r="D19" s="842">
        <v>1.1534</v>
      </c>
      <c r="E19" s="842">
        <v>1.1534</v>
      </c>
      <c r="F19" s="842">
        <v>1.1534</v>
      </c>
      <c r="G19" s="842">
        <v>1.1534</v>
      </c>
      <c r="H19" s="842">
        <v>1.1534</v>
      </c>
      <c r="I19" s="842">
        <v>1.0820000000000001</v>
      </c>
      <c r="J19" s="842">
        <v>1.0820000000000001</v>
      </c>
      <c r="K19" s="842">
        <v>1.0820000000000001</v>
      </c>
      <c r="L19" s="842">
        <v>1.0820000000000001</v>
      </c>
      <c r="M19" s="842">
        <v>1.0820000000000001</v>
      </c>
    </row>
    <row r="20" spans="1:14">
      <c r="A20" s="835">
        <v>1.8</v>
      </c>
      <c r="B20" s="842">
        <v>1.2206999999999999</v>
      </c>
      <c r="C20" s="842">
        <v>1.2206999999999999</v>
      </c>
      <c r="D20" s="842">
        <v>1.1304000000000001</v>
      </c>
      <c r="E20" s="842">
        <v>1.1304000000000001</v>
      </c>
      <c r="F20" s="842">
        <v>1.1304000000000001</v>
      </c>
      <c r="G20" s="842">
        <v>1.1304000000000001</v>
      </c>
      <c r="H20" s="842">
        <v>1.1304000000000001</v>
      </c>
      <c r="I20" s="842">
        <v>1.0531999999999999</v>
      </c>
      <c r="J20" s="842">
        <v>1.0531999999999999</v>
      </c>
      <c r="K20" s="842">
        <v>1.0531999999999999</v>
      </c>
      <c r="L20" s="842">
        <v>1.0531999999999999</v>
      </c>
      <c r="M20" s="842">
        <v>1.0531999999999999</v>
      </c>
    </row>
    <row r="21" spans="1:14">
      <c r="A21" s="835">
        <v>1.9</v>
      </c>
      <c r="B21" s="842">
        <v>1.2</v>
      </c>
      <c r="C21" s="842">
        <v>1.2</v>
      </c>
      <c r="D21" s="842">
        <v>1.1089</v>
      </c>
      <c r="E21" s="842">
        <v>1.1089</v>
      </c>
      <c r="F21" s="842">
        <v>1.1089</v>
      </c>
      <c r="G21" s="842">
        <v>1.1089</v>
      </c>
      <c r="H21" s="842">
        <v>1.1089</v>
      </c>
      <c r="I21" s="842">
        <v>1.0261</v>
      </c>
      <c r="J21" s="842">
        <v>1.0261</v>
      </c>
      <c r="K21" s="842">
        <v>1.0261</v>
      </c>
      <c r="L21" s="842">
        <v>1.0261</v>
      </c>
      <c r="M21" s="842">
        <v>1.0261</v>
      </c>
    </row>
    <row r="22" spans="1:14">
      <c r="A22" s="835">
        <v>2</v>
      </c>
      <c r="B22" s="842">
        <v>1.1800999999999999</v>
      </c>
      <c r="C22" s="842">
        <v>1.1800999999999999</v>
      </c>
      <c r="D22" s="842">
        <v>1.0883</v>
      </c>
      <c r="E22" s="842">
        <v>1.0883</v>
      </c>
      <c r="F22" s="842">
        <v>1.0883</v>
      </c>
      <c r="G22" s="842">
        <v>1.0883</v>
      </c>
      <c r="H22" s="842">
        <v>1.0883</v>
      </c>
      <c r="I22" s="842">
        <v>1</v>
      </c>
      <c r="J22" s="842">
        <v>1</v>
      </c>
      <c r="K22" s="842">
        <v>1</v>
      </c>
      <c r="L22" s="842">
        <v>1</v>
      </c>
      <c r="M22" s="842">
        <v>1</v>
      </c>
    </row>
    <row r="23" spans="1:14">
      <c r="A23" s="850">
        <v>2.1</v>
      </c>
      <c r="B23" s="842">
        <v>1.1616</v>
      </c>
      <c r="C23" s="842">
        <v>1.1616</v>
      </c>
      <c r="D23" s="842">
        <v>1.0685</v>
      </c>
      <c r="E23" s="842">
        <v>1.0685</v>
      </c>
      <c r="F23" s="842">
        <v>1.0685</v>
      </c>
      <c r="G23" s="842">
        <v>1.0685</v>
      </c>
      <c r="H23" s="842">
        <v>1.0685</v>
      </c>
      <c r="I23" s="842">
        <v>0.97550000000000003</v>
      </c>
      <c r="J23" s="842">
        <v>0.97550000000000003</v>
      </c>
      <c r="K23" s="842">
        <v>0.97550000000000003</v>
      </c>
      <c r="L23" s="842">
        <v>0.97550000000000003</v>
      </c>
      <c r="M23" s="842">
        <v>0.97550000000000003</v>
      </c>
    </row>
    <row r="24" spans="1:14">
      <c r="A24" s="850">
        <v>2.2000000000000002</v>
      </c>
      <c r="B24" s="842">
        <v>1.1440999999999999</v>
      </c>
      <c r="C24" s="842">
        <v>1.1440999999999999</v>
      </c>
      <c r="D24" s="842">
        <v>1.0497000000000001</v>
      </c>
      <c r="E24" s="842">
        <v>1.0497000000000001</v>
      </c>
      <c r="F24" s="842">
        <v>1.0497000000000001</v>
      </c>
      <c r="G24" s="842">
        <v>1.0497000000000001</v>
      </c>
      <c r="H24" s="842">
        <v>1.0497000000000001</v>
      </c>
      <c r="I24" s="842">
        <v>0.95230000000000004</v>
      </c>
      <c r="J24" s="842">
        <v>0.95230000000000004</v>
      </c>
      <c r="K24" s="842">
        <v>0.95230000000000004</v>
      </c>
      <c r="L24" s="842">
        <v>0.95230000000000004</v>
      </c>
      <c r="M24" s="842">
        <v>0.95230000000000004</v>
      </c>
    </row>
    <row r="25" spans="1:14">
      <c r="A25" s="850">
        <v>2.2999999999999998</v>
      </c>
      <c r="B25" s="842">
        <v>1.1275999999999999</v>
      </c>
      <c r="C25" s="842">
        <v>1.1275999999999999</v>
      </c>
      <c r="D25" s="842">
        <v>1.032</v>
      </c>
      <c r="E25" s="842">
        <v>1.032</v>
      </c>
      <c r="F25" s="842">
        <v>1.032</v>
      </c>
      <c r="G25" s="842">
        <v>1.032</v>
      </c>
      <c r="H25" s="842">
        <v>1.032</v>
      </c>
      <c r="I25" s="842">
        <v>0.9304</v>
      </c>
      <c r="J25" s="842">
        <v>0.9304</v>
      </c>
      <c r="K25" s="842">
        <v>0.9304</v>
      </c>
      <c r="L25" s="842">
        <v>0.9304</v>
      </c>
      <c r="M25" s="842">
        <v>0.9304</v>
      </c>
    </row>
    <row r="26" spans="1:14">
      <c r="A26" s="850">
        <v>2.4</v>
      </c>
      <c r="B26" s="842">
        <v>1.1121000000000001</v>
      </c>
      <c r="C26" s="842">
        <v>1.1121000000000001</v>
      </c>
      <c r="D26" s="842">
        <v>1.0155000000000001</v>
      </c>
      <c r="E26" s="842">
        <v>1.0155000000000001</v>
      </c>
      <c r="F26" s="842">
        <v>1.0155000000000001</v>
      </c>
      <c r="G26" s="842">
        <v>1.0155000000000001</v>
      </c>
      <c r="H26" s="842">
        <v>1.0155000000000001</v>
      </c>
      <c r="I26" s="842">
        <v>0.91</v>
      </c>
      <c r="J26" s="842">
        <v>0.91</v>
      </c>
      <c r="K26" s="842">
        <v>0.91</v>
      </c>
      <c r="L26" s="842">
        <v>0.91</v>
      </c>
      <c r="M26" s="842">
        <v>0.91</v>
      </c>
    </row>
    <row r="27" spans="1:14">
      <c r="A27" s="850">
        <v>2.5</v>
      </c>
      <c r="B27" s="842">
        <v>1.0975999999999999</v>
      </c>
      <c r="C27" s="842">
        <v>1.0975999999999999</v>
      </c>
      <c r="D27" s="842">
        <v>1</v>
      </c>
      <c r="E27" s="842">
        <v>1</v>
      </c>
      <c r="F27" s="842">
        <v>1</v>
      </c>
      <c r="G27" s="842">
        <v>1</v>
      </c>
      <c r="H27" s="842">
        <v>1</v>
      </c>
      <c r="I27" s="842">
        <v>0.89080000000000004</v>
      </c>
      <c r="J27" s="842">
        <v>0.89080000000000004</v>
      </c>
      <c r="K27" s="842">
        <v>0.89080000000000004</v>
      </c>
      <c r="L27" s="842">
        <v>0.89080000000000004</v>
      </c>
      <c r="M27" s="842">
        <v>0.89080000000000004</v>
      </c>
    </row>
    <row r="28" spans="1:14">
      <c r="A28" s="850">
        <v>2.6</v>
      </c>
      <c r="B28" s="842">
        <v>1.0841000000000001</v>
      </c>
      <c r="C28" s="842">
        <v>1.0841000000000001</v>
      </c>
      <c r="D28" s="842">
        <v>0.98619999999999997</v>
      </c>
      <c r="E28" s="842">
        <v>0.98619999999999997</v>
      </c>
      <c r="F28" s="842">
        <v>0.98619999999999997</v>
      </c>
      <c r="G28" s="842">
        <v>0.98619999999999997</v>
      </c>
      <c r="H28" s="842">
        <v>0.98619999999999997</v>
      </c>
      <c r="I28" s="842">
        <v>0.873</v>
      </c>
      <c r="J28" s="842">
        <v>0.873</v>
      </c>
      <c r="K28" s="842">
        <v>0.873</v>
      </c>
      <c r="L28" s="842">
        <v>0.873</v>
      </c>
      <c r="M28" s="842">
        <v>0.873</v>
      </c>
    </row>
    <row r="29" spans="1:14">
      <c r="A29" s="850">
        <v>2.7</v>
      </c>
      <c r="B29" s="842">
        <v>1.0716000000000001</v>
      </c>
      <c r="C29" s="842">
        <v>1.0716000000000001</v>
      </c>
      <c r="D29" s="842">
        <v>0.97330000000000005</v>
      </c>
      <c r="E29" s="842">
        <v>0.97330000000000005</v>
      </c>
      <c r="F29" s="842">
        <v>0.97330000000000005</v>
      </c>
      <c r="G29" s="842">
        <v>0.97330000000000005</v>
      </c>
      <c r="H29" s="842">
        <v>0.97330000000000005</v>
      </c>
      <c r="I29" s="842">
        <v>0.85670000000000002</v>
      </c>
      <c r="J29" s="842">
        <v>0.85670000000000002</v>
      </c>
      <c r="K29" s="842">
        <v>0.85670000000000002</v>
      </c>
      <c r="L29" s="842">
        <v>0.85670000000000002</v>
      </c>
      <c r="M29" s="842">
        <v>0.85670000000000002</v>
      </c>
    </row>
    <row r="30" spans="1:14">
      <c r="A30" s="850">
        <v>2.8</v>
      </c>
      <c r="B30" s="842">
        <v>1.0602</v>
      </c>
      <c r="C30" s="842">
        <v>1.0602</v>
      </c>
      <c r="D30" s="842">
        <v>0.96160000000000001</v>
      </c>
      <c r="E30" s="842">
        <v>0.96160000000000001</v>
      </c>
      <c r="F30" s="842">
        <v>0.96160000000000001</v>
      </c>
      <c r="G30" s="842">
        <v>0.96160000000000001</v>
      </c>
      <c r="H30" s="842">
        <v>0.96160000000000001</v>
      </c>
      <c r="I30" s="842">
        <v>0.8417</v>
      </c>
      <c r="J30" s="842">
        <v>0.8417</v>
      </c>
      <c r="K30" s="842">
        <v>0.8417</v>
      </c>
      <c r="L30" s="842">
        <v>0.8417</v>
      </c>
      <c r="M30" s="842">
        <v>0.8417</v>
      </c>
    </row>
    <row r="31" spans="1:14">
      <c r="A31" s="850">
        <v>2.9</v>
      </c>
      <c r="B31" s="842">
        <v>1.0497000000000001</v>
      </c>
      <c r="C31" s="842">
        <v>1.0497000000000001</v>
      </c>
      <c r="D31" s="842">
        <v>0.95089999999999997</v>
      </c>
      <c r="E31" s="842">
        <v>0.95089999999999997</v>
      </c>
      <c r="F31" s="842">
        <v>0.95089999999999997</v>
      </c>
      <c r="G31" s="842">
        <v>0.95089999999999997</v>
      </c>
      <c r="H31" s="842">
        <v>0.95089999999999997</v>
      </c>
      <c r="I31" s="842">
        <v>0.82809999999999995</v>
      </c>
      <c r="J31" s="842">
        <v>0.82809999999999995</v>
      </c>
      <c r="K31" s="842">
        <v>0.82809999999999995</v>
      </c>
      <c r="L31" s="842">
        <v>0.82809999999999995</v>
      </c>
      <c r="M31" s="842">
        <v>0.82809999999999995</v>
      </c>
    </row>
    <row r="32" spans="1:14">
      <c r="A32" s="850">
        <v>3</v>
      </c>
      <c r="B32" s="842">
        <v>1.0401</v>
      </c>
      <c r="C32" s="842">
        <v>1.0401</v>
      </c>
      <c r="D32" s="842">
        <v>0.94089999999999996</v>
      </c>
      <c r="E32" s="842">
        <v>0.94089999999999996</v>
      </c>
      <c r="F32" s="842">
        <v>0.94089999999999996</v>
      </c>
      <c r="G32" s="842">
        <v>0.94089999999999996</v>
      </c>
      <c r="H32" s="842">
        <v>0.94089999999999996</v>
      </c>
      <c r="I32" s="842">
        <v>0.81579999999999997</v>
      </c>
      <c r="J32" s="842">
        <v>0.81579999999999997</v>
      </c>
      <c r="K32" s="842">
        <v>0.81579999999999997</v>
      </c>
      <c r="L32" s="842">
        <v>0.81579999999999997</v>
      </c>
      <c r="M32" s="842">
        <v>0.81579999999999997</v>
      </c>
    </row>
    <row r="33" spans="1:13">
      <c r="A33" s="850">
        <v>3.1</v>
      </c>
      <c r="B33" s="842">
        <v>1.0314000000000001</v>
      </c>
      <c r="C33" s="842">
        <v>1.0314000000000001</v>
      </c>
      <c r="D33" s="842">
        <v>0.93169999999999997</v>
      </c>
      <c r="E33" s="842">
        <v>0.93169999999999997</v>
      </c>
      <c r="F33" s="842">
        <v>0.93169999999999997</v>
      </c>
      <c r="G33" s="842">
        <v>0.93169999999999997</v>
      </c>
      <c r="H33" s="842">
        <v>0.93169999999999997</v>
      </c>
      <c r="I33" s="842">
        <v>0.80410000000000004</v>
      </c>
      <c r="J33" s="842">
        <v>0.80410000000000004</v>
      </c>
      <c r="K33" s="842">
        <v>0.80410000000000004</v>
      </c>
      <c r="L33" s="842">
        <v>0.80410000000000004</v>
      </c>
      <c r="M33" s="842">
        <v>0.80410000000000004</v>
      </c>
    </row>
    <row r="34" spans="1:13">
      <c r="A34" s="850">
        <v>3.2</v>
      </c>
      <c r="B34" s="842">
        <v>1.0229999999999999</v>
      </c>
      <c r="C34" s="842">
        <v>1.0229999999999999</v>
      </c>
      <c r="D34" s="842">
        <v>0.92279999999999995</v>
      </c>
      <c r="E34" s="842">
        <v>0.92279999999999995</v>
      </c>
      <c r="F34" s="842">
        <v>0.92279999999999995</v>
      </c>
      <c r="G34" s="842">
        <v>0.92279999999999995</v>
      </c>
      <c r="H34" s="842">
        <v>0.92279999999999995</v>
      </c>
      <c r="I34" s="842">
        <v>0.79300000000000004</v>
      </c>
      <c r="J34" s="842">
        <v>0.79300000000000004</v>
      </c>
      <c r="K34" s="842">
        <v>0.79300000000000004</v>
      </c>
      <c r="L34" s="842">
        <v>0.79300000000000004</v>
      </c>
      <c r="M34" s="842">
        <v>0.79300000000000004</v>
      </c>
    </row>
    <row r="35" spans="1:13">
      <c r="A35" s="850">
        <v>3.3</v>
      </c>
      <c r="B35" s="842">
        <v>1.0149999999999999</v>
      </c>
      <c r="C35" s="842">
        <v>1.0149999999999999</v>
      </c>
      <c r="D35" s="842">
        <v>0.91439999999999999</v>
      </c>
      <c r="E35" s="842">
        <v>0.91439999999999999</v>
      </c>
      <c r="F35" s="842">
        <v>0.91439999999999999</v>
      </c>
      <c r="G35" s="842">
        <v>0.91439999999999999</v>
      </c>
      <c r="H35" s="842">
        <v>0.91439999999999999</v>
      </c>
      <c r="I35" s="842">
        <v>0.78220000000000001</v>
      </c>
      <c r="J35" s="842">
        <v>0.78220000000000001</v>
      </c>
      <c r="K35" s="842">
        <v>0.78220000000000001</v>
      </c>
      <c r="L35" s="842">
        <v>0.78220000000000001</v>
      </c>
      <c r="M35" s="842">
        <v>0.78220000000000001</v>
      </c>
    </row>
    <row r="36" spans="1:13">
      <c r="A36" s="850">
        <v>3.4</v>
      </c>
      <c r="B36" s="842">
        <v>1.0073000000000001</v>
      </c>
      <c r="C36" s="842">
        <v>1.0073000000000001</v>
      </c>
      <c r="D36" s="842">
        <v>0.90629999999999999</v>
      </c>
      <c r="E36" s="842">
        <v>0.90629999999999999</v>
      </c>
      <c r="F36" s="842">
        <v>0.90629999999999999</v>
      </c>
      <c r="G36" s="842">
        <v>0.90629999999999999</v>
      </c>
      <c r="H36" s="842">
        <v>0.90629999999999999</v>
      </c>
      <c r="I36" s="842">
        <v>0.77210000000000001</v>
      </c>
      <c r="J36" s="842">
        <v>0.77210000000000001</v>
      </c>
      <c r="K36" s="842">
        <v>0.77210000000000001</v>
      </c>
      <c r="L36" s="842">
        <v>0.77210000000000001</v>
      </c>
      <c r="M36" s="842">
        <v>0.77210000000000001</v>
      </c>
    </row>
    <row r="37" spans="1:13">
      <c r="A37" s="850">
        <v>3.5</v>
      </c>
      <c r="B37" s="842">
        <v>1</v>
      </c>
      <c r="C37" s="842">
        <v>1</v>
      </c>
      <c r="D37" s="842">
        <v>0.89870000000000005</v>
      </c>
      <c r="E37" s="842">
        <v>0.89870000000000005</v>
      </c>
      <c r="F37" s="842">
        <v>0.89870000000000005</v>
      </c>
      <c r="G37" s="842">
        <v>0.89870000000000005</v>
      </c>
      <c r="H37" s="842">
        <v>0.89870000000000005</v>
      </c>
      <c r="I37" s="842">
        <v>0.76239999999999997</v>
      </c>
      <c r="J37" s="842">
        <v>0.76239999999999997</v>
      </c>
      <c r="K37" s="842">
        <v>0.76239999999999997</v>
      </c>
      <c r="L37" s="842">
        <v>0.76239999999999997</v>
      </c>
      <c r="M37" s="842">
        <v>0.76239999999999997</v>
      </c>
    </row>
    <row r="38" spans="1:13">
      <c r="A38" s="850">
        <v>3.6</v>
      </c>
      <c r="B38" s="842">
        <v>0.99329999999999996</v>
      </c>
      <c r="C38" s="842">
        <v>0.99329999999999996</v>
      </c>
      <c r="D38" s="842">
        <v>0.89139999999999997</v>
      </c>
      <c r="E38" s="842">
        <v>0.89139999999999997</v>
      </c>
      <c r="F38" s="842">
        <v>0.89139999999999997</v>
      </c>
      <c r="G38" s="842">
        <v>0.89139999999999997</v>
      </c>
      <c r="H38" s="842">
        <v>0.89139999999999997</v>
      </c>
      <c r="I38" s="842">
        <v>0.75319999999999998</v>
      </c>
      <c r="J38" s="842">
        <v>0.75319999999999998</v>
      </c>
      <c r="K38" s="842">
        <v>0.75319999999999998</v>
      </c>
      <c r="L38" s="842">
        <v>0.75319999999999998</v>
      </c>
      <c r="M38" s="842">
        <v>0.75319999999999998</v>
      </c>
    </row>
    <row r="39" spans="1:13">
      <c r="A39" s="850">
        <v>3.7</v>
      </c>
      <c r="B39" s="842">
        <v>0.9869</v>
      </c>
      <c r="C39" s="842">
        <v>0.9869</v>
      </c>
      <c r="D39" s="842">
        <v>0.88449999999999995</v>
      </c>
      <c r="E39" s="842">
        <v>0.88449999999999995</v>
      </c>
      <c r="F39" s="842">
        <v>0.88449999999999995</v>
      </c>
      <c r="G39" s="842">
        <v>0.88449999999999995</v>
      </c>
      <c r="H39" s="842">
        <v>0.88449999999999995</v>
      </c>
      <c r="I39" s="842">
        <v>0.74460000000000004</v>
      </c>
      <c r="J39" s="842">
        <v>0.74460000000000004</v>
      </c>
      <c r="K39" s="842">
        <v>0.74460000000000004</v>
      </c>
      <c r="L39" s="842">
        <v>0.74460000000000004</v>
      </c>
      <c r="M39" s="842">
        <v>0.74460000000000004</v>
      </c>
    </row>
    <row r="40" spans="1:13">
      <c r="A40" s="850">
        <v>3.8</v>
      </c>
      <c r="B40" s="842">
        <v>0.98080000000000001</v>
      </c>
      <c r="C40" s="842">
        <v>0.98080000000000001</v>
      </c>
      <c r="D40" s="842">
        <v>0.87809999999999999</v>
      </c>
      <c r="E40" s="842">
        <v>0.87809999999999999</v>
      </c>
      <c r="F40" s="842">
        <v>0.87809999999999999</v>
      </c>
      <c r="G40" s="842">
        <v>0.87809999999999999</v>
      </c>
      <c r="H40" s="842">
        <v>0.87809999999999999</v>
      </c>
      <c r="I40" s="842">
        <v>0.73640000000000005</v>
      </c>
      <c r="J40" s="842">
        <v>0.73640000000000005</v>
      </c>
      <c r="K40" s="842">
        <v>0.73640000000000005</v>
      </c>
      <c r="L40" s="842">
        <v>0.73640000000000005</v>
      </c>
      <c r="M40" s="842">
        <v>0.73640000000000005</v>
      </c>
    </row>
    <row r="41" spans="1:13">
      <c r="A41" s="850">
        <v>3.9</v>
      </c>
      <c r="B41" s="842">
        <v>0.97509999999999997</v>
      </c>
      <c r="C41" s="842">
        <v>0.97509999999999997</v>
      </c>
      <c r="D41" s="842">
        <v>0.87209999999999999</v>
      </c>
      <c r="E41" s="842">
        <v>0.87209999999999999</v>
      </c>
      <c r="F41" s="842">
        <v>0.87209999999999999</v>
      </c>
      <c r="G41" s="842">
        <v>0.87209999999999999</v>
      </c>
      <c r="H41" s="842">
        <v>0.87209999999999999</v>
      </c>
      <c r="I41" s="842">
        <v>0.7288</v>
      </c>
      <c r="J41" s="842">
        <v>0.7288</v>
      </c>
      <c r="K41" s="842">
        <v>0.7288</v>
      </c>
      <c r="L41" s="842">
        <v>0.7288</v>
      </c>
      <c r="M41" s="842">
        <v>0.7288</v>
      </c>
    </row>
    <row r="42" spans="1:13">
      <c r="A42" s="850">
        <v>4</v>
      </c>
      <c r="B42" s="842">
        <v>0.96989999999999998</v>
      </c>
      <c r="C42" s="842">
        <v>0.96989999999999998</v>
      </c>
      <c r="D42" s="842">
        <v>0.86650000000000005</v>
      </c>
      <c r="E42" s="842">
        <v>0.86650000000000005</v>
      </c>
      <c r="F42" s="842">
        <v>0.86650000000000005</v>
      </c>
      <c r="G42" s="842">
        <v>0.86650000000000005</v>
      </c>
      <c r="H42" s="842">
        <v>0.86650000000000005</v>
      </c>
      <c r="I42" s="842">
        <v>0.7218</v>
      </c>
      <c r="J42" s="842">
        <v>0.7218</v>
      </c>
      <c r="K42" s="842">
        <v>0.7218</v>
      </c>
      <c r="L42" s="842">
        <v>0.7218</v>
      </c>
      <c r="M42" s="842">
        <v>0.7218</v>
      </c>
    </row>
    <row r="43" spans="1:13">
      <c r="A43" s="850">
        <v>4.0999999999999996</v>
      </c>
      <c r="B43" s="842">
        <v>0.96479999999999999</v>
      </c>
      <c r="C43" s="842">
        <v>0.96479999999999999</v>
      </c>
      <c r="D43" s="842">
        <v>0.86109999999999998</v>
      </c>
      <c r="E43" s="842">
        <v>0.86109999999999998</v>
      </c>
      <c r="F43" s="842">
        <v>0.86109999999999998</v>
      </c>
      <c r="G43" s="842">
        <v>0.86109999999999998</v>
      </c>
      <c r="H43" s="842">
        <v>0.86109999999999998</v>
      </c>
      <c r="I43" s="842">
        <v>0.71499999999999997</v>
      </c>
      <c r="J43" s="842">
        <v>0.71499999999999997</v>
      </c>
      <c r="K43" s="842">
        <v>0.71499999999999997</v>
      </c>
      <c r="L43" s="842">
        <v>0.71499999999999997</v>
      </c>
      <c r="M43" s="842">
        <v>0.71499999999999997</v>
      </c>
    </row>
    <row r="44" spans="1:13">
      <c r="A44" s="850">
        <v>4.2</v>
      </c>
      <c r="B44" s="842">
        <v>0.96</v>
      </c>
      <c r="C44" s="842">
        <v>0.96</v>
      </c>
      <c r="D44" s="842">
        <v>0.85599999999999998</v>
      </c>
      <c r="E44" s="842">
        <v>0.85599999999999998</v>
      </c>
      <c r="F44" s="842">
        <v>0.85599999999999998</v>
      </c>
      <c r="G44" s="842">
        <v>0.85599999999999998</v>
      </c>
      <c r="H44" s="842">
        <v>0.85599999999999998</v>
      </c>
      <c r="I44" s="842">
        <v>0.70840000000000003</v>
      </c>
      <c r="J44" s="842">
        <v>0.70840000000000003</v>
      </c>
      <c r="K44" s="842">
        <v>0.70840000000000003</v>
      </c>
      <c r="L44" s="842">
        <v>0.70840000000000003</v>
      </c>
      <c r="M44" s="842">
        <v>0.70840000000000003</v>
      </c>
    </row>
    <row r="45" spans="1:13">
      <c r="A45" s="850">
        <v>4.3</v>
      </c>
      <c r="B45" s="842">
        <v>0.95530000000000004</v>
      </c>
      <c r="C45" s="842">
        <v>0.95530000000000004</v>
      </c>
      <c r="D45" s="842">
        <v>0.85099999999999998</v>
      </c>
      <c r="E45" s="842">
        <v>0.85099999999999998</v>
      </c>
      <c r="F45" s="842">
        <v>0.85099999999999998</v>
      </c>
      <c r="G45" s="842">
        <v>0.85099999999999998</v>
      </c>
      <c r="H45" s="842">
        <v>0.85099999999999998</v>
      </c>
      <c r="I45" s="842">
        <v>0.70199999999999996</v>
      </c>
      <c r="J45" s="842">
        <v>0.70199999999999996</v>
      </c>
      <c r="K45" s="842">
        <v>0.70199999999999996</v>
      </c>
      <c r="L45" s="842">
        <v>0.70199999999999996</v>
      </c>
      <c r="M45" s="842">
        <v>0.70199999999999996</v>
      </c>
    </row>
    <row r="46" spans="1:13">
      <c r="A46" s="850">
        <v>4.4000000000000004</v>
      </c>
      <c r="B46" s="842">
        <v>0.95079999999999998</v>
      </c>
      <c r="C46" s="842">
        <v>0.95079999999999998</v>
      </c>
      <c r="D46" s="842">
        <v>0.84619999999999995</v>
      </c>
      <c r="E46" s="842">
        <v>0.84619999999999995</v>
      </c>
      <c r="F46" s="842">
        <v>0.84619999999999995</v>
      </c>
      <c r="G46" s="842">
        <v>0.84619999999999995</v>
      </c>
      <c r="H46" s="842">
        <v>0.84619999999999995</v>
      </c>
      <c r="I46" s="842">
        <v>0.69579999999999997</v>
      </c>
      <c r="J46" s="842">
        <v>0.69579999999999997</v>
      </c>
      <c r="K46" s="842">
        <v>0.69579999999999997</v>
      </c>
      <c r="L46" s="842">
        <v>0.69579999999999997</v>
      </c>
      <c r="M46" s="842">
        <v>0.69579999999999997</v>
      </c>
    </row>
    <row r="47" spans="1:13">
      <c r="A47" s="850">
        <v>4.5</v>
      </c>
      <c r="B47" s="842">
        <v>0.94640000000000002</v>
      </c>
      <c r="C47" s="842">
        <v>0.94640000000000002</v>
      </c>
      <c r="D47" s="842">
        <v>0.84150000000000003</v>
      </c>
      <c r="E47" s="842">
        <v>0.84150000000000003</v>
      </c>
      <c r="F47" s="842">
        <v>0.84150000000000003</v>
      </c>
      <c r="G47" s="842">
        <v>0.84150000000000003</v>
      </c>
      <c r="H47" s="842">
        <v>0.84150000000000003</v>
      </c>
      <c r="I47" s="842">
        <v>0.68989999999999996</v>
      </c>
      <c r="J47" s="842">
        <v>0.68989999999999996</v>
      </c>
      <c r="K47" s="842">
        <v>0.68989999999999996</v>
      </c>
      <c r="L47" s="842">
        <v>0.68989999999999996</v>
      </c>
      <c r="M47" s="842">
        <v>0.68989999999999996</v>
      </c>
    </row>
    <row r="48" spans="1:13">
      <c r="A48" s="850">
        <v>4.5999999999999996</v>
      </c>
      <c r="B48" s="842">
        <v>0.94230000000000003</v>
      </c>
      <c r="C48" s="842">
        <v>0.94230000000000003</v>
      </c>
      <c r="D48" s="842">
        <v>0.83709999999999996</v>
      </c>
      <c r="E48" s="842">
        <v>0.83709999999999996</v>
      </c>
      <c r="F48" s="842">
        <v>0.83709999999999996</v>
      </c>
      <c r="G48" s="842">
        <v>0.83709999999999996</v>
      </c>
      <c r="H48" s="842">
        <v>0.83709999999999996</v>
      </c>
      <c r="I48" s="842">
        <v>0.68430000000000002</v>
      </c>
      <c r="J48" s="842">
        <v>0.68430000000000002</v>
      </c>
      <c r="K48" s="842">
        <v>0.68430000000000002</v>
      </c>
      <c r="L48" s="842">
        <v>0.68430000000000002</v>
      </c>
      <c r="M48" s="842">
        <v>0.68430000000000002</v>
      </c>
    </row>
    <row r="49" spans="1:13">
      <c r="A49" s="850">
        <v>4.7</v>
      </c>
      <c r="B49" s="842">
        <v>0.93830000000000002</v>
      </c>
      <c r="C49" s="842">
        <v>0.93830000000000002</v>
      </c>
      <c r="D49" s="842">
        <v>0.83279999999999998</v>
      </c>
      <c r="E49" s="842">
        <v>0.83279999999999998</v>
      </c>
      <c r="F49" s="842">
        <v>0.83279999999999998</v>
      </c>
      <c r="G49" s="842">
        <v>0.83279999999999998</v>
      </c>
      <c r="H49" s="842">
        <v>0.83279999999999998</v>
      </c>
      <c r="I49" s="842">
        <v>0.67879999999999996</v>
      </c>
      <c r="J49" s="842">
        <v>0.67879999999999996</v>
      </c>
      <c r="K49" s="842">
        <v>0.67879999999999996</v>
      </c>
      <c r="L49" s="842">
        <v>0.67879999999999996</v>
      </c>
      <c r="M49" s="842">
        <v>0.67879999999999996</v>
      </c>
    </row>
    <row r="50" spans="1:13">
      <c r="A50" s="850">
        <v>4.8</v>
      </c>
      <c r="B50" s="842">
        <v>0.9345</v>
      </c>
      <c r="C50" s="842">
        <v>0.9345</v>
      </c>
      <c r="D50" s="842">
        <v>0.82869999999999999</v>
      </c>
      <c r="E50" s="842">
        <v>0.82869999999999999</v>
      </c>
      <c r="F50" s="842">
        <v>0.82869999999999999</v>
      </c>
      <c r="G50" s="842">
        <v>0.82869999999999999</v>
      </c>
      <c r="H50" s="842">
        <v>0.82869999999999999</v>
      </c>
      <c r="I50" s="842">
        <v>0.67359999999999998</v>
      </c>
      <c r="J50" s="842">
        <v>0.67359999999999998</v>
      </c>
      <c r="K50" s="842">
        <v>0.67359999999999998</v>
      </c>
      <c r="L50" s="842">
        <v>0.67359999999999998</v>
      </c>
      <c r="M50" s="842">
        <v>0.67359999999999998</v>
      </c>
    </row>
    <row r="51" spans="1:13">
      <c r="A51" s="850">
        <v>4.9000000000000004</v>
      </c>
      <c r="B51" s="842">
        <v>0.93079999999999996</v>
      </c>
      <c r="C51" s="842">
        <v>0.93079999999999996</v>
      </c>
      <c r="D51" s="842">
        <v>0.82479999999999998</v>
      </c>
      <c r="E51" s="842">
        <v>0.82479999999999998</v>
      </c>
      <c r="F51" s="842">
        <v>0.82479999999999998</v>
      </c>
      <c r="G51" s="842">
        <v>0.82479999999999998</v>
      </c>
      <c r="H51" s="842">
        <v>0.82479999999999998</v>
      </c>
      <c r="I51" s="842">
        <v>0.66849999999999998</v>
      </c>
      <c r="J51" s="842">
        <v>0.66849999999999998</v>
      </c>
      <c r="K51" s="842">
        <v>0.66849999999999998</v>
      </c>
      <c r="L51" s="842">
        <v>0.66849999999999998</v>
      </c>
      <c r="M51" s="842">
        <v>0.66849999999999998</v>
      </c>
    </row>
    <row r="52" spans="1:13">
      <c r="A52" s="850">
        <v>5</v>
      </c>
      <c r="B52" s="842">
        <v>0.9274</v>
      </c>
      <c r="C52" s="842">
        <v>0.9274</v>
      </c>
      <c r="D52" s="842">
        <v>0.82110000000000005</v>
      </c>
      <c r="E52" s="842">
        <v>0.82110000000000005</v>
      </c>
      <c r="F52" s="842">
        <v>0.82110000000000005</v>
      </c>
      <c r="G52" s="842">
        <v>0.82110000000000005</v>
      </c>
      <c r="H52" s="842">
        <v>0.82110000000000005</v>
      </c>
      <c r="I52" s="842">
        <v>0.66369999999999996</v>
      </c>
      <c r="J52" s="842">
        <v>0.66369999999999996</v>
      </c>
      <c r="K52" s="842">
        <v>0.66369999999999996</v>
      </c>
      <c r="L52" s="842">
        <v>0.66369999999999996</v>
      </c>
      <c r="M52" s="842">
        <v>0.66369999999999996</v>
      </c>
    </row>
    <row r="53" spans="1:13">
      <c r="A53" s="835">
        <v>5.0999999999999996</v>
      </c>
      <c r="B53" s="842">
        <v>0.92410000000000003</v>
      </c>
      <c r="C53" s="842">
        <v>0.92410000000000003</v>
      </c>
      <c r="D53" s="842">
        <v>0.8175</v>
      </c>
      <c r="E53" s="842">
        <v>0.8175</v>
      </c>
      <c r="F53" s="842">
        <v>0.8175</v>
      </c>
      <c r="G53" s="842">
        <v>0.8175</v>
      </c>
      <c r="H53" s="842">
        <v>0.8175</v>
      </c>
      <c r="I53" s="842">
        <v>0.65900000000000003</v>
      </c>
      <c r="J53" s="842">
        <v>0.65900000000000003</v>
      </c>
      <c r="K53" s="842">
        <v>0.65900000000000003</v>
      </c>
      <c r="L53" s="842">
        <v>0.65900000000000003</v>
      </c>
      <c r="M53" s="842">
        <v>0.65900000000000003</v>
      </c>
    </row>
    <row r="54" spans="1:13">
      <c r="A54" s="835">
        <v>5.2</v>
      </c>
      <c r="B54" s="842">
        <v>0.92090000000000005</v>
      </c>
      <c r="C54" s="842">
        <v>0.92090000000000005</v>
      </c>
      <c r="D54" s="842">
        <v>0.81399999999999995</v>
      </c>
      <c r="E54" s="842">
        <v>0.81399999999999995</v>
      </c>
      <c r="F54" s="842">
        <v>0.81399999999999995</v>
      </c>
      <c r="G54" s="842">
        <v>0.81399999999999995</v>
      </c>
      <c r="H54" s="842">
        <v>0.81399999999999995</v>
      </c>
      <c r="I54" s="842">
        <v>0.65449999999999997</v>
      </c>
      <c r="J54" s="842">
        <v>0.65449999999999997</v>
      </c>
      <c r="K54" s="842">
        <v>0.65449999999999997</v>
      </c>
      <c r="L54" s="842">
        <v>0.65449999999999997</v>
      </c>
      <c r="M54" s="842">
        <v>0.65449999999999997</v>
      </c>
    </row>
    <row r="55" spans="1:13">
      <c r="A55" s="835">
        <v>5.3</v>
      </c>
      <c r="B55" s="842">
        <v>0.91790000000000005</v>
      </c>
      <c r="C55" s="842">
        <v>0.91790000000000005</v>
      </c>
      <c r="D55" s="842">
        <v>0.81059999999999999</v>
      </c>
      <c r="E55" s="842">
        <v>0.81059999999999999</v>
      </c>
      <c r="F55" s="842">
        <v>0.81059999999999999</v>
      </c>
      <c r="G55" s="842">
        <v>0.81059999999999999</v>
      </c>
      <c r="H55" s="842">
        <v>0.81059999999999999</v>
      </c>
      <c r="I55" s="842">
        <v>0.6502</v>
      </c>
      <c r="J55" s="842">
        <v>0.6502</v>
      </c>
      <c r="K55" s="842">
        <v>0.6502</v>
      </c>
      <c r="L55" s="842">
        <v>0.6502</v>
      </c>
      <c r="M55" s="842">
        <v>0.6502</v>
      </c>
    </row>
    <row r="56" spans="1:13">
      <c r="A56" s="835">
        <v>5.4</v>
      </c>
      <c r="B56" s="842">
        <v>0.91490000000000005</v>
      </c>
      <c r="C56" s="842">
        <v>0.91490000000000005</v>
      </c>
      <c r="D56" s="842">
        <v>0.80740000000000001</v>
      </c>
      <c r="E56" s="842">
        <v>0.80740000000000001</v>
      </c>
      <c r="F56" s="842">
        <v>0.80740000000000001</v>
      </c>
      <c r="G56" s="842">
        <v>0.80740000000000001</v>
      </c>
      <c r="H56" s="842">
        <v>0.80740000000000001</v>
      </c>
      <c r="I56" s="842">
        <v>0.64590000000000003</v>
      </c>
      <c r="J56" s="842">
        <v>0.64590000000000003</v>
      </c>
      <c r="K56" s="842">
        <v>0.64590000000000003</v>
      </c>
      <c r="L56" s="842">
        <v>0.64590000000000003</v>
      </c>
      <c r="M56" s="842">
        <v>0.64590000000000003</v>
      </c>
    </row>
    <row r="57" spans="1:13">
      <c r="A57" s="835">
        <v>5.5</v>
      </c>
      <c r="B57" s="842">
        <v>0.91200000000000003</v>
      </c>
      <c r="C57" s="842">
        <v>0.91200000000000003</v>
      </c>
      <c r="D57" s="842">
        <v>0.80420000000000003</v>
      </c>
      <c r="E57" s="842">
        <v>0.80420000000000003</v>
      </c>
      <c r="F57" s="842">
        <v>0.80420000000000003</v>
      </c>
      <c r="G57" s="842">
        <v>0.80420000000000003</v>
      </c>
      <c r="H57" s="842">
        <v>0.80420000000000003</v>
      </c>
      <c r="I57" s="842">
        <v>0.64180000000000004</v>
      </c>
      <c r="J57" s="842">
        <v>0.64180000000000004</v>
      </c>
      <c r="K57" s="842">
        <v>0.64180000000000004</v>
      </c>
      <c r="L57" s="842">
        <v>0.64180000000000004</v>
      </c>
      <c r="M57" s="842">
        <v>0.64180000000000004</v>
      </c>
    </row>
    <row r="58" spans="1:13">
      <c r="A58" s="835">
        <v>5.6</v>
      </c>
      <c r="B58" s="842">
        <v>0.90910000000000002</v>
      </c>
      <c r="C58" s="842">
        <v>0.90910000000000002</v>
      </c>
      <c r="D58" s="842">
        <v>0.80120000000000002</v>
      </c>
      <c r="E58" s="842">
        <v>0.80120000000000002</v>
      </c>
      <c r="F58" s="842">
        <v>0.80120000000000002</v>
      </c>
      <c r="G58" s="842">
        <v>0.80120000000000002</v>
      </c>
      <c r="H58" s="842">
        <v>0.80120000000000002</v>
      </c>
      <c r="I58" s="842">
        <v>0.63790000000000002</v>
      </c>
      <c r="J58" s="842">
        <v>0.63790000000000002</v>
      </c>
      <c r="K58" s="842">
        <v>0.63790000000000002</v>
      </c>
      <c r="L58" s="842">
        <v>0.63790000000000002</v>
      </c>
      <c r="M58" s="842">
        <v>0.63790000000000002</v>
      </c>
    </row>
    <row r="59" spans="1:13">
      <c r="A59" s="850">
        <v>5.7</v>
      </c>
      <c r="B59" s="842">
        <v>0.90639999999999998</v>
      </c>
      <c r="C59" s="842">
        <v>0.90639999999999998</v>
      </c>
      <c r="D59" s="842">
        <v>0.79820000000000002</v>
      </c>
      <c r="E59" s="842">
        <v>0.79820000000000002</v>
      </c>
      <c r="F59" s="842">
        <v>0.79820000000000002</v>
      </c>
      <c r="G59" s="842">
        <v>0.79820000000000002</v>
      </c>
      <c r="H59" s="842">
        <v>0.79820000000000002</v>
      </c>
      <c r="I59" s="842">
        <v>0.6341</v>
      </c>
      <c r="J59" s="842">
        <v>0.6341</v>
      </c>
      <c r="K59" s="842">
        <v>0.6341</v>
      </c>
      <c r="L59" s="842">
        <v>0.6341</v>
      </c>
      <c r="M59" s="842">
        <v>0.6341</v>
      </c>
    </row>
    <row r="60" spans="1:13">
      <c r="A60" s="835">
        <v>5.8</v>
      </c>
      <c r="B60" s="842">
        <v>0.90380000000000005</v>
      </c>
      <c r="C60" s="842">
        <v>0.90380000000000005</v>
      </c>
      <c r="D60" s="842">
        <v>0.7954</v>
      </c>
      <c r="E60" s="842">
        <v>0.7954</v>
      </c>
      <c r="F60" s="842">
        <v>0.7954</v>
      </c>
      <c r="G60" s="842">
        <v>0.7954</v>
      </c>
      <c r="H60" s="842">
        <v>0.7954</v>
      </c>
      <c r="I60" s="842">
        <v>0.63039999999999996</v>
      </c>
      <c r="J60" s="842">
        <v>0.63039999999999996</v>
      </c>
      <c r="K60" s="842">
        <v>0.63039999999999996</v>
      </c>
      <c r="L60" s="842">
        <v>0.63039999999999996</v>
      </c>
      <c r="M60" s="842">
        <v>0.63039999999999996</v>
      </c>
    </row>
    <row r="61" spans="1:13">
      <c r="A61" s="835">
        <v>5.9</v>
      </c>
      <c r="B61" s="842">
        <v>0.90129999999999999</v>
      </c>
      <c r="C61" s="842">
        <v>0.90129999999999999</v>
      </c>
      <c r="D61" s="842">
        <v>0.79269999999999996</v>
      </c>
      <c r="E61" s="842">
        <v>0.79269999999999996</v>
      </c>
      <c r="F61" s="842">
        <v>0.79269999999999996</v>
      </c>
      <c r="G61" s="842">
        <v>0.79269999999999996</v>
      </c>
      <c r="H61" s="842">
        <v>0.79269999999999996</v>
      </c>
      <c r="I61" s="842">
        <v>0.62690000000000001</v>
      </c>
      <c r="J61" s="842">
        <v>0.62690000000000001</v>
      </c>
      <c r="K61" s="842">
        <v>0.62690000000000001</v>
      </c>
      <c r="L61" s="842">
        <v>0.62690000000000001</v>
      </c>
      <c r="M61" s="842">
        <v>0.62690000000000001</v>
      </c>
    </row>
    <row r="62" spans="1:13">
      <c r="A62" s="835">
        <v>6</v>
      </c>
      <c r="B62" s="842">
        <v>0.89890000000000003</v>
      </c>
      <c r="C62" s="842">
        <v>0.89890000000000003</v>
      </c>
      <c r="D62" s="842">
        <v>0.79020000000000001</v>
      </c>
      <c r="E62" s="842">
        <v>0.79020000000000001</v>
      </c>
      <c r="F62" s="842">
        <v>0.79020000000000001</v>
      </c>
      <c r="G62" s="842">
        <v>0.79020000000000001</v>
      </c>
      <c r="H62" s="842">
        <v>0.79020000000000001</v>
      </c>
      <c r="I62" s="842">
        <v>0.62350000000000005</v>
      </c>
      <c r="J62" s="842">
        <v>0.62350000000000005</v>
      </c>
      <c r="K62" s="842">
        <v>0.62350000000000005</v>
      </c>
      <c r="L62" s="842">
        <v>0.62350000000000005</v>
      </c>
      <c r="M62" s="842">
        <v>0.62350000000000005</v>
      </c>
    </row>
    <row r="63" spans="1:13">
      <c r="A63" s="835">
        <v>6.1</v>
      </c>
      <c r="B63" s="842">
        <v>0.89649999999999996</v>
      </c>
      <c r="C63" s="842">
        <v>0.89649999999999996</v>
      </c>
      <c r="D63" s="842">
        <v>0.78769999999999996</v>
      </c>
      <c r="E63" s="842">
        <v>0.78769999999999996</v>
      </c>
      <c r="F63" s="842">
        <v>0.78769999999999996</v>
      </c>
      <c r="G63" s="842">
        <v>0.78769999999999996</v>
      </c>
      <c r="H63" s="842">
        <v>0.78769999999999996</v>
      </c>
      <c r="I63" s="842">
        <v>0.62029999999999996</v>
      </c>
      <c r="J63" s="842">
        <v>0.62029999999999996</v>
      </c>
      <c r="K63" s="842">
        <v>0.62029999999999996</v>
      </c>
      <c r="L63" s="842">
        <v>0.62029999999999996</v>
      </c>
      <c r="M63" s="842">
        <v>0.62029999999999996</v>
      </c>
    </row>
    <row r="64" spans="1:13">
      <c r="A64" s="835">
        <v>6.2</v>
      </c>
      <c r="B64" s="842">
        <v>0.89429999999999998</v>
      </c>
      <c r="C64" s="842">
        <v>0.89429999999999998</v>
      </c>
      <c r="D64" s="842">
        <v>0.78520000000000001</v>
      </c>
      <c r="E64" s="842">
        <v>0.78520000000000001</v>
      </c>
      <c r="F64" s="842">
        <v>0.78520000000000001</v>
      </c>
      <c r="G64" s="842">
        <v>0.78520000000000001</v>
      </c>
      <c r="H64" s="842">
        <v>0.78520000000000001</v>
      </c>
      <c r="I64" s="842">
        <v>0.61719999999999997</v>
      </c>
      <c r="J64" s="842">
        <v>0.61719999999999997</v>
      </c>
      <c r="K64" s="842">
        <v>0.61719999999999997</v>
      </c>
      <c r="L64" s="842">
        <v>0.61719999999999997</v>
      </c>
      <c r="M64" s="842">
        <v>0.61719999999999997</v>
      </c>
    </row>
    <row r="65" spans="1:13">
      <c r="A65" s="835">
        <v>6.3</v>
      </c>
      <c r="B65" s="842">
        <v>0.89200000000000002</v>
      </c>
      <c r="C65" s="842">
        <v>0.89200000000000002</v>
      </c>
      <c r="D65" s="842">
        <v>0.78280000000000005</v>
      </c>
      <c r="E65" s="842">
        <v>0.78280000000000005</v>
      </c>
      <c r="F65" s="842">
        <v>0.78280000000000005</v>
      </c>
      <c r="G65" s="842">
        <v>0.78280000000000005</v>
      </c>
      <c r="H65" s="842">
        <v>0.78280000000000005</v>
      </c>
      <c r="I65" s="842">
        <v>0.61409999999999998</v>
      </c>
      <c r="J65" s="842">
        <v>0.61409999999999998</v>
      </c>
      <c r="K65" s="842">
        <v>0.61409999999999998</v>
      </c>
      <c r="L65" s="842">
        <v>0.61409999999999998</v>
      </c>
      <c r="M65" s="842">
        <v>0.61409999999999998</v>
      </c>
    </row>
    <row r="66" spans="1:13">
      <c r="A66" s="835">
        <v>6.4</v>
      </c>
      <c r="B66" s="842">
        <v>0.88990000000000002</v>
      </c>
      <c r="C66" s="842">
        <v>0.88990000000000002</v>
      </c>
      <c r="D66" s="842">
        <v>0.78039999999999998</v>
      </c>
      <c r="E66" s="842">
        <v>0.78039999999999998</v>
      </c>
      <c r="F66" s="842">
        <v>0.78039999999999998</v>
      </c>
      <c r="G66" s="842">
        <v>0.78039999999999998</v>
      </c>
      <c r="H66" s="842">
        <v>0.78039999999999998</v>
      </c>
      <c r="I66" s="842">
        <v>0.61099999999999999</v>
      </c>
      <c r="J66" s="842">
        <v>0.61099999999999999</v>
      </c>
      <c r="K66" s="842">
        <v>0.61099999999999999</v>
      </c>
      <c r="L66" s="842">
        <v>0.61099999999999999</v>
      </c>
      <c r="M66" s="842">
        <v>0.61099999999999999</v>
      </c>
    </row>
    <row r="67" spans="1:13">
      <c r="A67" s="835">
        <v>6.5</v>
      </c>
      <c r="B67" s="842">
        <v>0.88780000000000003</v>
      </c>
      <c r="C67" s="842">
        <v>0.88780000000000003</v>
      </c>
      <c r="D67" s="842">
        <v>0.77810000000000001</v>
      </c>
      <c r="E67" s="842">
        <v>0.77810000000000001</v>
      </c>
      <c r="F67" s="842">
        <v>0.77810000000000001</v>
      </c>
      <c r="G67" s="842">
        <v>0.77810000000000001</v>
      </c>
      <c r="H67" s="842">
        <v>0.77810000000000001</v>
      </c>
      <c r="I67" s="842">
        <v>0.60799999999999998</v>
      </c>
      <c r="J67" s="842">
        <v>0.60799999999999998</v>
      </c>
      <c r="K67" s="842">
        <v>0.60799999999999998</v>
      </c>
      <c r="L67" s="842">
        <v>0.60799999999999998</v>
      </c>
      <c r="M67" s="842">
        <v>0.60799999999999998</v>
      </c>
    </row>
    <row r="68" spans="1:13">
      <c r="A68" s="835">
        <v>6.6</v>
      </c>
      <c r="B68" s="842">
        <v>0.88580000000000003</v>
      </c>
      <c r="C68" s="842">
        <v>0.88580000000000003</v>
      </c>
      <c r="D68" s="842">
        <v>0.77580000000000005</v>
      </c>
      <c r="E68" s="842">
        <v>0.77580000000000005</v>
      </c>
      <c r="F68" s="842">
        <v>0.77580000000000005</v>
      </c>
      <c r="G68" s="842">
        <v>0.77580000000000005</v>
      </c>
      <c r="H68" s="842">
        <v>0.77580000000000005</v>
      </c>
      <c r="I68" s="842">
        <v>0.60499999999999998</v>
      </c>
      <c r="J68" s="842">
        <v>0.60499999999999998</v>
      </c>
      <c r="K68" s="842">
        <v>0.60499999999999998</v>
      </c>
      <c r="L68" s="842">
        <v>0.60499999999999998</v>
      </c>
      <c r="M68" s="842">
        <v>0.60499999999999998</v>
      </c>
    </row>
    <row r="69" spans="1:13">
      <c r="A69" s="835">
        <v>6.7</v>
      </c>
      <c r="B69" s="842">
        <v>0.88380000000000003</v>
      </c>
      <c r="C69" s="842">
        <v>0.88380000000000003</v>
      </c>
      <c r="D69" s="842">
        <v>0.77359999999999995</v>
      </c>
      <c r="E69" s="842">
        <v>0.77359999999999995</v>
      </c>
      <c r="F69" s="842">
        <v>0.77359999999999995</v>
      </c>
      <c r="G69" s="842">
        <v>0.77359999999999995</v>
      </c>
      <c r="H69" s="842">
        <v>0.77359999999999995</v>
      </c>
      <c r="I69" s="842">
        <v>0.60209999999999997</v>
      </c>
      <c r="J69" s="842">
        <v>0.60209999999999997</v>
      </c>
      <c r="K69" s="842">
        <v>0.60209999999999997</v>
      </c>
      <c r="L69" s="842">
        <v>0.60209999999999997</v>
      </c>
      <c r="M69" s="842">
        <v>0.60209999999999997</v>
      </c>
    </row>
    <row r="70" spans="1:13">
      <c r="A70" s="835">
        <v>6.8</v>
      </c>
      <c r="B70" s="842">
        <v>0.88190000000000002</v>
      </c>
      <c r="C70" s="842">
        <v>0.88190000000000002</v>
      </c>
      <c r="D70" s="842">
        <v>0.77159999999999995</v>
      </c>
      <c r="E70" s="842">
        <v>0.77159999999999995</v>
      </c>
      <c r="F70" s="842">
        <v>0.77159999999999995</v>
      </c>
      <c r="G70" s="842">
        <v>0.77159999999999995</v>
      </c>
      <c r="H70" s="842">
        <v>0.77159999999999995</v>
      </c>
      <c r="I70" s="842">
        <v>0.59930000000000005</v>
      </c>
      <c r="J70" s="842">
        <v>0.59930000000000005</v>
      </c>
      <c r="K70" s="842">
        <v>0.59930000000000005</v>
      </c>
      <c r="L70" s="842">
        <v>0.59930000000000005</v>
      </c>
      <c r="M70" s="842">
        <v>0.59930000000000005</v>
      </c>
    </row>
    <row r="71" spans="1:13">
      <c r="A71" s="835">
        <v>6.9</v>
      </c>
      <c r="B71" s="842">
        <v>0.88</v>
      </c>
      <c r="C71" s="842">
        <v>0.88</v>
      </c>
      <c r="D71" s="842">
        <v>0.76949999999999996</v>
      </c>
      <c r="E71" s="842">
        <v>0.76949999999999996</v>
      </c>
      <c r="F71" s="842">
        <v>0.76949999999999996</v>
      </c>
      <c r="G71" s="842">
        <v>0.76949999999999996</v>
      </c>
      <c r="H71" s="842">
        <v>0.76949999999999996</v>
      </c>
      <c r="I71" s="842">
        <v>0.59640000000000004</v>
      </c>
      <c r="J71" s="842">
        <v>0.59640000000000004</v>
      </c>
      <c r="K71" s="842">
        <v>0.59640000000000004</v>
      </c>
      <c r="L71" s="842">
        <v>0.59640000000000004</v>
      </c>
      <c r="M71" s="842">
        <v>0.59640000000000004</v>
      </c>
    </row>
    <row r="72" spans="1:13">
      <c r="A72" s="835">
        <v>7</v>
      </c>
      <c r="B72" s="842">
        <v>0.87819999999999998</v>
      </c>
      <c r="C72" s="842">
        <v>0.87819999999999998</v>
      </c>
      <c r="D72" s="842">
        <v>0.76749999999999996</v>
      </c>
      <c r="E72" s="842">
        <v>0.76749999999999996</v>
      </c>
      <c r="F72" s="842">
        <v>0.76749999999999996</v>
      </c>
      <c r="G72" s="842">
        <v>0.76749999999999996</v>
      </c>
      <c r="H72" s="842">
        <v>0.76749999999999996</v>
      </c>
      <c r="I72" s="842">
        <v>0.59360000000000002</v>
      </c>
      <c r="J72" s="842">
        <v>0.59360000000000002</v>
      </c>
      <c r="K72" s="842">
        <v>0.59360000000000002</v>
      </c>
      <c r="L72" s="842">
        <v>0.59360000000000002</v>
      </c>
      <c r="M72" s="842">
        <v>0.59360000000000002</v>
      </c>
    </row>
    <row r="73" spans="1:13">
      <c r="A73" s="835">
        <v>7.1</v>
      </c>
      <c r="B73" s="842">
        <v>0.87660000000000005</v>
      </c>
      <c r="C73" s="842">
        <v>0.87660000000000005</v>
      </c>
      <c r="D73" s="842">
        <v>0.76570000000000005</v>
      </c>
      <c r="E73" s="842">
        <v>0.76570000000000005</v>
      </c>
      <c r="F73" s="842">
        <v>0.76570000000000005</v>
      </c>
      <c r="G73" s="842">
        <v>0.76570000000000005</v>
      </c>
      <c r="H73" s="842">
        <v>0.76570000000000005</v>
      </c>
      <c r="I73" s="842">
        <v>0.59109999999999996</v>
      </c>
      <c r="J73" s="842">
        <v>0.59109999999999996</v>
      </c>
      <c r="K73" s="842">
        <v>0.59109999999999996</v>
      </c>
      <c r="L73" s="842">
        <v>0.59109999999999996</v>
      </c>
      <c r="M73" s="842">
        <v>0.59109999999999996</v>
      </c>
    </row>
    <row r="74" spans="1:13">
      <c r="A74" s="835">
        <v>7.2</v>
      </c>
      <c r="B74" s="842">
        <v>0.87490000000000001</v>
      </c>
      <c r="C74" s="842">
        <v>0.87490000000000001</v>
      </c>
      <c r="D74" s="842">
        <v>0.76380000000000003</v>
      </c>
      <c r="E74" s="842">
        <v>0.76380000000000003</v>
      </c>
      <c r="F74" s="842">
        <v>0.76380000000000003</v>
      </c>
      <c r="G74" s="842">
        <v>0.76380000000000003</v>
      </c>
      <c r="H74" s="842">
        <v>0.76380000000000003</v>
      </c>
      <c r="I74" s="842">
        <v>0.58860000000000001</v>
      </c>
      <c r="J74" s="842">
        <v>0.58860000000000001</v>
      </c>
      <c r="K74" s="842">
        <v>0.58860000000000001</v>
      </c>
      <c r="L74" s="842">
        <v>0.58860000000000001</v>
      </c>
      <c r="M74" s="842">
        <v>0.58860000000000001</v>
      </c>
    </row>
    <row r="75" spans="1:13">
      <c r="A75" s="835">
        <v>7.3</v>
      </c>
      <c r="B75" s="842">
        <v>0.87329999999999997</v>
      </c>
      <c r="C75" s="842">
        <v>0.87329999999999997</v>
      </c>
      <c r="D75" s="842">
        <v>0.76200000000000001</v>
      </c>
      <c r="E75" s="842">
        <v>0.76200000000000001</v>
      </c>
      <c r="F75" s="842">
        <v>0.76200000000000001</v>
      </c>
      <c r="G75" s="842">
        <v>0.76200000000000001</v>
      </c>
      <c r="H75" s="842">
        <v>0.76200000000000001</v>
      </c>
      <c r="I75" s="842">
        <v>0.58620000000000005</v>
      </c>
      <c r="J75" s="842">
        <v>0.58620000000000005</v>
      </c>
      <c r="K75" s="842">
        <v>0.58620000000000005</v>
      </c>
      <c r="L75" s="842">
        <v>0.58620000000000005</v>
      </c>
      <c r="M75" s="842">
        <v>0.58620000000000005</v>
      </c>
    </row>
    <row r="76" spans="1:13">
      <c r="A76" s="835">
        <v>7.4</v>
      </c>
      <c r="B76" s="842">
        <v>0.87160000000000004</v>
      </c>
      <c r="C76" s="842">
        <v>0.87160000000000004</v>
      </c>
      <c r="D76" s="842">
        <v>0.76029999999999998</v>
      </c>
      <c r="E76" s="842">
        <v>0.76029999999999998</v>
      </c>
      <c r="F76" s="842">
        <v>0.76029999999999998</v>
      </c>
      <c r="G76" s="842">
        <v>0.76029999999999998</v>
      </c>
      <c r="H76" s="842">
        <v>0.76029999999999998</v>
      </c>
      <c r="I76" s="842">
        <v>0.58379999999999999</v>
      </c>
      <c r="J76" s="842">
        <v>0.58379999999999999</v>
      </c>
      <c r="K76" s="842">
        <v>0.58379999999999999</v>
      </c>
      <c r="L76" s="842">
        <v>0.58379999999999999</v>
      </c>
      <c r="M76" s="842">
        <v>0.58379999999999999</v>
      </c>
    </row>
    <row r="77" spans="1:13">
      <c r="A77" s="835">
        <v>7.5</v>
      </c>
      <c r="B77" s="842">
        <v>0.87</v>
      </c>
      <c r="C77" s="842">
        <v>0.87</v>
      </c>
      <c r="D77" s="842">
        <v>0.75849999999999995</v>
      </c>
      <c r="E77" s="842">
        <v>0.75849999999999995</v>
      </c>
      <c r="F77" s="842">
        <v>0.75849999999999995</v>
      </c>
      <c r="G77" s="842">
        <v>0.75849999999999995</v>
      </c>
      <c r="H77" s="842">
        <v>0.75849999999999995</v>
      </c>
      <c r="I77" s="842">
        <v>0.58140000000000003</v>
      </c>
      <c r="J77" s="842">
        <v>0.58140000000000003</v>
      </c>
      <c r="K77" s="842">
        <v>0.58140000000000003</v>
      </c>
      <c r="L77" s="842">
        <v>0.58140000000000003</v>
      </c>
      <c r="M77" s="842">
        <v>0.58140000000000003</v>
      </c>
    </row>
    <row r="78" spans="1:13">
      <c r="A78" s="835">
        <v>7.6</v>
      </c>
      <c r="B78" s="842">
        <v>0.86839999999999995</v>
      </c>
      <c r="C78" s="842">
        <v>0.86839999999999995</v>
      </c>
      <c r="D78" s="842">
        <v>0.75680000000000003</v>
      </c>
      <c r="E78" s="842">
        <v>0.75680000000000003</v>
      </c>
      <c r="F78" s="842">
        <v>0.75680000000000003</v>
      </c>
      <c r="G78" s="842">
        <v>0.75680000000000003</v>
      </c>
      <c r="H78" s="842">
        <v>0.75680000000000003</v>
      </c>
      <c r="I78" s="842">
        <v>0.57899999999999996</v>
      </c>
      <c r="J78" s="842">
        <v>0.57899999999999996</v>
      </c>
      <c r="K78" s="842">
        <v>0.57899999999999996</v>
      </c>
      <c r="L78" s="842">
        <v>0.57899999999999996</v>
      </c>
      <c r="M78" s="842">
        <v>0.57899999999999996</v>
      </c>
    </row>
    <row r="79" spans="1:13">
      <c r="A79" s="835">
        <v>7.7</v>
      </c>
      <c r="B79" s="842">
        <v>0.8669</v>
      </c>
      <c r="C79" s="842">
        <v>0.8669</v>
      </c>
      <c r="D79" s="842">
        <v>0.755</v>
      </c>
      <c r="E79" s="842">
        <v>0.755</v>
      </c>
      <c r="F79" s="842">
        <v>0.755</v>
      </c>
      <c r="G79" s="842">
        <v>0.755</v>
      </c>
      <c r="H79" s="842">
        <v>0.755</v>
      </c>
      <c r="I79" s="842">
        <v>0.57669999999999999</v>
      </c>
      <c r="J79" s="842">
        <v>0.57669999999999999</v>
      </c>
      <c r="K79" s="842">
        <v>0.57669999999999999</v>
      </c>
      <c r="L79" s="842">
        <v>0.57669999999999999</v>
      </c>
      <c r="M79" s="842">
        <v>0.57669999999999999</v>
      </c>
    </row>
    <row r="80" spans="1:13">
      <c r="A80" s="835">
        <v>7.8</v>
      </c>
      <c r="B80" s="842">
        <v>0.86539999999999995</v>
      </c>
      <c r="C80" s="842">
        <v>0.86539999999999995</v>
      </c>
      <c r="D80" s="842">
        <v>0.75329999999999997</v>
      </c>
      <c r="E80" s="842">
        <v>0.75329999999999997</v>
      </c>
      <c r="F80" s="842">
        <v>0.75329999999999997</v>
      </c>
      <c r="G80" s="842">
        <v>0.75329999999999997</v>
      </c>
      <c r="H80" s="842">
        <v>0.75329999999999997</v>
      </c>
      <c r="I80" s="842">
        <v>0.57450000000000001</v>
      </c>
      <c r="J80" s="842">
        <v>0.57450000000000001</v>
      </c>
      <c r="K80" s="842">
        <v>0.57450000000000001</v>
      </c>
      <c r="L80" s="842">
        <v>0.57450000000000001</v>
      </c>
      <c r="M80" s="842">
        <v>0.57450000000000001</v>
      </c>
    </row>
    <row r="81" spans="1:13">
      <c r="A81" s="835">
        <v>7.9</v>
      </c>
      <c r="B81" s="842">
        <v>0.86380000000000001</v>
      </c>
      <c r="C81" s="842">
        <v>0.86380000000000001</v>
      </c>
      <c r="D81" s="842">
        <v>0.75170000000000003</v>
      </c>
      <c r="E81" s="842">
        <v>0.75170000000000003</v>
      </c>
      <c r="F81" s="842">
        <v>0.75170000000000003</v>
      </c>
      <c r="G81" s="842">
        <v>0.75170000000000003</v>
      </c>
      <c r="H81" s="842">
        <v>0.75170000000000003</v>
      </c>
      <c r="I81" s="842">
        <v>0.57220000000000004</v>
      </c>
      <c r="J81" s="842">
        <v>0.57220000000000004</v>
      </c>
      <c r="K81" s="842">
        <v>0.57220000000000004</v>
      </c>
      <c r="L81" s="842">
        <v>0.57220000000000004</v>
      </c>
      <c r="M81" s="842">
        <v>0.57220000000000004</v>
      </c>
    </row>
    <row r="82" spans="1:13">
      <c r="A82" s="835">
        <v>8</v>
      </c>
      <c r="B82" s="842">
        <v>0.86240000000000006</v>
      </c>
      <c r="C82" s="842">
        <v>0.86240000000000006</v>
      </c>
      <c r="D82" s="842">
        <v>0.75</v>
      </c>
      <c r="E82" s="842">
        <v>0.75</v>
      </c>
      <c r="F82" s="842">
        <v>0.75</v>
      </c>
      <c r="G82" s="842">
        <v>0.75</v>
      </c>
      <c r="H82" s="842">
        <v>0.75</v>
      </c>
      <c r="I82" s="842">
        <v>0.56989999999999996</v>
      </c>
      <c r="J82" s="842">
        <v>0.56989999999999996</v>
      </c>
      <c r="K82" s="842">
        <v>0.56989999999999996</v>
      </c>
      <c r="L82" s="842">
        <v>0.56989999999999996</v>
      </c>
      <c r="M82" s="842">
        <v>0.56989999999999996</v>
      </c>
    </row>
    <row r="83" spans="1:13">
      <c r="A83" s="835">
        <v>8.1</v>
      </c>
      <c r="B83" s="842">
        <v>0.86099999999999999</v>
      </c>
      <c r="C83" s="842">
        <v>0.86099999999999999</v>
      </c>
      <c r="D83" s="842">
        <v>0.74850000000000005</v>
      </c>
      <c r="E83" s="842">
        <v>0.74850000000000005</v>
      </c>
      <c r="F83" s="842">
        <v>0.74850000000000005</v>
      </c>
      <c r="G83" s="842">
        <v>0.74850000000000005</v>
      </c>
      <c r="H83" s="842">
        <v>0.74850000000000005</v>
      </c>
      <c r="I83" s="842">
        <v>0.56779999999999997</v>
      </c>
      <c r="J83" s="842">
        <v>0.56779999999999997</v>
      </c>
      <c r="K83" s="842">
        <v>0.56779999999999997</v>
      </c>
      <c r="L83" s="842">
        <v>0.56779999999999997</v>
      </c>
      <c r="M83" s="842">
        <v>0.56779999999999997</v>
      </c>
    </row>
    <row r="84" spans="1:13">
      <c r="A84" s="835">
        <v>8.1999999999999993</v>
      </c>
      <c r="B84" s="842">
        <v>0.85970000000000002</v>
      </c>
      <c r="C84" s="842">
        <v>0.85970000000000002</v>
      </c>
      <c r="D84" s="842">
        <v>0.747</v>
      </c>
      <c r="E84" s="842">
        <v>0.747</v>
      </c>
      <c r="F84" s="842">
        <v>0.747</v>
      </c>
      <c r="G84" s="842">
        <v>0.747</v>
      </c>
      <c r="H84" s="842">
        <v>0.747</v>
      </c>
      <c r="I84" s="842">
        <v>0.56589999999999996</v>
      </c>
      <c r="J84" s="842">
        <v>0.56589999999999996</v>
      </c>
      <c r="K84" s="842">
        <v>0.56589999999999996</v>
      </c>
      <c r="L84" s="842">
        <v>0.56589999999999996</v>
      </c>
      <c r="M84" s="842">
        <v>0.56589999999999996</v>
      </c>
    </row>
    <row r="85" spans="1:13">
      <c r="A85" s="835">
        <v>8.3000000000000007</v>
      </c>
      <c r="B85" s="842">
        <v>0.85840000000000005</v>
      </c>
      <c r="C85" s="842">
        <v>0.85840000000000005</v>
      </c>
      <c r="D85" s="842">
        <v>0.74560000000000004</v>
      </c>
      <c r="E85" s="842">
        <v>0.74560000000000004</v>
      </c>
      <c r="F85" s="842">
        <v>0.74560000000000004</v>
      </c>
      <c r="G85" s="842">
        <v>0.74560000000000004</v>
      </c>
      <c r="H85" s="842">
        <v>0.74560000000000004</v>
      </c>
      <c r="I85" s="842">
        <v>0.56389999999999996</v>
      </c>
      <c r="J85" s="842">
        <v>0.56389999999999996</v>
      </c>
      <c r="K85" s="842">
        <v>0.56389999999999996</v>
      </c>
      <c r="L85" s="842">
        <v>0.56389999999999996</v>
      </c>
      <c r="M85" s="842">
        <v>0.56389999999999996</v>
      </c>
    </row>
    <row r="86" spans="1:13">
      <c r="A86" s="835">
        <v>8.4</v>
      </c>
      <c r="B86" s="842">
        <v>0.85709999999999997</v>
      </c>
      <c r="C86" s="842">
        <v>0.85709999999999997</v>
      </c>
      <c r="D86" s="842">
        <v>0.74419999999999997</v>
      </c>
      <c r="E86" s="842">
        <v>0.74419999999999997</v>
      </c>
      <c r="F86" s="842">
        <v>0.74419999999999997</v>
      </c>
      <c r="G86" s="842">
        <v>0.74419999999999997</v>
      </c>
      <c r="H86" s="842">
        <v>0.74419999999999997</v>
      </c>
      <c r="I86" s="842">
        <v>0.56189999999999996</v>
      </c>
      <c r="J86" s="842">
        <v>0.56189999999999996</v>
      </c>
      <c r="K86" s="842">
        <v>0.56189999999999996</v>
      </c>
      <c r="L86" s="842">
        <v>0.56189999999999996</v>
      </c>
      <c r="M86" s="842">
        <v>0.56189999999999996</v>
      </c>
    </row>
    <row r="87" spans="1:13">
      <c r="A87" s="835">
        <v>8.5</v>
      </c>
      <c r="B87" s="842">
        <v>0.85580000000000001</v>
      </c>
      <c r="C87" s="842">
        <v>0.85580000000000001</v>
      </c>
      <c r="D87" s="842">
        <v>0.74270000000000003</v>
      </c>
      <c r="E87" s="842">
        <v>0.74270000000000003</v>
      </c>
      <c r="F87" s="842">
        <v>0.74270000000000003</v>
      </c>
      <c r="G87" s="842">
        <v>0.74270000000000003</v>
      </c>
      <c r="H87" s="842">
        <v>0.74270000000000003</v>
      </c>
      <c r="I87" s="842">
        <v>0.55989999999999995</v>
      </c>
      <c r="J87" s="842">
        <v>0.55989999999999995</v>
      </c>
      <c r="K87" s="842">
        <v>0.55989999999999995</v>
      </c>
      <c r="L87" s="842">
        <v>0.55989999999999995</v>
      </c>
      <c r="M87" s="842">
        <v>0.55989999999999995</v>
      </c>
    </row>
    <row r="88" spans="1:13">
      <c r="A88" s="835">
        <v>8.6</v>
      </c>
      <c r="B88" s="842">
        <v>0.85450000000000004</v>
      </c>
      <c r="C88" s="842">
        <v>0.85450000000000004</v>
      </c>
      <c r="D88" s="842">
        <v>0.74129999999999996</v>
      </c>
      <c r="E88" s="842">
        <v>0.74129999999999996</v>
      </c>
      <c r="F88" s="842">
        <v>0.74129999999999996</v>
      </c>
      <c r="G88" s="842">
        <v>0.74129999999999996</v>
      </c>
      <c r="H88" s="842">
        <v>0.74129999999999996</v>
      </c>
      <c r="I88" s="842">
        <v>0.55800000000000005</v>
      </c>
      <c r="J88" s="842">
        <v>0.55800000000000005</v>
      </c>
      <c r="K88" s="842">
        <v>0.55800000000000005</v>
      </c>
      <c r="L88" s="842">
        <v>0.55800000000000005</v>
      </c>
      <c r="M88" s="842">
        <v>0.55800000000000005</v>
      </c>
    </row>
    <row r="89" spans="1:13">
      <c r="A89" s="835">
        <v>8.6999999999999993</v>
      </c>
      <c r="B89" s="842">
        <v>0.85329999999999995</v>
      </c>
      <c r="C89" s="842">
        <v>0.85329999999999995</v>
      </c>
      <c r="D89" s="842">
        <v>0.7399</v>
      </c>
      <c r="E89" s="842">
        <v>0.7399</v>
      </c>
      <c r="F89" s="842">
        <v>0.7399</v>
      </c>
      <c r="G89" s="842">
        <v>0.7399</v>
      </c>
      <c r="H89" s="842">
        <v>0.7399</v>
      </c>
      <c r="I89" s="842">
        <v>0.55600000000000005</v>
      </c>
      <c r="J89" s="842">
        <v>0.55600000000000005</v>
      </c>
      <c r="K89" s="842">
        <v>0.55600000000000005</v>
      </c>
      <c r="L89" s="842">
        <v>0.55600000000000005</v>
      </c>
      <c r="M89" s="842">
        <v>0.55600000000000005</v>
      </c>
    </row>
    <row r="90" spans="1:13">
      <c r="A90" s="835">
        <v>8.8000000000000007</v>
      </c>
      <c r="B90" s="842">
        <v>0.85209999999999997</v>
      </c>
      <c r="C90" s="842">
        <v>0.85209999999999997</v>
      </c>
      <c r="D90" s="842">
        <v>0.73850000000000005</v>
      </c>
      <c r="E90" s="842">
        <v>0.73850000000000005</v>
      </c>
      <c r="F90" s="842">
        <v>0.73850000000000005</v>
      </c>
      <c r="G90" s="842">
        <v>0.73850000000000005</v>
      </c>
      <c r="H90" s="842">
        <v>0.73850000000000005</v>
      </c>
      <c r="I90" s="842">
        <v>0.55420000000000003</v>
      </c>
      <c r="J90" s="842">
        <v>0.55420000000000003</v>
      </c>
      <c r="K90" s="842">
        <v>0.55420000000000003</v>
      </c>
      <c r="L90" s="842">
        <v>0.55420000000000003</v>
      </c>
      <c r="M90" s="842">
        <v>0.55420000000000003</v>
      </c>
    </row>
    <row r="91" spans="1:13">
      <c r="A91" s="835">
        <v>8.9</v>
      </c>
      <c r="B91" s="842">
        <v>0.85099999999999998</v>
      </c>
      <c r="C91" s="842">
        <v>0.85099999999999998</v>
      </c>
      <c r="D91" s="842">
        <v>0.73719999999999997</v>
      </c>
      <c r="E91" s="842">
        <v>0.73719999999999997</v>
      </c>
      <c r="F91" s="842">
        <v>0.73719999999999997</v>
      </c>
      <c r="G91" s="842">
        <v>0.73719999999999997</v>
      </c>
      <c r="H91" s="842">
        <v>0.73719999999999997</v>
      </c>
      <c r="I91" s="842">
        <v>0.55230000000000001</v>
      </c>
      <c r="J91" s="842">
        <v>0.55230000000000001</v>
      </c>
      <c r="K91" s="842">
        <v>0.55230000000000001</v>
      </c>
      <c r="L91" s="842">
        <v>0.55230000000000001</v>
      </c>
      <c r="M91" s="842">
        <v>0.55230000000000001</v>
      </c>
    </row>
    <row r="92" spans="1:13">
      <c r="A92" s="850">
        <v>9</v>
      </c>
      <c r="B92" s="842">
        <v>0.8498</v>
      </c>
      <c r="C92" s="842">
        <v>0.8498</v>
      </c>
      <c r="D92" s="842">
        <v>0.7359</v>
      </c>
      <c r="E92" s="842">
        <v>0.7359</v>
      </c>
      <c r="F92" s="842">
        <v>0.7359</v>
      </c>
      <c r="G92" s="842">
        <v>0.7359</v>
      </c>
      <c r="H92" s="842">
        <v>0.7359</v>
      </c>
      <c r="I92" s="842">
        <v>0.55049999999999999</v>
      </c>
      <c r="J92" s="842">
        <v>0.55049999999999999</v>
      </c>
      <c r="K92" s="842">
        <v>0.55049999999999999</v>
      </c>
      <c r="L92" s="842">
        <v>0.55049999999999999</v>
      </c>
      <c r="M92" s="842">
        <v>0.55049999999999999</v>
      </c>
    </row>
    <row r="93" spans="1:13">
      <c r="A93" s="850">
        <v>9.1</v>
      </c>
      <c r="B93" s="842">
        <v>0.84870000000000001</v>
      </c>
      <c r="C93" s="842">
        <v>0.84870000000000001</v>
      </c>
      <c r="D93" s="842">
        <v>0.73470000000000002</v>
      </c>
      <c r="E93" s="842">
        <v>0.73470000000000002</v>
      </c>
      <c r="F93" s="842">
        <v>0.73470000000000002</v>
      </c>
      <c r="G93" s="842">
        <v>0.73470000000000002</v>
      </c>
      <c r="H93" s="842">
        <v>0.73470000000000002</v>
      </c>
      <c r="I93" s="842">
        <v>0.54879999999999995</v>
      </c>
      <c r="J93" s="842">
        <v>0.54879999999999995</v>
      </c>
      <c r="K93" s="842">
        <v>0.54879999999999995</v>
      </c>
      <c r="L93" s="842">
        <v>0.54879999999999995</v>
      </c>
      <c r="M93" s="842">
        <v>0.54879999999999995</v>
      </c>
    </row>
    <row r="94" spans="1:13">
      <c r="A94" s="850">
        <v>9.1999999999999993</v>
      </c>
      <c r="B94" s="842">
        <v>0.84770000000000001</v>
      </c>
      <c r="C94" s="842">
        <v>0.84770000000000001</v>
      </c>
      <c r="D94" s="842">
        <v>0.73350000000000004</v>
      </c>
      <c r="E94" s="842">
        <v>0.73350000000000004</v>
      </c>
      <c r="F94" s="842">
        <v>0.73350000000000004</v>
      </c>
      <c r="G94" s="842">
        <v>0.73350000000000004</v>
      </c>
      <c r="H94" s="842">
        <v>0.73350000000000004</v>
      </c>
      <c r="I94" s="842">
        <v>0.54710000000000003</v>
      </c>
      <c r="J94" s="842">
        <v>0.54710000000000003</v>
      </c>
      <c r="K94" s="842">
        <v>0.54710000000000003</v>
      </c>
      <c r="L94" s="842">
        <v>0.54710000000000003</v>
      </c>
      <c r="M94" s="842">
        <v>0.54710000000000003</v>
      </c>
    </row>
    <row r="95" spans="1:13">
      <c r="A95" s="850">
        <v>9.3000000000000007</v>
      </c>
      <c r="B95" s="842">
        <v>0.84660000000000002</v>
      </c>
      <c r="C95" s="842">
        <v>0.84660000000000002</v>
      </c>
      <c r="D95" s="842">
        <v>0.73229999999999995</v>
      </c>
      <c r="E95" s="842">
        <v>0.73229999999999995</v>
      </c>
      <c r="F95" s="842">
        <v>0.73229999999999995</v>
      </c>
      <c r="G95" s="842">
        <v>0.73229999999999995</v>
      </c>
      <c r="H95" s="842">
        <v>0.73229999999999995</v>
      </c>
      <c r="I95" s="842">
        <v>0.5454</v>
      </c>
      <c r="J95" s="842">
        <v>0.5454</v>
      </c>
      <c r="K95" s="842">
        <v>0.5454</v>
      </c>
      <c r="L95" s="842">
        <v>0.5454</v>
      </c>
      <c r="M95" s="842">
        <v>0.5454</v>
      </c>
    </row>
    <row r="96" spans="1:13">
      <c r="A96" s="850">
        <v>9.4</v>
      </c>
      <c r="B96" s="842">
        <v>0.84550000000000003</v>
      </c>
      <c r="C96" s="842">
        <v>0.84550000000000003</v>
      </c>
      <c r="D96" s="842">
        <v>0.73109999999999997</v>
      </c>
      <c r="E96" s="842">
        <v>0.73109999999999997</v>
      </c>
      <c r="F96" s="842">
        <v>0.73109999999999997</v>
      </c>
      <c r="G96" s="842">
        <v>0.73109999999999997</v>
      </c>
      <c r="H96" s="842">
        <v>0.73109999999999997</v>
      </c>
      <c r="I96" s="842">
        <v>0.54369999999999996</v>
      </c>
      <c r="J96" s="842">
        <v>0.54369999999999996</v>
      </c>
      <c r="K96" s="842">
        <v>0.54369999999999996</v>
      </c>
      <c r="L96" s="842">
        <v>0.54369999999999996</v>
      </c>
      <c r="M96" s="842">
        <v>0.54369999999999996</v>
      </c>
    </row>
    <row r="97" spans="1:14">
      <c r="A97" s="850">
        <v>9.5</v>
      </c>
      <c r="B97" s="842">
        <v>0.84450000000000003</v>
      </c>
      <c r="C97" s="842">
        <v>0.84450000000000003</v>
      </c>
      <c r="D97" s="842">
        <v>0.72989999999999999</v>
      </c>
      <c r="E97" s="842">
        <v>0.72989999999999999</v>
      </c>
      <c r="F97" s="842">
        <v>0.72989999999999999</v>
      </c>
      <c r="G97" s="842">
        <v>0.72989999999999999</v>
      </c>
      <c r="H97" s="842">
        <v>0.72989999999999999</v>
      </c>
      <c r="I97" s="842">
        <v>0.54200000000000004</v>
      </c>
      <c r="J97" s="842">
        <v>0.54200000000000004</v>
      </c>
      <c r="K97" s="842">
        <v>0.54200000000000004</v>
      </c>
      <c r="L97" s="842">
        <v>0.54200000000000004</v>
      </c>
      <c r="M97" s="842">
        <v>0.54200000000000004</v>
      </c>
    </row>
    <row r="98" spans="1:14">
      <c r="A98" s="850">
        <v>9.6</v>
      </c>
      <c r="B98" s="842">
        <v>0.84340000000000004</v>
      </c>
      <c r="C98" s="842">
        <v>0.84340000000000004</v>
      </c>
      <c r="D98" s="842">
        <v>0.72870000000000001</v>
      </c>
      <c r="E98" s="842">
        <v>0.72870000000000001</v>
      </c>
      <c r="F98" s="842">
        <v>0.72870000000000001</v>
      </c>
      <c r="G98" s="842">
        <v>0.72870000000000001</v>
      </c>
      <c r="H98" s="842">
        <v>0.72870000000000001</v>
      </c>
      <c r="I98" s="842">
        <v>0.5403</v>
      </c>
      <c r="J98" s="842">
        <v>0.5403</v>
      </c>
      <c r="K98" s="842">
        <v>0.5403</v>
      </c>
      <c r="L98" s="842">
        <v>0.5403</v>
      </c>
      <c r="M98" s="842">
        <v>0.5403</v>
      </c>
    </row>
    <row r="99" spans="1:14">
      <c r="A99" s="850">
        <v>9.6999999999999993</v>
      </c>
      <c r="B99" s="842">
        <v>0.84230000000000005</v>
      </c>
      <c r="C99" s="842">
        <v>0.84230000000000005</v>
      </c>
      <c r="D99" s="842">
        <v>0.72750000000000004</v>
      </c>
      <c r="E99" s="842">
        <v>0.72750000000000004</v>
      </c>
      <c r="F99" s="842">
        <v>0.72750000000000004</v>
      </c>
      <c r="G99" s="842">
        <v>0.72750000000000004</v>
      </c>
      <c r="H99" s="842">
        <v>0.72750000000000004</v>
      </c>
      <c r="I99" s="842">
        <v>0.53859999999999997</v>
      </c>
      <c r="J99" s="842">
        <v>0.53859999999999997</v>
      </c>
      <c r="K99" s="842">
        <v>0.53859999999999997</v>
      </c>
      <c r="L99" s="842">
        <v>0.53859999999999997</v>
      </c>
      <c r="M99" s="842">
        <v>0.53859999999999997</v>
      </c>
    </row>
    <row r="100" spans="1:14">
      <c r="A100" s="850">
        <v>9.8000000000000007</v>
      </c>
      <c r="B100" s="842">
        <v>0.84140000000000004</v>
      </c>
      <c r="C100" s="842">
        <v>0.84140000000000004</v>
      </c>
      <c r="D100" s="842">
        <v>0.72629999999999995</v>
      </c>
      <c r="E100" s="842">
        <v>0.72629999999999995</v>
      </c>
      <c r="F100" s="842">
        <v>0.72629999999999995</v>
      </c>
      <c r="G100" s="842">
        <v>0.72629999999999995</v>
      </c>
      <c r="H100" s="842">
        <v>0.72629999999999995</v>
      </c>
      <c r="I100" s="842">
        <v>0.53710000000000002</v>
      </c>
      <c r="J100" s="842">
        <v>0.53710000000000002</v>
      </c>
      <c r="K100" s="842">
        <v>0.53710000000000002</v>
      </c>
      <c r="L100" s="842">
        <v>0.53710000000000002</v>
      </c>
      <c r="M100" s="842">
        <v>0.53710000000000002</v>
      </c>
    </row>
    <row r="101" spans="1:14">
      <c r="A101" s="850">
        <v>9.9</v>
      </c>
      <c r="B101" s="842">
        <v>0.84050000000000002</v>
      </c>
      <c r="C101" s="842">
        <v>0.84050000000000002</v>
      </c>
      <c r="D101" s="842">
        <v>0.72519999999999996</v>
      </c>
      <c r="E101" s="842">
        <v>0.72519999999999996</v>
      </c>
      <c r="F101" s="842">
        <v>0.72519999999999996</v>
      </c>
      <c r="G101" s="842">
        <v>0.72519999999999996</v>
      </c>
      <c r="H101" s="842">
        <v>0.72519999999999996</v>
      </c>
      <c r="I101" s="842">
        <v>0.53549999999999998</v>
      </c>
      <c r="J101" s="842">
        <v>0.53549999999999998</v>
      </c>
      <c r="K101" s="842">
        <v>0.53549999999999998</v>
      </c>
      <c r="L101" s="842">
        <v>0.53549999999999998</v>
      </c>
      <c r="M101" s="842">
        <v>0.53549999999999998</v>
      </c>
    </row>
    <row r="102" spans="1:14">
      <c r="A102" s="850">
        <v>10</v>
      </c>
      <c r="B102" s="842">
        <v>0.83950000000000002</v>
      </c>
      <c r="C102" s="842">
        <v>0.83950000000000002</v>
      </c>
      <c r="D102" s="842">
        <v>0.72409999999999997</v>
      </c>
      <c r="E102" s="842">
        <v>0.72409999999999997</v>
      </c>
      <c r="F102" s="842">
        <v>0.72409999999999997</v>
      </c>
      <c r="G102" s="842">
        <v>0.72409999999999997</v>
      </c>
      <c r="H102" s="842">
        <v>0.72409999999999997</v>
      </c>
      <c r="I102" s="842">
        <v>0.53400000000000003</v>
      </c>
      <c r="J102" s="842">
        <v>0.53400000000000003</v>
      </c>
      <c r="K102" s="842">
        <v>0.53400000000000003</v>
      </c>
      <c r="L102" s="842">
        <v>0.53400000000000003</v>
      </c>
      <c r="M102" s="842">
        <v>0.53400000000000003</v>
      </c>
    </row>
    <row r="103" spans="1:14" ht="14.25">
      <c r="A103" s="832" t="s">
        <v>748</v>
      </c>
      <c r="B103" s="833"/>
      <c r="C103" s="833"/>
      <c r="D103" s="833"/>
      <c r="E103" s="833"/>
      <c r="F103" s="833"/>
      <c r="G103" s="833"/>
      <c r="H103" s="833"/>
      <c r="I103" s="833"/>
      <c r="J103" s="833"/>
      <c r="K103" s="833"/>
      <c r="L103" s="833"/>
      <c r="M103" s="833"/>
      <c r="N103" s="833"/>
    </row>
    <row r="104" spans="1:14" ht="14.25">
      <c r="A104" s="835" t="s">
        <v>746</v>
      </c>
      <c r="B104" s="836" t="s">
        <v>157</v>
      </c>
      <c r="C104" s="836" t="s">
        <v>158</v>
      </c>
      <c r="D104" s="836" t="s">
        <v>159</v>
      </c>
      <c r="E104" s="836" t="s">
        <v>160</v>
      </c>
      <c r="F104" s="836" t="s">
        <v>161</v>
      </c>
      <c r="G104" s="836" t="s">
        <v>162</v>
      </c>
      <c r="H104" s="837" t="s">
        <v>163</v>
      </c>
      <c r="I104" s="837" t="s">
        <v>164</v>
      </c>
      <c r="J104" s="838" t="s">
        <v>165</v>
      </c>
      <c r="K104" s="838" t="s">
        <v>166</v>
      </c>
      <c r="L104" s="838" t="s">
        <v>167</v>
      </c>
      <c r="M104" s="838" t="s">
        <v>168</v>
      </c>
      <c r="N104" s="833" t="e">
        <f>SUMPRODUCT((A105:A204=ROUNDDOWN(基准地价修正!G3,1))*(B104:M104=基准地价修正!G2)*(B105:M204))</f>
        <v>#DIV/0!</v>
      </c>
    </row>
    <row r="105" spans="1:14">
      <c r="A105" s="835">
        <v>0.1</v>
      </c>
      <c r="B105" s="842">
        <v>13.733000000000001</v>
      </c>
      <c r="C105" s="842">
        <v>13.733000000000001</v>
      </c>
      <c r="D105" s="842">
        <v>12.787000000000001</v>
      </c>
      <c r="E105" s="842">
        <v>12.787000000000001</v>
      </c>
      <c r="F105" s="842">
        <v>12.787000000000001</v>
      </c>
      <c r="G105" s="842">
        <v>12.787000000000001</v>
      </c>
      <c r="H105" s="842">
        <v>12.787000000000001</v>
      </c>
      <c r="I105" s="842">
        <v>12.384</v>
      </c>
      <c r="J105" s="842">
        <v>12.384</v>
      </c>
      <c r="K105" s="842">
        <v>12.384</v>
      </c>
      <c r="L105" s="842">
        <v>12.384</v>
      </c>
      <c r="M105" s="842">
        <v>12.384</v>
      </c>
    </row>
    <row r="106" spans="1:14">
      <c r="A106" s="835">
        <v>0.2</v>
      </c>
      <c r="B106" s="842">
        <v>6.8665000000000003</v>
      </c>
      <c r="C106" s="842">
        <v>6.8665000000000003</v>
      </c>
      <c r="D106" s="842">
        <v>6.3935000000000004</v>
      </c>
      <c r="E106" s="842">
        <v>6.3935000000000004</v>
      </c>
      <c r="F106" s="842">
        <v>6.3935000000000004</v>
      </c>
      <c r="G106" s="842">
        <v>6.3935000000000004</v>
      </c>
      <c r="H106" s="842">
        <v>6.3935000000000004</v>
      </c>
      <c r="I106" s="842">
        <v>6.1920000000000002</v>
      </c>
      <c r="J106" s="842">
        <v>6.1920000000000002</v>
      </c>
      <c r="K106" s="842">
        <v>6.1920000000000002</v>
      </c>
      <c r="L106" s="842">
        <v>6.1920000000000002</v>
      </c>
      <c r="M106" s="842">
        <v>6.1920000000000002</v>
      </c>
    </row>
    <row r="107" spans="1:14">
      <c r="A107" s="835">
        <v>0.3</v>
      </c>
      <c r="B107" s="842">
        <v>4.5777000000000001</v>
      </c>
      <c r="C107" s="842">
        <v>4.5777000000000001</v>
      </c>
      <c r="D107" s="842">
        <v>4.2622999999999998</v>
      </c>
      <c r="E107" s="842">
        <v>4.2622999999999998</v>
      </c>
      <c r="F107" s="842">
        <v>4.2622999999999998</v>
      </c>
      <c r="G107" s="842">
        <v>4.2622999999999998</v>
      </c>
      <c r="H107" s="842">
        <v>4.2622999999999998</v>
      </c>
      <c r="I107" s="842">
        <v>4.1280000000000001</v>
      </c>
      <c r="J107" s="842">
        <v>4.1280000000000001</v>
      </c>
      <c r="K107" s="842">
        <v>4.1280000000000001</v>
      </c>
      <c r="L107" s="842">
        <v>4.1280000000000001</v>
      </c>
      <c r="M107" s="842">
        <v>4.1280000000000001</v>
      </c>
    </row>
    <row r="108" spans="1:14">
      <c r="A108" s="835">
        <v>0.4</v>
      </c>
      <c r="B108" s="842">
        <v>3.4333</v>
      </c>
      <c r="C108" s="842">
        <v>3.4333</v>
      </c>
      <c r="D108" s="842">
        <v>3.1968000000000001</v>
      </c>
      <c r="E108" s="842">
        <v>3.1968000000000001</v>
      </c>
      <c r="F108" s="842">
        <v>3.1968000000000001</v>
      </c>
      <c r="G108" s="842">
        <v>3.1968000000000001</v>
      </c>
      <c r="H108" s="842">
        <v>3.1968000000000001</v>
      </c>
      <c r="I108" s="842">
        <v>3.0960000000000001</v>
      </c>
      <c r="J108" s="842">
        <v>3.0960000000000001</v>
      </c>
      <c r="K108" s="842">
        <v>3.0960000000000001</v>
      </c>
      <c r="L108" s="842">
        <v>3.0960000000000001</v>
      </c>
      <c r="M108" s="842">
        <v>3.0960000000000001</v>
      </c>
    </row>
    <row r="109" spans="1:14">
      <c r="A109" s="835">
        <v>0.5</v>
      </c>
      <c r="B109" s="842">
        <v>2.7465999999999999</v>
      </c>
      <c r="C109" s="842">
        <v>2.7465999999999999</v>
      </c>
      <c r="D109" s="842">
        <v>2.5573999999999999</v>
      </c>
      <c r="E109" s="842">
        <v>2.5573999999999999</v>
      </c>
      <c r="F109" s="842">
        <v>2.5573999999999999</v>
      </c>
      <c r="G109" s="842">
        <v>2.5573999999999999</v>
      </c>
      <c r="H109" s="842">
        <v>2.5573999999999999</v>
      </c>
      <c r="I109" s="842">
        <v>2.4767999999999999</v>
      </c>
      <c r="J109" s="842">
        <v>2.4767999999999999</v>
      </c>
      <c r="K109" s="842">
        <v>2.4767999999999999</v>
      </c>
      <c r="L109" s="842">
        <v>2.4767999999999999</v>
      </c>
      <c r="M109" s="842">
        <v>2.4767999999999999</v>
      </c>
    </row>
    <row r="110" spans="1:14">
      <c r="A110" s="835">
        <v>0.6</v>
      </c>
      <c r="B110" s="842">
        <v>2.2888000000000002</v>
      </c>
      <c r="C110" s="842">
        <v>2.2888000000000002</v>
      </c>
      <c r="D110" s="842">
        <v>2.1312000000000002</v>
      </c>
      <c r="E110" s="842">
        <v>2.1312000000000002</v>
      </c>
      <c r="F110" s="842">
        <v>2.1312000000000002</v>
      </c>
      <c r="G110" s="842">
        <v>2.1312000000000002</v>
      </c>
      <c r="H110" s="842">
        <v>2.1312000000000002</v>
      </c>
      <c r="I110" s="842">
        <v>2.0640000000000001</v>
      </c>
      <c r="J110" s="842">
        <v>2.0640000000000001</v>
      </c>
      <c r="K110" s="842">
        <v>2.0640000000000001</v>
      </c>
      <c r="L110" s="842">
        <v>2.0640000000000001</v>
      </c>
      <c r="M110" s="842">
        <v>2.0640000000000001</v>
      </c>
    </row>
    <row r="111" spans="1:14">
      <c r="A111" s="835">
        <v>0.7</v>
      </c>
      <c r="B111" s="842">
        <v>1.9619</v>
      </c>
      <c r="C111" s="842">
        <v>1.9619</v>
      </c>
      <c r="D111" s="842">
        <v>1.8267</v>
      </c>
      <c r="E111" s="842">
        <v>1.8267</v>
      </c>
      <c r="F111" s="842">
        <v>1.8267</v>
      </c>
      <c r="G111" s="842">
        <v>1.8267</v>
      </c>
      <c r="H111" s="842">
        <v>1.8267</v>
      </c>
      <c r="I111" s="842">
        <v>1.7690999999999999</v>
      </c>
      <c r="J111" s="842">
        <v>1.7690999999999999</v>
      </c>
      <c r="K111" s="842">
        <v>1.7690999999999999</v>
      </c>
      <c r="L111" s="842">
        <v>1.7690999999999999</v>
      </c>
      <c r="M111" s="842">
        <v>1.7690999999999999</v>
      </c>
    </row>
    <row r="112" spans="1:14">
      <c r="A112" s="835">
        <v>0.8</v>
      </c>
      <c r="B112" s="842">
        <v>1.7165999999999999</v>
      </c>
      <c r="C112" s="842">
        <v>1.7165999999999999</v>
      </c>
      <c r="D112" s="842">
        <v>1.5984</v>
      </c>
      <c r="E112" s="842">
        <v>1.5984</v>
      </c>
      <c r="F112" s="842">
        <v>1.5984</v>
      </c>
      <c r="G112" s="842">
        <v>1.5984</v>
      </c>
      <c r="H112" s="842">
        <v>1.5984</v>
      </c>
      <c r="I112" s="842">
        <v>1.548</v>
      </c>
      <c r="J112" s="842">
        <v>1.548</v>
      </c>
      <c r="K112" s="842">
        <v>1.548</v>
      </c>
      <c r="L112" s="842">
        <v>1.548</v>
      </c>
      <c r="M112" s="842">
        <v>1.548</v>
      </c>
    </row>
    <row r="113" spans="1:13">
      <c r="A113" s="835">
        <v>0.9</v>
      </c>
      <c r="B113" s="842">
        <v>1.5259</v>
      </c>
      <c r="C113" s="842">
        <v>1.5259</v>
      </c>
      <c r="D113" s="842">
        <v>1.4208000000000001</v>
      </c>
      <c r="E113" s="842">
        <v>1.4208000000000001</v>
      </c>
      <c r="F113" s="842">
        <v>1.4208000000000001</v>
      </c>
      <c r="G113" s="842">
        <v>1.4208000000000001</v>
      </c>
      <c r="H113" s="842">
        <v>1.4208000000000001</v>
      </c>
      <c r="I113" s="842">
        <v>1.3759999999999999</v>
      </c>
      <c r="J113" s="842">
        <v>1.3759999999999999</v>
      </c>
      <c r="K113" s="842">
        <v>1.3759999999999999</v>
      </c>
      <c r="L113" s="842">
        <v>1.3759999999999999</v>
      </c>
      <c r="M113" s="842">
        <v>1.3759999999999999</v>
      </c>
    </row>
    <row r="114" spans="1:13">
      <c r="A114" s="835">
        <v>1</v>
      </c>
      <c r="B114" s="842">
        <v>1.3733</v>
      </c>
      <c r="C114" s="842">
        <v>1.3733</v>
      </c>
      <c r="D114" s="842">
        <v>1.2786999999999999</v>
      </c>
      <c r="E114" s="842">
        <v>1.2786999999999999</v>
      </c>
      <c r="F114" s="842">
        <v>1.2786999999999999</v>
      </c>
      <c r="G114" s="842">
        <v>1.2786999999999999</v>
      </c>
      <c r="H114" s="842">
        <v>1.2786999999999999</v>
      </c>
      <c r="I114" s="842">
        <v>1.2383999999999999</v>
      </c>
      <c r="J114" s="842">
        <v>1.2383999999999999</v>
      </c>
      <c r="K114" s="842">
        <v>1.2383999999999999</v>
      </c>
      <c r="L114" s="842">
        <v>1.2383999999999999</v>
      </c>
      <c r="M114" s="842">
        <v>1.2383999999999999</v>
      </c>
    </row>
    <row r="115" spans="1:13">
      <c r="A115" s="835">
        <v>1.1000000000000001</v>
      </c>
      <c r="B115" s="842">
        <v>1.3489</v>
      </c>
      <c r="C115" s="842">
        <v>1.3489</v>
      </c>
      <c r="D115" s="842">
        <v>1.2542</v>
      </c>
      <c r="E115" s="842">
        <v>1.2542</v>
      </c>
      <c r="F115" s="842">
        <v>1.2542</v>
      </c>
      <c r="G115" s="842">
        <v>1.2542</v>
      </c>
      <c r="H115" s="842">
        <v>1.2542</v>
      </c>
      <c r="I115" s="842">
        <v>1.2050000000000001</v>
      </c>
      <c r="J115" s="842">
        <v>1.2050000000000001</v>
      </c>
      <c r="K115" s="842">
        <v>1.2050000000000001</v>
      </c>
      <c r="L115" s="842">
        <v>1.2050000000000001</v>
      </c>
      <c r="M115" s="842">
        <v>1.2050000000000001</v>
      </c>
    </row>
    <row r="116" spans="1:13">
      <c r="A116" s="835">
        <v>1.2</v>
      </c>
      <c r="B116" s="842">
        <v>1.3255999999999999</v>
      </c>
      <c r="C116" s="842">
        <v>1.3255999999999999</v>
      </c>
      <c r="D116" s="842">
        <v>1.2305999999999999</v>
      </c>
      <c r="E116" s="842">
        <v>1.2305999999999999</v>
      </c>
      <c r="F116" s="842">
        <v>1.2305999999999999</v>
      </c>
      <c r="G116" s="842">
        <v>1.2305999999999999</v>
      </c>
      <c r="H116" s="842">
        <v>1.2305999999999999</v>
      </c>
      <c r="I116" s="842">
        <v>1.1741999999999999</v>
      </c>
      <c r="J116" s="842">
        <v>1.1741999999999999</v>
      </c>
      <c r="K116" s="842">
        <v>1.1741999999999999</v>
      </c>
      <c r="L116" s="842">
        <v>1.1741999999999999</v>
      </c>
      <c r="M116" s="842">
        <v>1.1741999999999999</v>
      </c>
    </row>
    <row r="117" spans="1:13">
      <c r="A117" s="835">
        <v>1.3</v>
      </c>
      <c r="B117" s="842">
        <v>1.3032999999999999</v>
      </c>
      <c r="C117" s="842">
        <v>1.3032999999999999</v>
      </c>
      <c r="D117" s="842">
        <v>1.2079</v>
      </c>
      <c r="E117" s="842">
        <v>1.2079</v>
      </c>
      <c r="F117" s="842">
        <v>1.2079</v>
      </c>
      <c r="G117" s="842">
        <v>1.2079</v>
      </c>
      <c r="H117" s="842">
        <v>1.2079</v>
      </c>
      <c r="I117" s="842">
        <v>1.1459999999999999</v>
      </c>
      <c r="J117" s="842">
        <v>1.1459999999999999</v>
      </c>
      <c r="K117" s="842">
        <v>1.1459999999999999</v>
      </c>
      <c r="L117" s="842">
        <v>1.1459999999999999</v>
      </c>
      <c r="M117" s="842">
        <v>1.1459999999999999</v>
      </c>
    </row>
    <row r="118" spans="1:13">
      <c r="A118" s="835">
        <v>1.4</v>
      </c>
      <c r="B118" s="842">
        <v>1.282</v>
      </c>
      <c r="C118" s="842">
        <v>1.282</v>
      </c>
      <c r="D118" s="842">
        <v>1.1861999999999999</v>
      </c>
      <c r="E118" s="842">
        <v>1.1861999999999999</v>
      </c>
      <c r="F118" s="842">
        <v>1.1861999999999999</v>
      </c>
      <c r="G118" s="842">
        <v>1.1861999999999999</v>
      </c>
      <c r="H118" s="842">
        <v>1.1861999999999999</v>
      </c>
      <c r="I118" s="842">
        <v>1.1200000000000001</v>
      </c>
      <c r="J118" s="842">
        <v>1.1200000000000001</v>
      </c>
      <c r="K118" s="842">
        <v>1.1200000000000001</v>
      </c>
      <c r="L118" s="842">
        <v>1.1200000000000001</v>
      </c>
      <c r="M118" s="842">
        <v>1.1200000000000001</v>
      </c>
    </row>
    <row r="119" spans="1:13">
      <c r="A119" s="835">
        <v>1.5</v>
      </c>
      <c r="B119" s="842">
        <v>1.2617</v>
      </c>
      <c r="C119" s="842">
        <v>1.2617</v>
      </c>
      <c r="D119" s="842">
        <v>1.1653</v>
      </c>
      <c r="E119" s="842">
        <v>1.1653</v>
      </c>
      <c r="F119" s="842">
        <v>1.1653</v>
      </c>
      <c r="G119" s="842">
        <v>1.1653</v>
      </c>
      <c r="H119" s="842">
        <v>1.1653</v>
      </c>
      <c r="I119" s="842">
        <v>1.0961000000000001</v>
      </c>
      <c r="J119" s="842">
        <v>1.0961000000000001</v>
      </c>
      <c r="K119" s="842">
        <v>1.0961000000000001</v>
      </c>
      <c r="L119" s="842">
        <v>1.0961000000000001</v>
      </c>
      <c r="M119" s="842">
        <v>1.0961000000000001</v>
      </c>
    </row>
    <row r="120" spans="1:13">
      <c r="A120" s="835">
        <v>1.6</v>
      </c>
      <c r="B120" s="842">
        <v>1.2423</v>
      </c>
      <c r="C120" s="842">
        <v>1.2423</v>
      </c>
      <c r="D120" s="842">
        <v>1.1453</v>
      </c>
      <c r="E120" s="842">
        <v>1.1453</v>
      </c>
      <c r="F120" s="842">
        <v>1.1453</v>
      </c>
      <c r="G120" s="842">
        <v>1.1453</v>
      </c>
      <c r="H120" s="842">
        <v>1.1453</v>
      </c>
      <c r="I120" s="842">
        <v>1.0740000000000001</v>
      </c>
      <c r="J120" s="842">
        <v>1.0740000000000001</v>
      </c>
      <c r="K120" s="842">
        <v>1.0740000000000001</v>
      </c>
      <c r="L120" s="842">
        <v>1.0740000000000001</v>
      </c>
      <c r="M120" s="842">
        <v>1.0740000000000001</v>
      </c>
    </row>
    <row r="121" spans="1:13">
      <c r="A121" s="835">
        <v>1.7</v>
      </c>
      <c r="B121" s="842">
        <v>1.2237</v>
      </c>
      <c r="C121" s="842">
        <v>1.2237</v>
      </c>
      <c r="D121" s="842">
        <v>1.1261000000000001</v>
      </c>
      <c r="E121" s="842">
        <v>1.1261000000000001</v>
      </c>
      <c r="F121" s="842">
        <v>1.1261000000000001</v>
      </c>
      <c r="G121" s="842">
        <v>1.1261000000000001</v>
      </c>
      <c r="H121" s="842">
        <v>1.1261000000000001</v>
      </c>
      <c r="I121" s="842">
        <v>1.0535000000000001</v>
      </c>
      <c r="J121" s="842">
        <v>1.0535000000000001</v>
      </c>
      <c r="K121" s="842">
        <v>1.0535000000000001</v>
      </c>
      <c r="L121" s="842">
        <v>1.0535000000000001</v>
      </c>
      <c r="M121" s="842">
        <v>1.0535000000000001</v>
      </c>
    </row>
    <row r="122" spans="1:13">
      <c r="A122" s="835">
        <v>1.8</v>
      </c>
      <c r="B122" s="842">
        <v>1.206</v>
      </c>
      <c r="C122" s="842">
        <v>1.206</v>
      </c>
      <c r="D122" s="842">
        <v>1.1076999999999999</v>
      </c>
      <c r="E122" s="842">
        <v>1.1076999999999999</v>
      </c>
      <c r="F122" s="842">
        <v>1.1076999999999999</v>
      </c>
      <c r="G122" s="842">
        <v>1.1076999999999999</v>
      </c>
      <c r="H122" s="842">
        <v>1.1076999999999999</v>
      </c>
      <c r="I122" s="842">
        <v>1.0345</v>
      </c>
      <c r="J122" s="842">
        <v>1.0345</v>
      </c>
      <c r="K122" s="842">
        <v>1.0345</v>
      </c>
      <c r="L122" s="842">
        <v>1.0345</v>
      </c>
      <c r="M122" s="842">
        <v>1.0345</v>
      </c>
    </row>
    <row r="123" spans="1:13">
      <c r="A123" s="835">
        <v>1.9</v>
      </c>
      <c r="B123" s="842">
        <v>1.1891</v>
      </c>
      <c r="C123" s="842">
        <v>1.1891</v>
      </c>
      <c r="D123" s="842">
        <v>1.0901000000000001</v>
      </c>
      <c r="E123" s="842">
        <v>1.0901000000000001</v>
      </c>
      <c r="F123" s="842">
        <v>1.0901000000000001</v>
      </c>
      <c r="G123" s="842">
        <v>1.0901000000000001</v>
      </c>
      <c r="H123" s="842">
        <v>1.0901000000000001</v>
      </c>
      <c r="I123" s="842">
        <v>1.0166999999999999</v>
      </c>
      <c r="J123" s="842">
        <v>1.0166999999999999</v>
      </c>
      <c r="K123" s="842">
        <v>1.0166999999999999</v>
      </c>
      <c r="L123" s="842">
        <v>1.0166999999999999</v>
      </c>
      <c r="M123" s="842">
        <v>1.0166999999999999</v>
      </c>
    </row>
    <row r="124" spans="1:13">
      <c r="A124" s="835">
        <v>2</v>
      </c>
      <c r="B124" s="842">
        <v>1.1729000000000001</v>
      </c>
      <c r="C124" s="842">
        <v>1.1729000000000001</v>
      </c>
      <c r="D124" s="842">
        <v>1.0732999999999999</v>
      </c>
      <c r="E124" s="842">
        <v>1.0732999999999999</v>
      </c>
      <c r="F124" s="842">
        <v>1.0732999999999999</v>
      </c>
      <c r="G124" s="842">
        <v>1.0732999999999999</v>
      </c>
      <c r="H124" s="842">
        <v>1.0732999999999999</v>
      </c>
      <c r="I124" s="842">
        <v>1</v>
      </c>
      <c r="J124" s="842">
        <v>1</v>
      </c>
      <c r="K124" s="842">
        <v>1</v>
      </c>
      <c r="L124" s="842">
        <v>1</v>
      </c>
      <c r="M124" s="842">
        <v>1</v>
      </c>
    </row>
    <row r="125" spans="1:13">
      <c r="A125" s="850">
        <v>2.1</v>
      </c>
      <c r="B125" s="842">
        <v>1.1574</v>
      </c>
      <c r="C125" s="842">
        <v>1.1574</v>
      </c>
      <c r="D125" s="842">
        <v>1.0571999999999999</v>
      </c>
      <c r="E125" s="842">
        <v>1.0571999999999999</v>
      </c>
      <c r="F125" s="842">
        <v>1.0571999999999999</v>
      </c>
      <c r="G125" s="842">
        <v>1.0571999999999999</v>
      </c>
      <c r="H125" s="842">
        <v>1.0571999999999999</v>
      </c>
      <c r="I125" s="842">
        <v>0.98409999999999997</v>
      </c>
      <c r="J125" s="842">
        <v>0.98409999999999997</v>
      </c>
      <c r="K125" s="842">
        <v>0.98409999999999997</v>
      </c>
      <c r="L125" s="842">
        <v>0.98409999999999997</v>
      </c>
      <c r="M125" s="842">
        <v>0.98409999999999997</v>
      </c>
    </row>
    <row r="126" spans="1:13">
      <c r="A126" s="850">
        <v>2.2000000000000002</v>
      </c>
      <c r="B126" s="842">
        <v>1.1426000000000001</v>
      </c>
      <c r="C126" s="842">
        <v>1.1426000000000001</v>
      </c>
      <c r="D126" s="842">
        <v>1.0419</v>
      </c>
      <c r="E126" s="842">
        <v>1.0419</v>
      </c>
      <c r="F126" s="842">
        <v>1.0419</v>
      </c>
      <c r="G126" s="842">
        <v>1.0419</v>
      </c>
      <c r="H126" s="842">
        <v>1.0419</v>
      </c>
      <c r="I126" s="842">
        <v>0.96889999999999998</v>
      </c>
      <c r="J126" s="842">
        <v>0.96889999999999998</v>
      </c>
      <c r="K126" s="842">
        <v>0.96889999999999998</v>
      </c>
      <c r="L126" s="842">
        <v>0.96889999999999998</v>
      </c>
      <c r="M126" s="842">
        <v>0.96889999999999998</v>
      </c>
    </row>
    <row r="127" spans="1:13">
      <c r="A127" s="850">
        <v>2.2999999999999998</v>
      </c>
      <c r="B127" s="842">
        <v>1.1285000000000001</v>
      </c>
      <c r="C127" s="842">
        <v>1.1285000000000001</v>
      </c>
      <c r="D127" s="842">
        <v>1.0271999999999999</v>
      </c>
      <c r="E127" s="842">
        <v>1.0271999999999999</v>
      </c>
      <c r="F127" s="842">
        <v>1.0271999999999999</v>
      </c>
      <c r="G127" s="842">
        <v>1.0271999999999999</v>
      </c>
      <c r="H127" s="842">
        <v>1.0271999999999999</v>
      </c>
      <c r="I127" s="842">
        <v>0.95440000000000003</v>
      </c>
      <c r="J127" s="842">
        <v>0.95440000000000003</v>
      </c>
      <c r="K127" s="842">
        <v>0.95440000000000003</v>
      </c>
      <c r="L127" s="842">
        <v>0.95440000000000003</v>
      </c>
      <c r="M127" s="842">
        <v>0.95440000000000003</v>
      </c>
    </row>
    <row r="128" spans="1:13">
      <c r="A128" s="850">
        <v>2.4</v>
      </c>
      <c r="B128" s="842">
        <v>1.1149</v>
      </c>
      <c r="C128" s="842">
        <v>1.1149</v>
      </c>
      <c r="D128" s="842">
        <v>1.0133000000000001</v>
      </c>
      <c r="E128" s="842">
        <v>1.0133000000000001</v>
      </c>
      <c r="F128" s="842">
        <v>1.0133000000000001</v>
      </c>
      <c r="G128" s="842">
        <v>1.0133000000000001</v>
      </c>
      <c r="H128" s="842">
        <v>1.0133000000000001</v>
      </c>
      <c r="I128" s="842">
        <v>0.9405</v>
      </c>
      <c r="J128" s="842">
        <v>0.9405</v>
      </c>
      <c r="K128" s="842">
        <v>0.9405</v>
      </c>
      <c r="L128" s="842">
        <v>0.9405</v>
      </c>
      <c r="M128" s="842">
        <v>0.9405</v>
      </c>
    </row>
    <row r="129" spans="1:13">
      <c r="A129" s="850">
        <v>2.5</v>
      </c>
      <c r="B129" s="842">
        <v>1.1020000000000001</v>
      </c>
      <c r="C129" s="842">
        <v>1.1020000000000001</v>
      </c>
      <c r="D129" s="842">
        <v>1</v>
      </c>
      <c r="E129" s="842">
        <v>1</v>
      </c>
      <c r="F129" s="842">
        <v>1</v>
      </c>
      <c r="G129" s="842">
        <v>1</v>
      </c>
      <c r="H129" s="842">
        <v>1</v>
      </c>
      <c r="I129" s="842">
        <v>0.92730000000000001</v>
      </c>
      <c r="J129" s="842">
        <v>0.92730000000000001</v>
      </c>
      <c r="K129" s="842">
        <v>0.92730000000000001</v>
      </c>
      <c r="L129" s="842">
        <v>0.92730000000000001</v>
      </c>
      <c r="M129" s="842">
        <v>0.92730000000000001</v>
      </c>
    </row>
    <row r="130" spans="1:13">
      <c r="A130" s="850">
        <v>2.6</v>
      </c>
      <c r="B130" s="842">
        <v>1.0895999999999999</v>
      </c>
      <c r="C130" s="842">
        <v>1.0895999999999999</v>
      </c>
      <c r="D130" s="842">
        <v>0.98740000000000006</v>
      </c>
      <c r="E130" s="842">
        <v>0.98740000000000006</v>
      </c>
      <c r="F130" s="842">
        <v>0.98740000000000006</v>
      </c>
      <c r="G130" s="842">
        <v>0.98740000000000006</v>
      </c>
      <c r="H130" s="842">
        <v>0.98740000000000006</v>
      </c>
      <c r="I130" s="842">
        <v>0.91469999999999996</v>
      </c>
      <c r="J130" s="842">
        <v>0.91469999999999996</v>
      </c>
      <c r="K130" s="842">
        <v>0.91469999999999996</v>
      </c>
      <c r="L130" s="842">
        <v>0.91469999999999996</v>
      </c>
      <c r="M130" s="842">
        <v>0.91469999999999996</v>
      </c>
    </row>
    <row r="131" spans="1:13">
      <c r="A131" s="850">
        <v>2.7</v>
      </c>
      <c r="B131" s="842">
        <v>1.0778000000000001</v>
      </c>
      <c r="C131" s="842">
        <v>1.0778000000000001</v>
      </c>
      <c r="D131" s="842">
        <v>0.97540000000000004</v>
      </c>
      <c r="E131" s="842">
        <v>0.97540000000000004</v>
      </c>
      <c r="F131" s="842">
        <v>0.97540000000000004</v>
      </c>
      <c r="G131" s="842">
        <v>0.97540000000000004</v>
      </c>
      <c r="H131" s="842">
        <v>0.97540000000000004</v>
      </c>
      <c r="I131" s="842">
        <v>0.90269999999999995</v>
      </c>
      <c r="J131" s="842">
        <v>0.90269999999999995</v>
      </c>
      <c r="K131" s="842">
        <v>0.90269999999999995</v>
      </c>
      <c r="L131" s="842">
        <v>0.90269999999999995</v>
      </c>
      <c r="M131" s="842">
        <v>0.90269999999999995</v>
      </c>
    </row>
    <row r="132" spans="1:13">
      <c r="A132" s="850">
        <v>2.8</v>
      </c>
      <c r="B132" s="842">
        <v>1.0665</v>
      </c>
      <c r="C132" s="842">
        <v>1.0665</v>
      </c>
      <c r="D132" s="842">
        <v>0.96399999999999997</v>
      </c>
      <c r="E132" s="842">
        <v>0.96399999999999997</v>
      </c>
      <c r="F132" s="842">
        <v>0.96399999999999997</v>
      </c>
      <c r="G132" s="842">
        <v>0.96399999999999997</v>
      </c>
      <c r="H132" s="842">
        <v>0.96399999999999997</v>
      </c>
      <c r="I132" s="842">
        <v>0.89119999999999999</v>
      </c>
      <c r="J132" s="842">
        <v>0.89119999999999999</v>
      </c>
      <c r="K132" s="842">
        <v>0.89119999999999999</v>
      </c>
      <c r="L132" s="842">
        <v>0.89119999999999999</v>
      </c>
      <c r="M132" s="842">
        <v>0.89119999999999999</v>
      </c>
    </row>
    <row r="133" spans="1:13">
      <c r="A133" s="850">
        <v>2.9</v>
      </c>
      <c r="B133" s="842">
        <v>1.0556000000000001</v>
      </c>
      <c r="C133" s="842">
        <v>1.0556000000000001</v>
      </c>
      <c r="D133" s="842">
        <v>0.95330000000000004</v>
      </c>
      <c r="E133" s="842">
        <v>0.95330000000000004</v>
      </c>
      <c r="F133" s="842">
        <v>0.95330000000000004</v>
      </c>
      <c r="G133" s="842">
        <v>0.95330000000000004</v>
      </c>
      <c r="H133" s="842">
        <v>0.95330000000000004</v>
      </c>
      <c r="I133" s="842">
        <v>0.88019999999999998</v>
      </c>
      <c r="J133" s="842">
        <v>0.88019999999999998</v>
      </c>
      <c r="K133" s="842">
        <v>0.88019999999999998</v>
      </c>
      <c r="L133" s="842">
        <v>0.88019999999999998</v>
      </c>
      <c r="M133" s="842">
        <v>0.88019999999999998</v>
      </c>
    </row>
    <row r="134" spans="1:13">
      <c r="A134" s="850">
        <v>3</v>
      </c>
      <c r="B134" s="842">
        <v>1.0452999999999999</v>
      </c>
      <c r="C134" s="842">
        <v>1.0452999999999999</v>
      </c>
      <c r="D134" s="842">
        <v>0.94299999999999995</v>
      </c>
      <c r="E134" s="842">
        <v>0.94299999999999995</v>
      </c>
      <c r="F134" s="842">
        <v>0.94299999999999995</v>
      </c>
      <c r="G134" s="842">
        <v>0.94299999999999995</v>
      </c>
      <c r="H134" s="842">
        <v>0.94299999999999995</v>
      </c>
      <c r="I134" s="842">
        <v>0.86970000000000003</v>
      </c>
      <c r="J134" s="842">
        <v>0.86970000000000003</v>
      </c>
      <c r="K134" s="842">
        <v>0.86970000000000003</v>
      </c>
      <c r="L134" s="842">
        <v>0.86970000000000003</v>
      </c>
      <c r="M134" s="842">
        <v>0.86970000000000003</v>
      </c>
    </row>
    <row r="135" spans="1:13">
      <c r="A135" s="850">
        <v>3.1</v>
      </c>
      <c r="B135" s="842">
        <v>1.0354000000000001</v>
      </c>
      <c r="C135" s="842">
        <v>1.0354000000000001</v>
      </c>
      <c r="D135" s="842">
        <v>0.93330000000000002</v>
      </c>
      <c r="E135" s="842">
        <v>0.93330000000000002</v>
      </c>
      <c r="F135" s="842">
        <v>0.93330000000000002</v>
      </c>
      <c r="G135" s="842">
        <v>0.93330000000000002</v>
      </c>
      <c r="H135" s="842">
        <v>0.93330000000000002</v>
      </c>
      <c r="I135" s="842">
        <v>0.85970000000000002</v>
      </c>
      <c r="J135" s="842">
        <v>0.85970000000000002</v>
      </c>
      <c r="K135" s="842">
        <v>0.85970000000000002</v>
      </c>
      <c r="L135" s="842">
        <v>0.85970000000000002</v>
      </c>
      <c r="M135" s="842">
        <v>0.85970000000000002</v>
      </c>
    </row>
    <row r="136" spans="1:13">
      <c r="A136" s="850">
        <v>3.2</v>
      </c>
      <c r="B136" s="842">
        <v>1.0259</v>
      </c>
      <c r="C136" s="842">
        <v>1.0259</v>
      </c>
      <c r="D136" s="842">
        <v>0.92410000000000003</v>
      </c>
      <c r="E136" s="842">
        <v>0.92410000000000003</v>
      </c>
      <c r="F136" s="842">
        <v>0.92410000000000003</v>
      </c>
      <c r="G136" s="842">
        <v>0.92410000000000003</v>
      </c>
      <c r="H136" s="842">
        <v>0.92410000000000003</v>
      </c>
      <c r="I136" s="842">
        <v>0.85019999999999996</v>
      </c>
      <c r="J136" s="842">
        <v>0.85019999999999996</v>
      </c>
      <c r="K136" s="842">
        <v>0.85019999999999996</v>
      </c>
      <c r="L136" s="842">
        <v>0.85019999999999996</v>
      </c>
      <c r="M136" s="842">
        <v>0.85019999999999996</v>
      </c>
    </row>
    <row r="137" spans="1:13">
      <c r="A137" s="850">
        <v>3.3</v>
      </c>
      <c r="B137" s="842">
        <v>1.0168999999999999</v>
      </c>
      <c r="C137" s="842">
        <v>1.0168999999999999</v>
      </c>
      <c r="D137" s="842">
        <v>0.91539999999999999</v>
      </c>
      <c r="E137" s="842">
        <v>0.91539999999999999</v>
      </c>
      <c r="F137" s="842">
        <v>0.91539999999999999</v>
      </c>
      <c r="G137" s="842">
        <v>0.91539999999999999</v>
      </c>
      <c r="H137" s="842">
        <v>0.91539999999999999</v>
      </c>
      <c r="I137" s="842">
        <v>0.84109999999999996</v>
      </c>
      <c r="J137" s="842">
        <v>0.84109999999999996</v>
      </c>
      <c r="K137" s="842">
        <v>0.84109999999999996</v>
      </c>
      <c r="L137" s="842">
        <v>0.84109999999999996</v>
      </c>
      <c r="M137" s="842">
        <v>0.84109999999999996</v>
      </c>
    </row>
    <row r="138" spans="1:13">
      <c r="A138" s="850">
        <v>3.4</v>
      </c>
      <c r="B138" s="842">
        <v>1.0082</v>
      </c>
      <c r="C138" s="842">
        <v>1.0082</v>
      </c>
      <c r="D138" s="842">
        <v>0.90710000000000002</v>
      </c>
      <c r="E138" s="842">
        <v>0.90710000000000002</v>
      </c>
      <c r="F138" s="842">
        <v>0.90710000000000002</v>
      </c>
      <c r="G138" s="842">
        <v>0.90710000000000002</v>
      </c>
      <c r="H138" s="842">
        <v>0.90710000000000002</v>
      </c>
      <c r="I138" s="842">
        <v>0.83240000000000003</v>
      </c>
      <c r="J138" s="842">
        <v>0.83240000000000003</v>
      </c>
      <c r="K138" s="842">
        <v>0.83240000000000003</v>
      </c>
      <c r="L138" s="842">
        <v>0.83240000000000003</v>
      </c>
      <c r="M138" s="842">
        <v>0.83240000000000003</v>
      </c>
    </row>
    <row r="139" spans="1:13">
      <c r="A139" s="850">
        <v>3.5</v>
      </c>
      <c r="B139" s="842">
        <v>1</v>
      </c>
      <c r="C139" s="842">
        <v>1</v>
      </c>
      <c r="D139" s="842">
        <v>0.89929999999999999</v>
      </c>
      <c r="E139" s="842">
        <v>0.89929999999999999</v>
      </c>
      <c r="F139" s="842">
        <v>0.89929999999999999</v>
      </c>
      <c r="G139" s="842">
        <v>0.89929999999999999</v>
      </c>
      <c r="H139" s="842">
        <v>0.89929999999999999</v>
      </c>
      <c r="I139" s="842">
        <v>0.82410000000000005</v>
      </c>
      <c r="J139" s="842">
        <v>0.82410000000000005</v>
      </c>
      <c r="K139" s="842">
        <v>0.82410000000000005</v>
      </c>
      <c r="L139" s="842">
        <v>0.82410000000000005</v>
      </c>
      <c r="M139" s="842">
        <v>0.82410000000000005</v>
      </c>
    </row>
    <row r="140" spans="1:13">
      <c r="A140" s="850">
        <v>3.6</v>
      </c>
      <c r="B140" s="842">
        <v>0.99219999999999997</v>
      </c>
      <c r="C140" s="842">
        <v>0.99219999999999997</v>
      </c>
      <c r="D140" s="842">
        <v>0.89190000000000003</v>
      </c>
      <c r="E140" s="842">
        <v>0.89190000000000003</v>
      </c>
      <c r="F140" s="842">
        <v>0.89190000000000003</v>
      </c>
      <c r="G140" s="842">
        <v>0.89190000000000003</v>
      </c>
      <c r="H140" s="842">
        <v>0.89190000000000003</v>
      </c>
      <c r="I140" s="842">
        <v>0.81620000000000004</v>
      </c>
      <c r="J140" s="842">
        <v>0.81620000000000004</v>
      </c>
      <c r="K140" s="842">
        <v>0.81620000000000004</v>
      </c>
      <c r="L140" s="842">
        <v>0.81620000000000004</v>
      </c>
      <c r="M140" s="842">
        <v>0.81620000000000004</v>
      </c>
    </row>
    <row r="141" spans="1:13">
      <c r="A141" s="850">
        <v>3.7</v>
      </c>
      <c r="B141" s="842">
        <v>0.98480000000000001</v>
      </c>
      <c r="C141" s="842">
        <v>0.98480000000000001</v>
      </c>
      <c r="D141" s="842">
        <v>0.88480000000000003</v>
      </c>
      <c r="E141" s="842">
        <v>0.88480000000000003</v>
      </c>
      <c r="F141" s="842">
        <v>0.88480000000000003</v>
      </c>
      <c r="G141" s="842">
        <v>0.88480000000000003</v>
      </c>
      <c r="H141" s="842">
        <v>0.88480000000000003</v>
      </c>
      <c r="I141" s="842">
        <v>0.80869999999999997</v>
      </c>
      <c r="J141" s="842">
        <v>0.80869999999999997</v>
      </c>
      <c r="K141" s="842">
        <v>0.80869999999999997</v>
      </c>
      <c r="L141" s="842">
        <v>0.80869999999999997</v>
      </c>
      <c r="M141" s="842">
        <v>0.80869999999999997</v>
      </c>
    </row>
    <row r="142" spans="1:13">
      <c r="A142" s="850">
        <v>3.8</v>
      </c>
      <c r="B142" s="842">
        <v>0.9778</v>
      </c>
      <c r="C142" s="842">
        <v>0.9778</v>
      </c>
      <c r="D142" s="842">
        <v>0.87809999999999999</v>
      </c>
      <c r="E142" s="842">
        <v>0.87809999999999999</v>
      </c>
      <c r="F142" s="842">
        <v>0.87809999999999999</v>
      </c>
      <c r="G142" s="842">
        <v>0.87809999999999999</v>
      </c>
      <c r="H142" s="842">
        <v>0.87809999999999999</v>
      </c>
      <c r="I142" s="842">
        <v>0.80159999999999998</v>
      </c>
      <c r="J142" s="842">
        <v>0.80159999999999998</v>
      </c>
      <c r="K142" s="842">
        <v>0.80159999999999998</v>
      </c>
      <c r="L142" s="842">
        <v>0.80159999999999998</v>
      </c>
      <c r="M142" s="842">
        <v>0.80159999999999998</v>
      </c>
    </row>
    <row r="143" spans="1:13">
      <c r="A143" s="850">
        <v>3.9</v>
      </c>
      <c r="B143" s="842">
        <v>0.97119999999999995</v>
      </c>
      <c r="C143" s="842">
        <v>0.97119999999999995</v>
      </c>
      <c r="D143" s="842">
        <v>0.87180000000000002</v>
      </c>
      <c r="E143" s="842">
        <v>0.87180000000000002</v>
      </c>
      <c r="F143" s="842">
        <v>0.87180000000000002</v>
      </c>
      <c r="G143" s="842">
        <v>0.87180000000000002</v>
      </c>
      <c r="H143" s="842">
        <v>0.87180000000000002</v>
      </c>
      <c r="I143" s="842">
        <v>0.79479999999999995</v>
      </c>
      <c r="J143" s="842">
        <v>0.79479999999999995</v>
      </c>
      <c r="K143" s="842">
        <v>0.79479999999999995</v>
      </c>
      <c r="L143" s="842">
        <v>0.79479999999999995</v>
      </c>
      <c r="M143" s="842">
        <v>0.79479999999999995</v>
      </c>
    </row>
    <row r="144" spans="1:13">
      <c r="A144" s="850">
        <v>4</v>
      </c>
      <c r="B144" s="842">
        <v>0.96499999999999997</v>
      </c>
      <c r="C144" s="842">
        <v>0.96499999999999997</v>
      </c>
      <c r="D144" s="842">
        <v>0.86580000000000001</v>
      </c>
      <c r="E144" s="842">
        <v>0.86580000000000001</v>
      </c>
      <c r="F144" s="842">
        <v>0.86580000000000001</v>
      </c>
      <c r="G144" s="842">
        <v>0.86580000000000001</v>
      </c>
      <c r="H144" s="842">
        <v>0.86580000000000001</v>
      </c>
      <c r="I144" s="842">
        <v>0.7883</v>
      </c>
      <c r="J144" s="842">
        <v>0.7883</v>
      </c>
      <c r="K144" s="842">
        <v>0.7883</v>
      </c>
      <c r="L144" s="842">
        <v>0.7883</v>
      </c>
      <c r="M144" s="842">
        <v>0.7883</v>
      </c>
    </row>
    <row r="145" spans="1:13">
      <c r="A145" s="850">
        <v>4.0999999999999996</v>
      </c>
      <c r="B145" s="842">
        <v>0.95909999999999995</v>
      </c>
      <c r="C145" s="842">
        <v>0.95909999999999995</v>
      </c>
      <c r="D145" s="842">
        <v>0.86009999999999998</v>
      </c>
      <c r="E145" s="842">
        <v>0.86009999999999998</v>
      </c>
      <c r="F145" s="842">
        <v>0.86009999999999998</v>
      </c>
      <c r="G145" s="842">
        <v>0.86009999999999998</v>
      </c>
      <c r="H145" s="842">
        <v>0.86009999999999998</v>
      </c>
      <c r="I145" s="842">
        <v>0.78200000000000003</v>
      </c>
      <c r="J145" s="842">
        <v>0.78200000000000003</v>
      </c>
      <c r="K145" s="842">
        <v>0.78200000000000003</v>
      </c>
      <c r="L145" s="842">
        <v>0.78200000000000003</v>
      </c>
      <c r="M145" s="842">
        <v>0.78200000000000003</v>
      </c>
    </row>
    <row r="146" spans="1:13">
      <c r="A146" s="850">
        <v>4.2</v>
      </c>
      <c r="B146" s="842">
        <v>0.95350000000000001</v>
      </c>
      <c r="C146" s="842">
        <v>0.95350000000000001</v>
      </c>
      <c r="D146" s="842">
        <v>0.85470000000000002</v>
      </c>
      <c r="E146" s="842">
        <v>0.85470000000000002</v>
      </c>
      <c r="F146" s="842">
        <v>0.85470000000000002</v>
      </c>
      <c r="G146" s="842">
        <v>0.85470000000000002</v>
      </c>
      <c r="H146" s="842">
        <v>0.85470000000000002</v>
      </c>
      <c r="I146" s="842">
        <v>0.77600000000000002</v>
      </c>
      <c r="J146" s="842">
        <v>0.77600000000000002</v>
      </c>
      <c r="K146" s="842">
        <v>0.77600000000000002</v>
      </c>
      <c r="L146" s="842">
        <v>0.77600000000000002</v>
      </c>
      <c r="M146" s="842">
        <v>0.77600000000000002</v>
      </c>
    </row>
    <row r="147" spans="1:13">
      <c r="A147" s="850">
        <v>4.3</v>
      </c>
      <c r="B147" s="842">
        <v>0.94820000000000004</v>
      </c>
      <c r="C147" s="842">
        <v>0.94820000000000004</v>
      </c>
      <c r="D147" s="842">
        <v>0.84960000000000002</v>
      </c>
      <c r="E147" s="842">
        <v>0.84960000000000002</v>
      </c>
      <c r="F147" s="842">
        <v>0.84960000000000002</v>
      </c>
      <c r="G147" s="842">
        <v>0.84960000000000002</v>
      </c>
      <c r="H147" s="842">
        <v>0.84960000000000002</v>
      </c>
      <c r="I147" s="842">
        <v>0.77029999999999998</v>
      </c>
      <c r="J147" s="842">
        <v>0.77029999999999998</v>
      </c>
      <c r="K147" s="842">
        <v>0.77029999999999998</v>
      </c>
      <c r="L147" s="842">
        <v>0.77029999999999998</v>
      </c>
      <c r="M147" s="842">
        <v>0.77029999999999998</v>
      </c>
    </row>
    <row r="148" spans="1:13">
      <c r="A148" s="850">
        <v>4.4000000000000004</v>
      </c>
      <c r="B148" s="842">
        <v>0.94320000000000004</v>
      </c>
      <c r="C148" s="842">
        <v>0.94320000000000004</v>
      </c>
      <c r="D148" s="842">
        <v>0.8448</v>
      </c>
      <c r="E148" s="842">
        <v>0.8448</v>
      </c>
      <c r="F148" s="842">
        <v>0.8448</v>
      </c>
      <c r="G148" s="842">
        <v>0.8448</v>
      </c>
      <c r="H148" s="842">
        <v>0.8448</v>
      </c>
      <c r="I148" s="842">
        <v>0.76490000000000002</v>
      </c>
      <c r="J148" s="842">
        <v>0.76490000000000002</v>
      </c>
      <c r="K148" s="842">
        <v>0.76490000000000002</v>
      </c>
      <c r="L148" s="842">
        <v>0.76490000000000002</v>
      </c>
      <c r="M148" s="842">
        <v>0.76490000000000002</v>
      </c>
    </row>
    <row r="149" spans="1:13">
      <c r="A149" s="850">
        <v>4.5</v>
      </c>
      <c r="B149" s="842">
        <v>0.9385</v>
      </c>
      <c r="C149" s="842">
        <v>0.9385</v>
      </c>
      <c r="D149" s="842">
        <v>0.84019999999999995</v>
      </c>
      <c r="E149" s="842">
        <v>0.84019999999999995</v>
      </c>
      <c r="F149" s="842">
        <v>0.84019999999999995</v>
      </c>
      <c r="G149" s="842">
        <v>0.84019999999999995</v>
      </c>
      <c r="H149" s="842">
        <v>0.84019999999999995</v>
      </c>
      <c r="I149" s="842">
        <v>0.75970000000000004</v>
      </c>
      <c r="J149" s="842">
        <v>0.75970000000000004</v>
      </c>
      <c r="K149" s="842">
        <v>0.75970000000000004</v>
      </c>
      <c r="L149" s="842">
        <v>0.75970000000000004</v>
      </c>
      <c r="M149" s="842">
        <v>0.75970000000000004</v>
      </c>
    </row>
    <row r="150" spans="1:13">
      <c r="A150" s="850">
        <v>4.5999999999999996</v>
      </c>
      <c r="B150" s="842">
        <v>0.93410000000000004</v>
      </c>
      <c r="C150" s="842">
        <v>0.93410000000000004</v>
      </c>
      <c r="D150" s="842">
        <v>0.83579999999999999</v>
      </c>
      <c r="E150" s="842">
        <v>0.83579999999999999</v>
      </c>
      <c r="F150" s="842">
        <v>0.83579999999999999</v>
      </c>
      <c r="G150" s="842">
        <v>0.83579999999999999</v>
      </c>
      <c r="H150" s="842">
        <v>0.83579999999999999</v>
      </c>
      <c r="I150" s="842">
        <v>0.75470000000000004</v>
      </c>
      <c r="J150" s="842">
        <v>0.75470000000000004</v>
      </c>
      <c r="K150" s="842">
        <v>0.75470000000000004</v>
      </c>
      <c r="L150" s="842">
        <v>0.75470000000000004</v>
      </c>
      <c r="M150" s="842">
        <v>0.75470000000000004</v>
      </c>
    </row>
    <row r="151" spans="1:13">
      <c r="A151" s="850">
        <v>4.7</v>
      </c>
      <c r="B151" s="842">
        <v>0.92989999999999995</v>
      </c>
      <c r="C151" s="842">
        <v>0.92989999999999995</v>
      </c>
      <c r="D151" s="842">
        <v>0.83160000000000001</v>
      </c>
      <c r="E151" s="842">
        <v>0.83160000000000001</v>
      </c>
      <c r="F151" s="842">
        <v>0.83160000000000001</v>
      </c>
      <c r="G151" s="842">
        <v>0.83160000000000001</v>
      </c>
      <c r="H151" s="842">
        <v>0.83160000000000001</v>
      </c>
      <c r="I151" s="842">
        <v>0.74990000000000001</v>
      </c>
      <c r="J151" s="842">
        <v>0.74990000000000001</v>
      </c>
      <c r="K151" s="842">
        <v>0.74990000000000001</v>
      </c>
      <c r="L151" s="842">
        <v>0.74990000000000001</v>
      </c>
      <c r="M151" s="842">
        <v>0.74990000000000001</v>
      </c>
    </row>
    <row r="152" spans="1:13">
      <c r="A152" s="850">
        <v>4.8</v>
      </c>
      <c r="B152" s="842">
        <v>0.92589999999999995</v>
      </c>
      <c r="C152" s="842">
        <v>0.92589999999999995</v>
      </c>
      <c r="D152" s="842">
        <v>0.82769999999999999</v>
      </c>
      <c r="E152" s="842">
        <v>0.82769999999999999</v>
      </c>
      <c r="F152" s="842">
        <v>0.82769999999999999</v>
      </c>
      <c r="G152" s="842">
        <v>0.82769999999999999</v>
      </c>
      <c r="H152" s="842">
        <v>0.82769999999999999</v>
      </c>
      <c r="I152" s="842">
        <v>0.74529999999999996</v>
      </c>
      <c r="J152" s="842">
        <v>0.74529999999999996</v>
      </c>
      <c r="K152" s="842">
        <v>0.74529999999999996</v>
      </c>
      <c r="L152" s="842">
        <v>0.74529999999999996</v>
      </c>
      <c r="M152" s="842">
        <v>0.74529999999999996</v>
      </c>
    </row>
    <row r="153" spans="1:13">
      <c r="A153" s="850">
        <v>4.9000000000000004</v>
      </c>
      <c r="B153" s="842">
        <v>0.92210000000000003</v>
      </c>
      <c r="C153" s="842">
        <v>0.92210000000000003</v>
      </c>
      <c r="D153" s="842">
        <v>0.82389999999999997</v>
      </c>
      <c r="E153" s="842">
        <v>0.82389999999999997</v>
      </c>
      <c r="F153" s="842">
        <v>0.82389999999999997</v>
      </c>
      <c r="G153" s="842">
        <v>0.82389999999999997</v>
      </c>
      <c r="H153" s="842">
        <v>0.82389999999999997</v>
      </c>
      <c r="I153" s="842">
        <v>0.7409</v>
      </c>
      <c r="J153" s="842">
        <v>0.7409</v>
      </c>
      <c r="K153" s="842">
        <v>0.7409</v>
      </c>
      <c r="L153" s="842">
        <v>0.7409</v>
      </c>
      <c r="M153" s="842">
        <v>0.7409</v>
      </c>
    </row>
    <row r="154" spans="1:13">
      <c r="A154" s="850">
        <v>5</v>
      </c>
      <c r="B154" s="842">
        <v>0.91849999999999998</v>
      </c>
      <c r="C154" s="842">
        <v>0.91849999999999998</v>
      </c>
      <c r="D154" s="842">
        <v>0.82030000000000003</v>
      </c>
      <c r="E154" s="842">
        <v>0.82030000000000003</v>
      </c>
      <c r="F154" s="842">
        <v>0.82030000000000003</v>
      </c>
      <c r="G154" s="842">
        <v>0.82030000000000003</v>
      </c>
      <c r="H154" s="842">
        <v>0.82030000000000003</v>
      </c>
      <c r="I154" s="842">
        <v>0.73670000000000002</v>
      </c>
      <c r="J154" s="842">
        <v>0.73670000000000002</v>
      </c>
      <c r="K154" s="842">
        <v>0.73670000000000002</v>
      </c>
      <c r="L154" s="842">
        <v>0.73670000000000002</v>
      </c>
      <c r="M154" s="842">
        <v>0.73670000000000002</v>
      </c>
    </row>
    <row r="155" spans="1:13">
      <c r="A155" s="835">
        <v>5.0999999999999996</v>
      </c>
      <c r="B155" s="842">
        <v>0.91510000000000002</v>
      </c>
      <c r="C155" s="842">
        <v>0.91510000000000002</v>
      </c>
      <c r="D155" s="842">
        <v>0.81689999999999996</v>
      </c>
      <c r="E155" s="842">
        <v>0.81689999999999996</v>
      </c>
      <c r="F155" s="842">
        <v>0.81689999999999996</v>
      </c>
      <c r="G155" s="842">
        <v>0.81689999999999996</v>
      </c>
      <c r="H155" s="842">
        <v>0.81689999999999996</v>
      </c>
      <c r="I155" s="842">
        <v>0.73270000000000002</v>
      </c>
      <c r="J155" s="842">
        <v>0.73270000000000002</v>
      </c>
      <c r="K155" s="842">
        <v>0.73270000000000002</v>
      </c>
      <c r="L155" s="842">
        <v>0.73270000000000002</v>
      </c>
      <c r="M155" s="842">
        <v>0.73270000000000002</v>
      </c>
    </row>
    <row r="156" spans="1:13">
      <c r="A156" s="835">
        <v>5.2</v>
      </c>
      <c r="B156" s="842">
        <v>0.91190000000000004</v>
      </c>
      <c r="C156" s="842">
        <v>0.91190000000000004</v>
      </c>
      <c r="D156" s="842">
        <v>0.81359999999999999</v>
      </c>
      <c r="E156" s="842">
        <v>0.81359999999999999</v>
      </c>
      <c r="F156" s="842">
        <v>0.81359999999999999</v>
      </c>
      <c r="G156" s="842">
        <v>0.81359999999999999</v>
      </c>
      <c r="H156" s="842">
        <v>0.81359999999999999</v>
      </c>
      <c r="I156" s="842">
        <v>0.72889999999999999</v>
      </c>
      <c r="J156" s="842">
        <v>0.72889999999999999</v>
      </c>
      <c r="K156" s="842">
        <v>0.72889999999999999</v>
      </c>
      <c r="L156" s="842">
        <v>0.72889999999999999</v>
      </c>
      <c r="M156" s="842">
        <v>0.72889999999999999</v>
      </c>
    </row>
    <row r="157" spans="1:13">
      <c r="A157" s="835">
        <v>5.3</v>
      </c>
      <c r="B157" s="842">
        <v>0.90880000000000005</v>
      </c>
      <c r="C157" s="842">
        <v>0.90880000000000005</v>
      </c>
      <c r="D157" s="842">
        <v>0.8105</v>
      </c>
      <c r="E157" s="842">
        <v>0.8105</v>
      </c>
      <c r="F157" s="842">
        <v>0.8105</v>
      </c>
      <c r="G157" s="842">
        <v>0.8105</v>
      </c>
      <c r="H157" s="842">
        <v>0.8105</v>
      </c>
      <c r="I157" s="842">
        <v>0.72529999999999994</v>
      </c>
      <c r="J157" s="842">
        <v>0.72529999999999994</v>
      </c>
      <c r="K157" s="842">
        <v>0.72529999999999994</v>
      </c>
      <c r="L157" s="842">
        <v>0.72529999999999994</v>
      </c>
      <c r="M157" s="842">
        <v>0.72529999999999994</v>
      </c>
    </row>
    <row r="158" spans="1:13">
      <c r="A158" s="835">
        <v>5.4</v>
      </c>
      <c r="B158" s="842">
        <v>0.90580000000000005</v>
      </c>
      <c r="C158" s="842">
        <v>0.90580000000000005</v>
      </c>
      <c r="D158" s="842">
        <v>0.8075</v>
      </c>
      <c r="E158" s="842">
        <v>0.8075</v>
      </c>
      <c r="F158" s="842">
        <v>0.8075</v>
      </c>
      <c r="G158" s="842">
        <v>0.8075</v>
      </c>
      <c r="H158" s="842">
        <v>0.8075</v>
      </c>
      <c r="I158" s="842">
        <v>0.7218</v>
      </c>
      <c r="J158" s="842">
        <v>0.7218</v>
      </c>
      <c r="K158" s="842">
        <v>0.7218</v>
      </c>
      <c r="L158" s="842">
        <v>0.7218</v>
      </c>
      <c r="M158" s="842">
        <v>0.7218</v>
      </c>
    </row>
    <row r="159" spans="1:13">
      <c r="A159" s="835">
        <v>5.5</v>
      </c>
      <c r="B159" s="842">
        <v>0.90290000000000004</v>
      </c>
      <c r="C159" s="842">
        <v>0.90290000000000004</v>
      </c>
      <c r="D159" s="842">
        <v>0.80469999999999997</v>
      </c>
      <c r="E159" s="842">
        <v>0.80469999999999997</v>
      </c>
      <c r="F159" s="842">
        <v>0.80469999999999997</v>
      </c>
      <c r="G159" s="842">
        <v>0.80469999999999997</v>
      </c>
      <c r="H159" s="842">
        <v>0.80469999999999997</v>
      </c>
      <c r="I159" s="842">
        <v>0.71840000000000004</v>
      </c>
      <c r="J159" s="842">
        <v>0.71840000000000004</v>
      </c>
      <c r="K159" s="842">
        <v>0.71840000000000004</v>
      </c>
      <c r="L159" s="842">
        <v>0.71840000000000004</v>
      </c>
      <c r="M159" s="842">
        <v>0.71840000000000004</v>
      </c>
    </row>
    <row r="160" spans="1:13">
      <c r="A160" s="835">
        <v>5.6</v>
      </c>
      <c r="B160" s="842">
        <v>0.90010000000000001</v>
      </c>
      <c r="C160" s="842">
        <v>0.90010000000000001</v>
      </c>
      <c r="D160" s="842">
        <v>0.80200000000000005</v>
      </c>
      <c r="E160" s="842">
        <v>0.80200000000000005</v>
      </c>
      <c r="F160" s="842">
        <v>0.80200000000000005</v>
      </c>
      <c r="G160" s="842">
        <v>0.80200000000000005</v>
      </c>
      <c r="H160" s="842">
        <v>0.80200000000000005</v>
      </c>
      <c r="I160" s="842">
        <v>0.71509999999999996</v>
      </c>
      <c r="J160" s="842">
        <v>0.71509999999999996</v>
      </c>
      <c r="K160" s="842">
        <v>0.71509999999999996</v>
      </c>
      <c r="L160" s="842">
        <v>0.71509999999999996</v>
      </c>
      <c r="M160" s="842">
        <v>0.71509999999999996</v>
      </c>
    </row>
    <row r="161" spans="1:13">
      <c r="A161" s="850">
        <v>5.7</v>
      </c>
      <c r="B161" s="842">
        <v>0.89749999999999996</v>
      </c>
      <c r="C161" s="842">
        <v>0.89749999999999996</v>
      </c>
      <c r="D161" s="842">
        <v>0.79930000000000001</v>
      </c>
      <c r="E161" s="842">
        <v>0.79930000000000001</v>
      </c>
      <c r="F161" s="842">
        <v>0.79930000000000001</v>
      </c>
      <c r="G161" s="842">
        <v>0.79930000000000001</v>
      </c>
      <c r="H161" s="842">
        <v>0.79930000000000001</v>
      </c>
      <c r="I161" s="842">
        <v>0.71189999999999998</v>
      </c>
      <c r="J161" s="842">
        <v>0.71189999999999998</v>
      </c>
      <c r="K161" s="842">
        <v>0.71189999999999998</v>
      </c>
      <c r="L161" s="842">
        <v>0.71189999999999998</v>
      </c>
      <c r="M161" s="842">
        <v>0.71189999999999998</v>
      </c>
    </row>
    <row r="162" spans="1:13">
      <c r="A162" s="835">
        <v>5.8</v>
      </c>
      <c r="B162" s="842">
        <v>0.89500000000000002</v>
      </c>
      <c r="C162" s="842">
        <v>0.89500000000000002</v>
      </c>
      <c r="D162" s="842">
        <v>0.79679999999999995</v>
      </c>
      <c r="E162" s="842">
        <v>0.79679999999999995</v>
      </c>
      <c r="F162" s="842">
        <v>0.79679999999999995</v>
      </c>
      <c r="G162" s="842">
        <v>0.79679999999999995</v>
      </c>
      <c r="H162" s="842">
        <v>0.79679999999999995</v>
      </c>
      <c r="I162" s="842">
        <v>0.70879999999999999</v>
      </c>
      <c r="J162" s="842">
        <v>0.70879999999999999</v>
      </c>
      <c r="K162" s="842">
        <v>0.70879999999999999</v>
      </c>
      <c r="L162" s="842">
        <v>0.70879999999999999</v>
      </c>
      <c r="M162" s="842">
        <v>0.70879999999999999</v>
      </c>
    </row>
    <row r="163" spans="1:13">
      <c r="A163" s="835">
        <v>5.9</v>
      </c>
      <c r="B163" s="842">
        <v>0.89259999999999995</v>
      </c>
      <c r="C163" s="842">
        <v>0.89259999999999995</v>
      </c>
      <c r="D163" s="842">
        <v>0.7944</v>
      </c>
      <c r="E163" s="842">
        <v>0.7944</v>
      </c>
      <c r="F163" s="842">
        <v>0.7944</v>
      </c>
      <c r="G163" s="842">
        <v>0.7944</v>
      </c>
      <c r="H163" s="842">
        <v>0.7944</v>
      </c>
      <c r="I163" s="842">
        <v>0.70579999999999998</v>
      </c>
      <c r="J163" s="842">
        <v>0.70579999999999998</v>
      </c>
      <c r="K163" s="842">
        <v>0.70579999999999998</v>
      </c>
      <c r="L163" s="842">
        <v>0.70579999999999998</v>
      </c>
      <c r="M163" s="842">
        <v>0.70579999999999998</v>
      </c>
    </row>
    <row r="164" spans="1:13">
      <c r="A164" s="835">
        <v>6</v>
      </c>
      <c r="B164" s="842">
        <v>0.89029999999999998</v>
      </c>
      <c r="C164" s="842">
        <v>0.89029999999999998</v>
      </c>
      <c r="D164" s="842">
        <v>0.79200000000000004</v>
      </c>
      <c r="E164" s="842">
        <v>0.79200000000000004</v>
      </c>
      <c r="F164" s="842">
        <v>0.79200000000000004</v>
      </c>
      <c r="G164" s="842">
        <v>0.79200000000000004</v>
      </c>
      <c r="H164" s="842">
        <v>0.79200000000000004</v>
      </c>
      <c r="I164" s="842">
        <v>0.70289999999999997</v>
      </c>
      <c r="J164" s="842">
        <v>0.70289999999999997</v>
      </c>
      <c r="K164" s="842">
        <v>0.70289999999999997</v>
      </c>
      <c r="L164" s="842">
        <v>0.70289999999999997</v>
      </c>
      <c r="M164" s="842">
        <v>0.70289999999999997</v>
      </c>
    </row>
    <row r="165" spans="1:13">
      <c r="A165" s="835">
        <v>6.1</v>
      </c>
      <c r="B165" s="842">
        <v>0.8881</v>
      </c>
      <c r="C165" s="842">
        <v>0.8881</v>
      </c>
      <c r="D165" s="842">
        <v>0.78979999999999995</v>
      </c>
      <c r="E165" s="842">
        <v>0.78979999999999995</v>
      </c>
      <c r="F165" s="842">
        <v>0.78979999999999995</v>
      </c>
      <c r="G165" s="842">
        <v>0.78979999999999995</v>
      </c>
      <c r="H165" s="842">
        <v>0.78979999999999995</v>
      </c>
      <c r="I165" s="842">
        <v>0.70009999999999994</v>
      </c>
      <c r="J165" s="842">
        <v>0.70009999999999994</v>
      </c>
      <c r="K165" s="842">
        <v>0.70009999999999994</v>
      </c>
      <c r="L165" s="842">
        <v>0.70009999999999994</v>
      </c>
      <c r="M165" s="842">
        <v>0.70009999999999994</v>
      </c>
    </row>
    <row r="166" spans="1:13">
      <c r="A166" s="835">
        <v>6.2</v>
      </c>
      <c r="B166" s="842">
        <v>0.88600000000000001</v>
      </c>
      <c r="C166" s="842">
        <v>0.88600000000000001</v>
      </c>
      <c r="D166" s="842">
        <v>0.78759999999999997</v>
      </c>
      <c r="E166" s="842">
        <v>0.78759999999999997</v>
      </c>
      <c r="F166" s="842">
        <v>0.78759999999999997</v>
      </c>
      <c r="G166" s="842">
        <v>0.78759999999999997</v>
      </c>
      <c r="H166" s="842">
        <v>0.78759999999999997</v>
      </c>
      <c r="I166" s="842">
        <v>0.69740000000000002</v>
      </c>
      <c r="J166" s="842">
        <v>0.69740000000000002</v>
      </c>
      <c r="K166" s="842">
        <v>0.69740000000000002</v>
      </c>
      <c r="L166" s="842">
        <v>0.69740000000000002</v>
      </c>
      <c r="M166" s="842">
        <v>0.69740000000000002</v>
      </c>
    </row>
    <row r="167" spans="1:13">
      <c r="A167" s="835">
        <v>6.3</v>
      </c>
      <c r="B167" s="842">
        <v>0.88390000000000002</v>
      </c>
      <c r="C167" s="842">
        <v>0.88390000000000002</v>
      </c>
      <c r="D167" s="842">
        <v>0.78549999999999998</v>
      </c>
      <c r="E167" s="842">
        <v>0.78549999999999998</v>
      </c>
      <c r="F167" s="842">
        <v>0.78549999999999998</v>
      </c>
      <c r="G167" s="842">
        <v>0.78549999999999998</v>
      </c>
      <c r="H167" s="842">
        <v>0.78549999999999998</v>
      </c>
      <c r="I167" s="842">
        <v>0.69479999999999997</v>
      </c>
      <c r="J167" s="842">
        <v>0.69479999999999997</v>
      </c>
      <c r="K167" s="842">
        <v>0.69479999999999997</v>
      </c>
      <c r="L167" s="842">
        <v>0.69479999999999997</v>
      </c>
      <c r="M167" s="842">
        <v>0.69479999999999997</v>
      </c>
    </row>
    <row r="168" spans="1:13">
      <c r="A168" s="835">
        <v>6.4</v>
      </c>
      <c r="B168" s="842">
        <v>0.88190000000000002</v>
      </c>
      <c r="C168" s="842">
        <v>0.88190000000000002</v>
      </c>
      <c r="D168" s="842">
        <v>0.78339999999999999</v>
      </c>
      <c r="E168" s="842">
        <v>0.78339999999999999</v>
      </c>
      <c r="F168" s="842">
        <v>0.78339999999999999</v>
      </c>
      <c r="G168" s="842">
        <v>0.78339999999999999</v>
      </c>
      <c r="H168" s="842">
        <v>0.78339999999999999</v>
      </c>
      <c r="I168" s="842">
        <v>0.69230000000000003</v>
      </c>
      <c r="J168" s="842">
        <v>0.69230000000000003</v>
      </c>
      <c r="K168" s="842">
        <v>0.69230000000000003</v>
      </c>
      <c r="L168" s="842">
        <v>0.69230000000000003</v>
      </c>
      <c r="M168" s="842">
        <v>0.69230000000000003</v>
      </c>
    </row>
    <row r="169" spans="1:13">
      <c r="A169" s="835">
        <v>6.5</v>
      </c>
      <c r="B169" s="842">
        <v>0.88</v>
      </c>
      <c r="C169" s="842">
        <v>0.88</v>
      </c>
      <c r="D169" s="842">
        <v>0.78139999999999998</v>
      </c>
      <c r="E169" s="842">
        <v>0.78139999999999998</v>
      </c>
      <c r="F169" s="842">
        <v>0.78139999999999998</v>
      </c>
      <c r="G169" s="842">
        <v>0.78139999999999998</v>
      </c>
      <c r="H169" s="842">
        <v>0.78139999999999998</v>
      </c>
      <c r="I169" s="842">
        <v>0.68989999999999996</v>
      </c>
      <c r="J169" s="842">
        <v>0.68989999999999996</v>
      </c>
      <c r="K169" s="842">
        <v>0.68989999999999996</v>
      </c>
      <c r="L169" s="842">
        <v>0.68989999999999996</v>
      </c>
      <c r="M169" s="842">
        <v>0.68989999999999996</v>
      </c>
    </row>
    <row r="170" spans="1:13">
      <c r="A170" s="835">
        <v>6.6</v>
      </c>
      <c r="B170" s="842">
        <v>0.87809999999999999</v>
      </c>
      <c r="C170" s="842">
        <v>0.87809999999999999</v>
      </c>
      <c r="D170" s="842">
        <v>0.77949999999999997</v>
      </c>
      <c r="E170" s="842">
        <v>0.77949999999999997</v>
      </c>
      <c r="F170" s="842">
        <v>0.77949999999999997</v>
      </c>
      <c r="G170" s="842">
        <v>0.77949999999999997</v>
      </c>
      <c r="H170" s="842">
        <v>0.77949999999999997</v>
      </c>
      <c r="I170" s="842">
        <v>0.68759999999999999</v>
      </c>
      <c r="J170" s="842">
        <v>0.68759999999999999</v>
      </c>
      <c r="K170" s="842">
        <v>0.68759999999999999</v>
      </c>
      <c r="L170" s="842">
        <v>0.68759999999999999</v>
      </c>
      <c r="M170" s="842">
        <v>0.68759999999999999</v>
      </c>
    </row>
    <row r="171" spans="1:13">
      <c r="A171" s="835">
        <v>6.7</v>
      </c>
      <c r="B171" s="842">
        <v>0.87629999999999997</v>
      </c>
      <c r="C171" s="842">
        <v>0.87629999999999997</v>
      </c>
      <c r="D171" s="842">
        <v>0.77759999999999996</v>
      </c>
      <c r="E171" s="842">
        <v>0.77759999999999996</v>
      </c>
      <c r="F171" s="842">
        <v>0.77759999999999996</v>
      </c>
      <c r="G171" s="842">
        <v>0.77759999999999996</v>
      </c>
      <c r="H171" s="842">
        <v>0.77759999999999996</v>
      </c>
      <c r="I171" s="842">
        <v>0.68530000000000002</v>
      </c>
      <c r="J171" s="842">
        <v>0.68530000000000002</v>
      </c>
      <c r="K171" s="842">
        <v>0.68530000000000002</v>
      </c>
      <c r="L171" s="842">
        <v>0.68530000000000002</v>
      </c>
      <c r="M171" s="842">
        <v>0.68530000000000002</v>
      </c>
    </row>
    <row r="172" spans="1:13">
      <c r="A172" s="835">
        <v>6.8</v>
      </c>
      <c r="B172" s="842">
        <v>0.87450000000000006</v>
      </c>
      <c r="C172" s="842">
        <v>0.87450000000000006</v>
      </c>
      <c r="D172" s="842">
        <v>0.77569999999999995</v>
      </c>
      <c r="E172" s="842">
        <v>0.77569999999999995</v>
      </c>
      <c r="F172" s="842">
        <v>0.77569999999999995</v>
      </c>
      <c r="G172" s="842">
        <v>0.77569999999999995</v>
      </c>
      <c r="H172" s="842">
        <v>0.77569999999999995</v>
      </c>
      <c r="I172" s="842">
        <v>0.68310000000000004</v>
      </c>
      <c r="J172" s="842">
        <v>0.68310000000000004</v>
      </c>
      <c r="K172" s="842">
        <v>0.68310000000000004</v>
      </c>
      <c r="L172" s="842">
        <v>0.68310000000000004</v>
      </c>
      <c r="M172" s="842">
        <v>0.68310000000000004</v>
      </c>
    </row>
    <row r="173" spans="1:13">
      <c r="A173" s="835">
        <v>6.9</v>
      </c>
      <c r="B173" s="842">
        <v>0.87280000000000002</v>
      </c>
      <c r="C173" s="842">
        <v>0.87280000000000002</v>
      </c>
      <c r="D173" s="842">
        <v>0.77390000000000003</v>
      </c>
      <c r="E173" s="842">
        <v>0.77390000000000003</v>
      </c>
      <c r="F173" s="842">
        <v>0.77390000000000003</v>
      </c>
      <c r="G173" s="842">
        <v>0.77390000000000003</v>
      </c>
      <c r="H173" s="842">
        <v>0.77390000000000003</v>
      </c>
      <c r="I173" s="842">
        <v>0.68089999999999995</v>
      </c>
      <c r="J173" s="842">
        <v>0.68089999999999995</v>
      </c>
      <c r="K173" s="842">
        <v>0.68089999999999995</v>
      </c>
      <c r="L173" s="842">
        <v>0.68089999999999995</v>
      </c>
      <c r="M173" s="842">
        <v>0.68089999999999995</v>
      </c>
    </row>
    <row r="174" spans="1:13">
      <c r="A174" s="835">
        <v>7</v>
      </c>
      <c r="B174" s="842">
        <v>0.87109999999999999</v>
      </c>
      <c r="C174" s="842">
        <v>0.87109999999999999</v>
      </c>
      <c r="D174" s="842">
        <v>0.77210000000000001</v>
      </c>
      <c r="E174" s="842">
        <v>0.77210000000000001</v>
      </c>
      <c r="F174" s="842">
        <v>0.77210000000000001</v>
      </c>
      <c r="G174" s="842">
        <v>0.77210000000000001</v>
      </c>
      <c r="H174" s="842">
        <v>0.77210000000000001</v>
      </c>
      <c r="I174" s="842">
        <v>0.67879999999999996</v>
      </c>
      <c r="J174" s="842">
        <v>0.67879999999999996</v>
      </c>
      <c r="K174" s="842">
        <v>0.67879999999999996</v>
      </c>
      <c r="L174" s="842">
        <v>0.67879999999999996</v>
      </c>
      <c r="M174" s="842">
        <v>0.67879999999999996</v>
      </c>
    </row>
    <row r="175" spans="1:13">
      <c r="A175" s="835">
        <v>7.1</v>
      </c>
      <c r="B175" s="842">
        <v>0.86939999999999995</v>
      </c>
      <c r="C175" s="842">
        <v>0.86939999999999995</v>
      </c>
      <c r="D175" s="842">
        <v>0.77039999999999997</v>
      </c>
      <c r="E175" s="842">
        <v>0.77039999999999997</v>
      </c>
      <c r="F175" s="842">
        <v>0.77039999999999997</v>
      </c>
      <c r="G175" s="842">
        <v>0.77039999999999997</v>
      </c>
      <c r="H175" s="842">
        <v>0.77039999999999997</v>
      </c>
      <c r="I175" s="842">
        <v>0.67669999999999997</v>
      </c>
      <c r="J175" s="842">
        <v>0.67669999999999997</v>
      </c>
      <c r="K175" s="842">
        <v>0.67669999999999997</v>
      </c>
      <c r="L175" s="842">
        <v>0.67669999999999997</v>
      </c>
      <c r="M175" s="842">
        <v>0.67669999999999997</v>
      </c>
    </row>
    <row r="176" spans="1:13">
      <c r="A176" s="835">
        <v>7.2</v>
      </c>
      <c r="B176" s="842">
        <v>0.86770000000000003</v>
      </c>
      <c r="C176" s="842">
        <v>0.86770000000000003</v>
      </c>
      <c r="D176" s="842">
        <v>0.76870000000000005</v>
      </c>
      <c r="E176" s="842">
        <v>0.76870000000000005</v>
      </c>
      <c r="F176" s="842">
        <v>0.76870000000000005</v>
      </c>
      <c r="G176" s="842">
        <v>0.76870000000000005</v>
      </c>
      <c r="H176" s="842">
        <v>0.76870000000000005</v>
      </c>
      <c r="I176" s="842">
        <v>0.67469999999999997</v>
      </c>
      <c r="J176" s="842">
        <v>0.67469999999999997</v>
      </c>
      <c r="K176" s="842">
        <v>0.67469999999999997</v>
      </c>
      <c r="L176" s="842">
        <v>0.67469999999999997</v>
      </c>
      <c r="M176" s="842">
        <v>0.67469999999999997</v>
      </c>
    </row>
    <row r="177" spans="1:13">
      <c r="A177" s="835">
        <v>7.3</v>
      </c>
      <c r="B177" s="842">
        <v>0.86609999999999998</v>
      </c>
      <c r="C177" s="842">
        <v>0.86609999999999998</v>
      </c>
      <c r="D177" s="842">
        <v>0.76700000000000002</v>
      </c>
      <c r="E177" s="842">
        <v>0.76700000000000002</v>
      </c>
      <c r="F177" s="842">
        <v>0.76700000000000002</v>
      </c>
      <c r="G177" s="842">
        <v>0.76700000000000002</v>
      </c>
      <c r="H177" s="842">
        <v>0.76700000000000002</v>
      </c>
      <c r="I177" s="842">
        <v>0.67269999999999996</v>
      </c>
      <c r="J177" s="842">
        <v>0.67269999999999996</v>
      </c>
      <c r="K177" s="842">
        <v>0.67269999999999996</v>
      </c>
      <c r="L177" s="842">
        <v>0.67269999999999996</v>
      </c>
      <c r="M177" s="842">
        <v>0.67269999999999996</v>
      </c>
    </row>
    <row r="178" spans="1:13">
      <c r="A178" s="835">
        <v>7.4</v>
      </c>
      <c r="B178" s="842">
        <v>0.86450000000000005</v>
      </c>
      <c r="C178" s="842">
        <v>0.86450000000000005</v>
      </c>
      <c r="D178" s="842">
        <v>0.76529999999999998</v>
      </c>
      <c r="E178" s="842">
        <v>0.76529999999999998</v>
      </c>
      <c r="F178" s="842">
        <v>0.76529999999999998</v>
      </c>
      <c r="G178" s="842">
        <v>0.76529999999999998</v>
      </c>
      <c r="H178" s="842">
        <v>0.76529999999999998</v>
      </c>
      <c r="I178" s="842">
        <v>0.67079999999999995</v>
      </c>
      <c r="J178" s="842">
        <v>0.67079999999999995</v>
      </c>
      <c r="K178" s="842">
        <v>0.67079999999999995</v>
      </c>
      <c r="L178" s="842">
        <v>0.67079999999999995</v>
      </c>
      <c r="M178" s="842">
        <v>0.67079999999999995</v>
      </c>
    </row>
    <row r="179" spans="1:13">
      <c r="A179" s="835">
        <v>7.5</v>
      </c>
      <c r="B179" s="842">
        <v>0.86299999999999999</v>
      </c>
      <c r="C179" s="842">
        <v>0.86299999999999999</v>
      </c>
      <c r="D179" s="842">
        <v>0.76359999999999995</v>
      </c>
      <c r="E179" s="842">
        <v>0.76359999999999995</v>
      </c>
      <c r="F179" s="842">
        <v>0.76359999999999995</v>
      </c>
      <c r="G179" s="842">
        <v>0.76359999999999995</v>
      </c>
      <c r="H179" s="842">
        <v>0.76359999999999995</v>
      </c>
      <c r="I179" s="842">
        <v>0.66890000000000005</v>
      </c>
      <c r="J179" s="842">
        <v>0.66890000000000005</v>
      </c>
      <c r="K179" s="842">
        <v>0.66890000000000005</v>
      </c>
      <c r="L179" s="842">
        <v>0.66890000000000005</v>
      </c>
      <c r="M179" s="842">
        <v>0.66890000000000005</v>
      </c>
    </row>
    <row r="180" spans="1:13">
      <c r="A180" s="835">
        <v>7.6</v>
      </c>
      <c r="B180" s="842">
        <v>0.86150000000000004</v>
      </c>
      <c r="C180" s="842">
        <v>0.86150000000000004</v>
      </c>
      <c r="D180" s="842">
        <v>0.76200000000000001</v>
      </c>
      <c r="E180" s="842">
        <v>0.76200000000000001</v>
      </c>
      <c r="F180" s="842">
        <v>0.76200000000000001</v>
      </c>
      <c r="G180" s="842">
        <v>0.76200000000000001</v>
      </c>
      <c r="H180" s="842">
        <v>0.76200000000000001</v>
      </c>
      <c r="I180" s="842">
        <v>0.66700000000000004</v>
      </c>
      <c r="J180" s="842">
        <v>0.66700000000000004</v>
      </c>
      <c r="K180" s="842">
        <v>0.66700000000000004</v>
      </c>
      <c r="L180" s="842">
        <v>0.66700000000000004</v>
      </c>
      <c r="M180" s="842">
        <v>0.66700000000000004</v>
      </c>
    </row>
    <row r="181" spans="1:13">
      <c r="A181" s="835">
        <v>7.7</v>
      </c>
      <c r="B181" s="842">
        <v>0.86</v>
      </c>
      <c r="C181" s="842">
        <v>0.86</v>
      </c>
      <c r="D181" s="842">
        <v>0.76039999999999996</v>
      </c>
      <c r="E181" s="842">
        <v>0.76039999999999996</v>
      </c>
      <c r="F181" s="842">
        <v>0.76039999999999996</v>
      </c>
      <c r="G181" s="842">
        <v>0.76039999999999996</v>
      </c>
      <c r="H181" s="842">
        <v>0.76039999999999996</v>
      </c>
      <c r="I181" s="842">
        <v>0.66510000000000002</v>
      </c>
      <c r="J181" s="842">
        <v>0.66510000000000002</v>
      </c>
      <c r="K181" s="842">
        <v>0.66510000000000002</v>
      </c>
      <c r="L181" s="842">
        <v>0.66510000000000002</v>
      </c>
      <c r="M181" s="842">
        <v>0.66510000000000002</v>
      </c>
    </row>
    <row r="182" spans="1:13">
      <c r="A182" s="835">
        <v>7.8</v>
      </c>
      <c r="B182" s="842">
        <v>0.85850000000000004</v>
      </c>
      <c r="C182" s="842">
        <v>0.85850000000000004</v>
      </c>
      <c r="D182" s="842">
        <v>0.75880000000000003</v>
      </c>
      <c r="E182" s="842">
        <v>0.75880000000000003</v>
      </c>
      <c r="F182" s="842">
        <v>0.75880000000000003</v>
      </c>
      <c r="G182" s="842">
        <v>0.75880000000000003</v>
      </c>
      <c r="H182" s="842">
        <v>0.75880000000000003</v>
      </c>
      <c r="I182" s="842">
        <v>0.6633</v>
      </c>
      <c r="J182" s="842">
        <v>0.6633</v>
      </c>
      <c r="K182" s="842">
        <v>0.6633</v>
      </c>
      <c r="L182" s="842">
        <v>0.6633</v>
      </c>
      <c r="M182" s="842">
        <v>0.6633</v>
      </c>
    </row>
    <row r="183" spans="1:13">
      <c r="A183" s="835">
        <v>7.9</v>
      </c>
      <c r="B183" s="842">
        <v>0.85699999999999998</v>
      </c>
      <c r="C183" s="842">
        <v>0.85699999999999998</v>
      </c>
      <c r="D183" s="842">
        <v>0.75719999999999998</v>
      </c>
      <c r="E183" s="842">
        <v>0.75719999999999998</v>
      </c>
      <c r="F183" s="842">
        <v>0.75719999999999998</v>
      </c>
      <c r="G183" s="842">
        <v>0.75719999999999998</v>
      </c>
      <c r="H183" s="842">
        <v>0.75719999999999998</v>
      </c>
      <c r="I183" s="842">
        <v>0.66149999999999998</v>
      </c>
      <c r="J183" s="842">
        <v>0.66149999999999998</v>
      </c>
      <c r="K183" s="842">
        <v>0.66149999999999998</v>
      </c>
      <c r="L183" s="842">
        <v>0.66149999999999998</v>
      </c>
      <c r="M183" s="842">
        <v>0.66149999999999998</v>
      </c>
    </row>
    <row r="184" spans="1:13">
      <c r="A184" s="835">
        <v>8</v>
      </c>
      <c r="B184" s="842">
        <v>0.85550000000000004</v>
      </c>
      <c r="C184" s="842">
        <v>0.85550000000000004</v>
      </c>
      <c r="D184" s="842">
        <v>0.75570000000000004</v>
      </c>
      <c r="E184" s="842">
        <v>0.75570000000000004</v>
      </c>
      <c r="F184" s="842">
        <v>0.75570000000000004</v>
      </c>
      <c r="G184" s="842">
        <v>0.75570000000000004</v>
      </c>
      <c r="H184" s="842">
        <v>0.75570000000000004</v>
      </c>
      <c r="I184" s="842">
        <v>0.65969999999999995</v>
      </c>
      <c r="J184" s="842">
        <v>0.65969999999999995</v>
      </c>
      <c r="K184" s="842">
        <v>0.65969999999999995</v>
      </c>
      <c r="L184" s="842">
        <v>0.65969999999999995</v>
      </c>
      <c r="M184" s="842">
        <v>0.65969999999999995</v>
      </c>
    </row>
    <row r="185" spans="1:13">
      <c r="A185" s="835">
        <v>8.1</v>
      </c>
      <c r="B185" s="842">
        <v>0.85399999999999998</v>
      </c>
      <c r="C185" s="842">
        <v>0.85399999999999998</v>
      </c>
      <c r="D185" s="842">
        <v>0.75419999999999998</v>
      </c>
      <c r="E185" s="842">
        <v>0.75419999999999998</v>
      </c>
      <c r="F185" s="842">
        <v>0.75419999999999998</v>
      </c>
      <c r="G185" s="842">
        <v>0.75419999999999998</v>
      </c>
      <c r="H185" s="842">
        <v>0.75419999999999998</v>
      </c>
      <c r="I185" s="842">
        <v>0.65800000000000003</v>
      </c>
      <c r="J185" s="842">
        <v>0.65800000000000003</v>
      </c>
      <c r="K185" s="842">
        <v>0.65800000000000003</v>
      </c>
      <c r="L185" s="842">
        <v>0.65800000000000003</v>
      </c>
      <c r="M185" s="842">
        <v>0.65800000000000003</v>
      </c>
    </row>
    <row r="186" spans="1:13">
      <c r="A186" s="835">
        <v>8.1999999999999993</v>
      </c>
      <c r="B186" s="842">
        <v>0.85250000000000004</v>
      </c>
      <c r="C186" s="842">
        <v>0.85250000000000004</v>
      </c>
      <c r="D186" s="842">
        <v>0.75270000000000004</v>
      </c>
      <c r="E186" s="842">
        <v>0.75270000000000004</v>
      </c>
      <c r="F186" s="842">
        <v>0.75270000000000004</v>
      </c>
      <c r="G186" s="842">
        <v>0.75270000000000004</v>
      </c>
      <c r="H186" s="842">
        <v>0.75270000000000004</v>
      </c>
      <c r="I186" s="842">
        <v>0.65629999999999999</v>
      </c>
      <c r="J186" s="842">
        <v>0.65629999999999999</v>
      </c>
      <c r="K186" s="842">
        <v>0.65629999999999999</v>
      </c>
      <c r="L186" s="842">
        <v>0.65629999999999999</v>
      </c>
      <c r="M186" s="842">
        <v>0.65629999999999999</v>
      </c>
    </row>
    <row r="187" spans="1:13">
      <c r="A187" s="835">
        <v>8.3000000000000007</v>
      </c>
      <c r="B187" s="842">
        <v>0.85109999999999997</v>
      </c>
      <c r="C187" s="842">
        <v>0.85109999999999997</v>
      </c>
      <c r="D187" s="842">
        <v>0.75119999999999998</v>
      </c>
      <c r="E187" s="842">
        <v>0.75119999999999998</v>
      </c>
      <c r="F187" s="842">
        <v>0.75119999999999998</v>
      </c>
      <c r="G187" s="842">
        <v>0.75119999999999998</v>
      </c>
      <c r="H187" s="842">
        <v>0.75119999999999998</v>
      </c>
      <c r="I187" s="842">
        <v>0.65459999999999996</v>
      </c>
      <c r="J187" s="842">
        <v>0.65459999999999996</v>
      </c>
      <c r="K187" s="842">
        <v>0.65459999999999996</v>
      </c>
      <c r="L187" s="842">
        <v>0.65459999999999996</v>
      </c>
      <c r="M187" s="842">
        <v>0.65459999999999996</v>
      </c>
    </row>
    <row r="188" spans="1:13">
      <c r="A188" s="835">
        <v>8.4</v>
      </c>
      <c r="B188" s="842">
        <v>0.84970000000000001</v>
      </c>
      <c r="C188" s="842">
        <v>0.84970000000000001</v>
      </c>
      <c r="D188" s="842">
        <v>0.74970000000000003</v>
      </c>
      <c r="E188" s="842">
        <v>0.74970000000000003</v>
      </c>
      <c r="F188" s="842">
        <v>0.74970000000000003</v>
      </c>
      <c r="G188" s="842">
        <v>0.74970000000000003</v>
      </c>
      <c r="H188" s="842">
        <v>0.74970000000000003</v>
      </c>
      <c r="I188" s="842">
        <v>0.65300000000000002</v>
      </c>
      <c r="J188" s="842">
        <v>0.65300000000000002</v>
      </c>
      <c r="K188" s="842">
        <v>0.65300000000000002</v>
      </c>
      <c r="L188" s="842">
        <v>0.65300000000000002</v>
      </c>
      <c r="M188" s="842">
        <v>0.65300000000000002</v>
      </c>
    </row>
    <row r="189" spans="1:13">
      <c r="A189" s="835">
        <v>8.5</v>
      </c>
      <c r="B189" s="842">
        <v>0.84830000000000005</v>
      </c>
      <c r="C189" s="842">
        <v>0.84830000000000005</v>
      </c>
      <c r="D189" s="842">
        <v>0.74819999999999998</v>
      </c>
      <c r="E189" s="842">
        <v>0.74819999999999998</v>
      </c>
      <c r="F189" s="842">
        <v>0.74819999999999998</v>
      </c>
      <c r="G189" s="842">
        <v>0.74819999999999998</v>
      </c>
      <c r="H189" s="842">
        <v>0.74819999999999998</v>
      </c>
      <c r="I189" s="842">
        <v>0.65139999999999998</v>
      </c>
      <c r="J189" s="842">
        <v>0.65139999999999998</v>
      </c>
      <c r="K189" s="842">
        <v>0.65139999999999998</v>
      </c>
      <c r="L189" s="842">
        <v>0.65139999999999998</v>
      </c>
      <c r="M189" s="842">
        <v>0.65139999999999998</v>
      </c>
    </row>
    <row r="190" spans="1:13">
      <c r="A190" s="835">
        <v>8.6</v>
      </c>
      <c r="B190" s="842">
        <v>0.84689999999999999</v>
      </c>
      <c r="C190" s="842">
        <v>0.84689999999999999</v>
      </c>
      <c r="D190" s="842">
        <v>0.74670000000000003</v>
      </c>
      <c r="E190" s="842">
        <v>0.74670000000000003</v>
      </c>
      <c r="F190" s="842">
        <v>0.74670000000000003</v>
      </c>
      <c r="G190" s="842">
        <v>0.74670000000000003</v>
      </c>
      <c r="H190" s="842">
        <v>0.74670000000000003</v>
      </c>
      <c r="I190" s="842">
        <v>0.64980000000000004</v>
      </c>
      <c r="J190" s="842">
        <v>0.64980000000000004</v>
      </c>
      <c r="K190" s="842">
        <v>0.64980000000000004</v>
      </c>
      <c r="L190" s="842">
        <v>0.64980000000000004</v>
      </c>
      <c r="M190" s="842">
        <v>0.64980000000000004</v>
      </c>
    </row>
    <row r="191" spans="1:13">
      <c r="A191" s="835">
        <v>8.6999999999999993</v>
      </c>
      <c r="B191" s="842">
        <v>0.84550000000000003</v>
      </c>
      <c r="C191" s="842">
        <v>0.84550000000000003</v>
      </c>
      <c r="D191" s="842">
        <v>0.74519999999999997</v>
      </c>
      <c r="E191" s="842">
        <v>0.74519999999999997</v>
      </c>
      <c r="F191" s="842">
        <v>0.74519999999999997</v>
      </c>
      <c r="G191" s="842">
        <v>0.74519999999999997</v>
      </c>
      <c r="H191" s="842">
        <v>0.74519999999999997</v>
      </c>
      <c r="I191" s="842">
        <v>0.6482</v>
      </c>
      <c r="J191" s="842">
        <v>0.6482</v>
      </c>
      <c r="K191" s="842">
        <v>0.6482</v>
      </c>
      <c r="L191" s="842">
        <v>0.6482</v>
      </c>
      <c r="M191" s="842">
        <v>0.6482</v>
      </c>
    </row>
    <row r="192" spans="1:13">
      <c r="A192" s="835">
        <v>8.8000000000000007</v>
      </c>
      <c r="B192" s="842">
        <v>0.84409999999999996</v>
      </c>
      <c r="C192" s="842">
        <v>0.84409999999999996</v>
      </c>
      <c r="D192" s="842">
        <v>0.74370000000000003</v>
      </c>
      <c r="E192" s="842">
        <v>0.74370000000000003</v>
      </c>
      <c r="F192" s="842">
        <v>0.74370000000000003</v>
      </c>
      <c r="G192" s="842">
        <v>0.74370000000000003</v>
      </c>
      <c r="H192" s="842">
        <v>0.74370000000000003</v>
      </c>
      <c r="I192" s="842">
        <v>0.64659999999999995</v>
      </c>
      <c r="J192" s="842">
        <v>0.64659999999999995</v>
      </c>
      <c r="K192" s="842">
        <v>0.64659999999999995</v>
      </c>
      <c r="L192" s="842">
        <v>0.64659999999999995</v>
      </c>
      <c r="M192" s="842">
        <v>0.64659999999999995</v>
      </c>
    </row>
    <row r="193" spans="1:13">
      <c r="A193" s="835">
        <v>8.9</v>
      </c>
      <c r="B193" s="842">
        <v>0.84279999999999999</v>
      </c>
      <c r="C193" s="842">
        <v>0.84279999999999999</v>
      </c>
      <c r="D193" s="842">
        <v>0.74219999999999997</v>
      </c>
      <c r="E193" s="842">
        <v>0.74219999999999997</v>
      </c>
      <c r="F193" s="842">
        <v>0.74219999999999997</v>
      </c>
      <c r="G193" s="842">
        <v>0.74219999999999997</v>
      </c>
      <c r="H193" s="842">
        <v>0.74219999999999997</v>
      </c>
      <c r="I193" s="842">
        <v>0.64500000000000002</v>
      </c>
      <c r="J193" s="842">
        <v>0.64500000000000002</v>
      </c>
      <c r="K193" s="842">
        <v>0.64500000000000002</v>
      </c>
      <c r="L193" s="842">
        <v>0.64500000000000002</v>
      </c>
      <c r="M193" s="842">
        <v>0.64500000000000002</v>
      </c>
    </row>
    <row r="194" spans="1:13">
      <c r="A194" s="850">
        <v>9</v>
      </c>
      <c r="B194" s="842">
        <v>0.84150000000000003</v>
      </c>
      <c r="C194" s="842">
        <v>0.84150000000000003</v>
      </c>
      <c r="D194" s="842">
        <v>0.74070000000000003</v>
      </c>
      <c r="E194" s="842">
        <v>0.74070000000000003</v>
      </c>
      <c r="F194" s="842">
        <v>0.74070000000000003</v>
      </c>
      <c r="G194" s="842">
        <v>0.74070000000000003</v>
      </c>
      <c r="H194" s="842">
        <v>0.74070000000000003</v>
      </c>
      <c r="I194" s="842">
        <v>0.64349999999999996</v>
      </c>
      <c r="J194" s="842">
        <v>0.64349999999999996</v>
      </c>
      <c r="K194" s="842">
        <v>0.64349999999999996</v>
      </c>
      <c r="L194" s="842">
        <v>0.64349999999999996</v>
      </c>
      <c r="M194" s="842">
        <v>0.64349999999999996</v>
      </c>
    </row>
    <row r="195" spans="1:13">
      <c r="A195" s="850">
        <v>9.1</v>
      </c>
      <c r="B195" s="842">
        <v>0.84019999999999995</v>
      </c>
      <c r="C195" s="842">
        <v>0.84019999999999995</v>
      </c>
      <c r="D195" s="842">
        <v>0.73919999999999997</v>
      </c>
      <c r="E195" s="842">
        <v>0.73919999999999997</v>
      </c>
      <c r="F195" s="842">
        <v>0.73919999999999997</v>
      </c>
      <c r="G195" s="842">
        <v>0.73919999999999997</v>
      </c>
      <c r="H195" s="842">
        <v>0.73919999999999997</v>
      </c>
      <c r="I195" s="842">
        <v>0.64200000000000002</v>
      </c>
      <c r="J195" s="842">
        <v>0.64200000000000002</v>
      </c>
      <c r="K195" s="842">
        <v>0.64200000000000002</v>
      </c>
      <c r="L195" s="842">
        <v>0.64200000000000002</v>
      </c>
      <c r="M195" s="842">
        <v>0.64200000000000002</v>
      </c>
    </row>
    <row r="196" spans="1:13">
      <c r="A196" s="850">
        <v>9.1999999999999993</v>
      </c>
      <c r="B196" s="842">
        <v>0.83889999999999998</v>
      </c>
      <c r="C196" s="842">
        <v>0.83889999999999998</v>
      </c>
      <c r="D196" s="842">
        <v>0.73770000000000002</v>
      </c>
      <c r="E196" s="842">
        <v>0.73770000000000002</v>
      </c>
      <c r="F196" s="842">
        <v>0.73770000000000002</v>
      </c>
      <c r="G196" s="842">
        <v>0.73770000000000002</v>
      </c>
      <c r="H196" s="842">
        <v>0.73770000000000002</v>
      </c>
      <c r="I196" s="842">
        <v>0.64059999999999995</v>
      </c>
      <c r="J196" s="842">
        <v>0.64059999999999995</v>
      </c>
      <c r="K196" s="842">
        <v>0.64059999999999995</v>
      </c>
      <c r="L196" s="842">
        <v>0.64059999999999995</v>
      </c>
      <c r="M196" s="842">
        <v>0.64059999999999995</v>
      </c>
    </row>
    <row r="197" spans="1:13">
      <c r="A197" s="850">
        <v>9.3000000000000007</v>
      </c>
      <c r="B197" s="842">
        <v>0.83760000000000001</v>
      </c>
      <c r="C197" s="842">
        <v>0.83760000000000001</v>
      </c>
      <c r="D197" s="842">
        <v>0.73629999999999995</v>
      </c>
      <c r="E197" s="842">
        <v>0.73629999999999995</v>
      </c>
      <c r="F197" s="842">
        <v>0.73629999999999995</v>
      </c>
      <c r="G197" s="842">
        <v>0.73629999999999995</v>
      </c>
      <c r="H197" s="842">
        <v>0.73629999999999995</v>
      </c>
      <c r="I197" s="842">
        <v>0.63919999999999999</v>
      </c>
      <c r="J197" s="842">
        <v>0.63919999999999999</v>
      </c>
      <c r="K197" s="842">
        <v>0.63919999999999999</v>
      </c>
      <c r="L197" s="842">
        <v>0.63919999999999999</v>
      </c>
      <c r="M197" s="842">
        <v>0.63919999999999999</v>
      </c>
    </row>
    <row r="198" spans="1:13">
      <c r="A198" s="850">
        <v>9.4</v>
      </c>
      <c r="B198" s="842">
        <v>0.83630000000000004</v>
      </c>
      <c r="C198" s="842">
        <v>0.83630000000000004</v>
      </c>
      <c r="D198" s="842">
        <v>0.7349</v>
      </c>
      <c r="E198" s="842">
        <v>0.7349</v>
      </c>
      <c r="F198" s="842">
        <v>0.7349</v>
      </c>
      <c r="G198" s="842">
        <v>0.7349</v>
      </c>
      <c r="H198" s="842">
        <v>0.7349</v>
      </c>
      <c r="I198" s="842">
        <v>0.63780000000000003</v>
      </c>
      <c r="J198" s="842">
        <v>0.63780000000000003</v>
      </c>
      <c r="K198" s="842">
        <v>0.63780000000000003</v>
      </c>
      <c r="L198" s="842">
        <v>0.63780000000000003</v>
      </c>
      <c r="M198" s="842">
        <v>0.63780000000000003</v>
      </c>
    </row>
    <row r="199" spans="1:13">
      <c r="A199" s="850">
        <v>9.5</v>
      </c>
      <c r="B199" s="842">
        <v>0.83499999999999996</v>
      </c>
      <c r="C199" s="842">
        <v>0.83499999999999996</v>
      </c>
      <c r="D199" s="842">
        <v>0.73350000000000004</v>
      </c>
      <c r="E199" s="842">
        <v>0.73350000000000004</v>
      </c>
      <c r="F199" s="842">
        <v>0.73350000000000004</v>
      </c>
      <c r="G199" s="842">
        <v>0.73350000000000004</v>
      </c>
      <c r="H199" s="842">
        <v>0.73350000000000004</v>
      </c>
      <c r="I199" s="842">
        <v>0.63639999999999997</v>
      </c>
      <c r="J199" s="842">
        <v>0.63639999999999997</v>
      </c>
      <c r="K199" s="842">
        <v>0.63639999999999997</v>
      </c>
      <c r="L199" s="842">
        <v>0.63639999999999997</v>
      </c>
      <c r="M199" s="842">
        <v>0.63639999999999997</v>
      </c>
    </row>
    <row r="200" spans="1:13">
      <c r="A200" s="850">
        <v>9.6</v>
      </c>
      <c r="B200" s="842">
        <v>0.83379999999999999</v>
      </c>
      <c r="C200" s="842">
        <v>0.83379999999999999</v>
      </c>
      <c r="D200" s="842">
        <v>0.73209999999999997</v>
      </c>
      <c r="E200" s="842">
        <v>0.73209999999999997</v>
      </c>
      <c r="F200" s="842">
        <v>0.73209999999999997</v>
      </c>
      <c r="G200" s="842">
        <v>0.73209999999999997</v>
      </c>
      <c r="H200" s="842">
        <v>0.73209999999999997</v>
      </c>
      <c r="I200" s="842">
        <v>0.63500000000000001</v>
      </c>
      <c r="J200" s="842">
        <v>0.63500000000000001</v>
      </c>
      <c r="K200" s="842">
        <v>0.63500000000000001</v>
      </c>
      <c r="L200" s="842">
        <v>0.63500000000000001</v>
      </c>
      <c r="M200" s="842">
        <v>0.63500000000000001</v>
      </c>
    </row>
    <row r="201" spans="1:13">
      <c r="A201" s="850">
        <v>9.6999999999999993</v>
      </c>
      <c r="B201" s="842">
        <v>0.83260000000000001</v>
      </c>
      <c r="C201" s="842">
        <v>0.83260000000000001</v>
      </c>
      <c r="D201" s="842">
        <v>0.73070000000000002</v>
      </c>
      <c r="E201" s="842">
        <v>0.73070000000000002</v>
      </c>
      <c r="F201" s="842">
        <v>0.73070000000000002</v>
      </c>
      <c r="G201" s="842">
        <v>0.73070000000000002</v>
      </c>
      <c r="H201" s="842">
        <v>0.73070000000000002</v>
      </c>
      <c r="I201" s="842">
        <v>0.63360000000000005</v>
      </c>
      <c r="J201" s="842">
        <v>0.63360000000000005</v>
      </c>
      <c r="K201" s="842">
        <v>0.63360000000000005</v>
      </c>
      <c r="L201" s="842">
        <v>0.63360000000000005</v>
      </c>
      <c r="M201" s="842">
        <v>0.63360000000000005</v>
      </c>
    </row>
    <row r="202" spans="1:13">
      <c r="A202" s="850">
        <v>9.8000000000000007</v>
      </c>
      <c r="B202" s="842">
        <v>0.83140000000000003</v>
      </c>
      <c r="C202" s="842">
        <v>0.83140000000000003</v>
      </c>
      <c r="D202" s="842">
        <v>0.72929999999999995</v>
      </c>
      <c r="E202" s="842">
        <v>0.72929999999999995</v>
      </c>
      <c r="F202" s="842">
        <v>0.72929999999999995</v>
      </c>
      <c r="G202" s="842">
        <v>0.72929999999999995</v>
      </c>
      <c r="H202" s="842">
        <v>0.72929999999999995</v>
      </c>
      <c r="I202" s="842">
        <v>0.63219999999999998</v>
      </c>
      <c r="J202" s="842">
        <v>0.63219999999999998</v>
      </c>
      <c r="K202" s="842">
        <v>0.63219999999999998</v>
      </c>
      <c r="L202" s="842">
        <v>0.63219999999999998</v>
      </c>
      <c r="M202" s="842">
        <v>0.63219999999999998</v>
      </c>
    </row>
    <row r="203" spans="1:13">
      <c r="A203" s="850">
        <v>9.9</v>
      </c>
      <c r="B203" s="842">
        <v>0.83020000000000005</v>
      </c>
      <c r="C203" s="842">
        <v>0.83020000000000005</v>
      </c>
      <c r="D203" s="842">
        <v>0.72799999999999998</v>
      </c>
      <c r="E203" s="842">
        <v>0.72799999999999998</v>
      </c>
      <c r="F203" s="842">
        <v>0.72799999999999998</v>
      </c>
      <c r="G203" s="842">
        <v>0.72799999999999998</v>
      </c>
      <c r="H203" s="842">
        <v>0.72799999999999998</v>
      </c>
      <c r="I203" s="842">
        <v>0.63080000000000003</v>
      </c>
      <c r="J203" s="842">
        <v>0.63080000000000003</v>
      </c>
      <c r="K203" s="842">
        <v>0.63080000000000003</v>
      </c>
      <c r="L203" s="842">
        <v>0.63080000000000003</v>
      </c>
      <c r="M203" s="842">
        <v>0.63080000000000003</v>
      </c>
    </row>
    <row r="204" spans="1:13">
      <c r="A204" s="850">
        <v>10</v>
      </c>
      <c r="B204" s="842">
        <v>0.82899999999999996</v>
      </c>
      <c r="C204" s="842">
        <v>0.82899999999999996</v>
      </c>
      <c r="D204" s="842">
        <v>0.72670000000000001</v>
      </c>
      <c r="E204" s="842">
        <v>0.72670000000000001</v>
      </c>
      <c r="F204" s="842">
        <v>0.72670000000000001</v>
      </c>
      <c r="G204" s="842">
        <v>0.72670000000000001</v>
      </c>
      <c r="H204" s="842">
        <v>0.72670000000000001</v>
      </c>
      <c r="I204" s="842">
        <v>0.62939999999999996</v>
      </c>
      <c r="J204" s="842">
        <v>0.62939999999999996</v>
      </c>
      <c r="K204" s="842">
        <v>0.62939999999999996</v>
      </c>
      <c r="L204" s="842">
        <v>0.62939999999999996</v>
      </c>
      <c r="M204" s="842">
        <v>0.62939999999999996</v>
      </c>
    </row>
    <row r="205" spans="1:13" ht="14.25">
      <c r="A205" s="832" t="s">
        <v>749</v>
      </c>
      <c r="B205" s="833"/>
      <c r="C205" s="833"/>
      <c r="D205" s="833"/>
      <c r="E205" s="833"/>
      <c r="F205" s="833"/>
      <c r="G205" s="833"/>
      <c r="H205" s="833"/>
      <c r="I205" s="833"/>
      <c r="J205" s="833"/>
      <c r="K205" s="833"/>
      <c r="L205" s="833"/>
      <c r="M205" s="833"/>
    </row>
    <row r="206" spans="1:13">
      <c r="A206" s="835" t="s">
        <v>746</v>
      </c>
      <c r="B206" s="836" t="s">
        <v>157</v>
      </c>
      <c r="C206" s="836" t="s">
        <v>158</v>
      </c>
      <c r="D206" s="836" t="s">
        <v>159</v>
      </c>
      <c r="E206" s="836" t="s">
        <v>160</v>
      </c>
      <c r="F206" s="836" t="s">
        <v>161</v>
      </c>
      <c r="G206" s="836" t="s">
        <v>162</v>
      </c>
      <c r="H206" s="837" t="s">
        <v>163</v>
      </c>
      <c r="I206" s="837" t="s">
        <v>164</v>
      </c>
      <c r="J206" s="838" t="s">
        <v>165</v>
      </c>
      <c r="K206" s="838" t="s">
        <v>166</v>
      </c>
      <c r="L206" s="838" t="s">
        <v>167</v>
      </c>
      <c r="M206" s="838" t="s">
        <v>168</v>
      </c>
    </row>
    <row r="207" spans="1:13">
      <c r="A207" s="835">
        <v>0.1</v>
      </c>
      <c r="B207" s="842">
        <v>12.172000000000001</v>
      </c>
      <c r="C207" s="842">
        <v>12.172000000000001</v>
      </c>
      <c r="D207" s="842">
        <v>12.375999999999999</v>
      </c>
      <c r="E207" s="842">
        <v>12.375999999999999</v>
      </c>
      <c r="F207" s="842">
        <v>12.375999999999999</v>
      </c>
      <c r="G207" s="842">
        <v>12.375999999999999</v>
      </c>
      <c r="H207" s="842">
        <v>12.375999999999999</v>
      </c>
      <c r="I207" s="842">
        <v>11.071999999999999</v>
      </c>
      <c r="J207" s="842">
        <v>11.071999999999999</v>
      </c>
      <c r="K207" s="842">
        <v>11.071999999999999</v>
      </c>
      <c r="L207" s="842">
        <v>11.071999999999999</v>
      </c>
      <c r="M207" s="842">
        <v>11.071999999999999</v>
      </c>
    </row>
    <row r="208" spans="1:13">
      <c r="A208" s="835">
        <v>0.2</v>
      </c>
      <c r="B208" s="842">
        <v>6.0860000000000003</v>
      </c>
      <c r="C208" s="842">
        <v>6.0860000000000003</v>
      </c>
      <c r="D208" s="842">
        <v>6.1879999999999997</v>
      </c>
      <c r="E208" s="842">
        <v>6.1879999999999997</v>
      </c>
      <c r="F208" s="842">
        <v>6.1879999999999997</v>
      </c>
      <c r="G208" s="842">
        <v>6.1879999999999997</v>
      </c>
      <c r="H208" s="842">
        <v>6.1879999999999997</v>
      </c>
      <c r="I208" s="842">
        <v>5.5359999999999996</v>
      </c>
      <c r="J208" s="842">
        <v>5.5359999999999996</v>
      </c>
      <c r="K208" s="842">
        <v>5.5359999999999996</v>
      </c>
      <c r="L208" s="842">
        <v>5.5359999999999996</v>
      </c>
      <c r="M208" s="842">
        <v>5.5359999999999996</v>
      </c>
    </row>
    <row r="209" spans="1:13">
      <c r="A209" s="835">
        <v>0.3</v>
      </c>
      <c r="B209" s="842">
        <v>4.0572999999999997</v>
      </c>
      <c r="C209" s="842">
        <v>4.0572999999999997</v>
      </c>
      <c r="D209" s="842">
        <v>4.1253000000000002</v>
      </c>
      <c r="E209" s="842">
        <v>4.1253000000000002</v>
      </c>
      <c r="F209" s="842">
        <v>4.1253000000000002</v>
      </c>
      <c r="G209" s="842">
        <v>4.1253000000000002</v>
      </c>
      <c r="H209" s="842">
        <v>4.1253000000000002</v>
      </c>
      <c r="I209" s="842">
        <v>3.6907000000000001</v>
      </c>
      <c r="J209" s="842">
        <v>3.6907000000000001</v>
      </c>
      <c r="K209" s="842">
        <v>3.6907000000000001</v>
      </c>
      <c r="L209" s="842">
        <v>3.6907000000000001</v>
      </c>
      <c r="M209" s="842">
        <v>3.6907000000000001</v>
      </c>
    </row>
    <row r="210" spans="1:13">
      <c r="A210" s="835">
        <v>0.4</v>
      </c>
      <c r="B210" s="842">
        <v>3.0430000000000001</v>
      </c>
      <c r="C210" s="842">
        <v>3.0430000000000001</v>
      </c>
      <c r="D210" s="842">
        <v>3.0939999999999999</v>
      </c>
      <c r="E210" s="842">
        <v>3.0939999999999999</v>
      </c>
      <c r="F210" s="842">
        <v>3.0939999999999999</v>
      </c>
      <c r="G210" s="842">
        <v>3.0939999999999999</v>
      </c>
      <c r="H210" s="842">
        <v>3.0939999999999999</v>
      </c>
      <c r="I210" s="842">
        <v>2.7679999999999998</v>
      </c>
      <c r="J210" s="842">
        <v>2.7679999999999998</v>
      </c>
      <c r="K210" s="842">
        <v>2.7679999999999998</v>
      </c>
      <c r="L210" s="842">
        <v>2.7679999999999998</v>
      </c>
      <c r="M210" s="842">
        <v>2.7679999999999998</v>
      </c>
    </row>
    <row r="211" spans="1:13">
      <c r="A211" s="835">
        <v>0.5</v>
      </c>
      <c r="B211" s="842">
        <v>2.4344000000000001</v>
      </c>
      <c r="C211" s="842">
        <v>2.4344000000000001</v>
      </c>
      <c r="D211" s="842">
        <v>2.4752000000000001</v>
      </c>
      <c r="E211" s="842">
        <v>2.4752000000000001</v>
      </c>
      <c r="F211" s="842">
        <v>2.4752000000000001</v>
      </c>
      <c r="G211" s="842">
        <v>2.4752000000000001</v>
      </c>
      <c r="H211" s="842">
        <v>2.4752000000000001</v>
      </c>
      <c r="I211" s="842">
        <v>2.2143999999999999</v>
      </c>
      <c r="J211" s="842">
        <v>2.2143999999999999</v>
      </c>
      <c r="K211" s="842">
        <v>2.2143999999999999</v>
      </c>
      <c r="L211" s="842">
        <v>2.2143999999999999</v>
      </c>
      <c r="M211" s="842">
        <v>2.2143999999999999</v>
      </c>
    </row>
    <row r="212" spans="1:13">
      <c r="A212" s="835">
        <v>0.6</v>
      </c>
      <c r="B212" s="842">
        <v>2.0287000000000002</v>
      </c>
      <c r="C212" s="842">
        <v>2.0287000000000002</v>
      </c>
      <c r="D212" s="842">
        <v>2.0627</v>
      </c>
      <c r="E212" s="842">
        <v>2.0627</v>
      </c>
      <c r="F212" s="842">
        <v>2.0627</v>
      </c>
      <c r="G212" s="842">
        <v>2.0627</v>
      </c>
      <c r="H212" s="842">
        <v>2.0627</v>
      </c>
      <c r="I212" s="842">
        <v>1.8452999999999999</v>
      </c>
      <c r="J212" s="842">
        <v>1.8452999999999999</v>
      </c>
      <c r="K212" s="842">
        <v>1.8452999999999999</v>
      </c>
      <c r="L212" s="842">
        <v>1.8452999999999999</v>
      </c>
      <c r="M212" s="842">
        <v>1.8452999999999999</v>
      </c>
    </row>
    <row r="213" spans="1:13">
      <c r="A213" s="835">
        <v>0.7</v>
      </c>
      <c r="B213" s="842">
        <v>1.7388999999999999</v>
      </c>
      <c r="C213" s="842">
        <v>1.7388999999999999</v>
      </c>
      <c r="D213" s="842">
        <v>1.768</v>
      </c>
      <c r="E213" s="842">
        <v>1.768</v>
      </c>
      <c r="F213" s="842">
        <v>1.768</v>
      </c>
      <c r="G213" s="842">
        <v>1.768</v>
      </c>
      <c r="H213" s="842">
        <v>1.768</v>
      </c>
      <c r="I213" s="842">
        <v>1.5817000000000001</v>
      </c>
      <c r="J213" s="842">
        <v>1.5817000000000001</v>
      </c>
      <c r="K213" s="842">
        <v>1.5817000000000001</v>
      </c>
      <c r="L213" s="842">
        <v>1.5817000000000001</v>
      </c>
      <c r="M213" s="842">
        <v>1.5817000000000001</v>
      </c>
    </row>
    <row r="214" spans="1:13">
      <c r="A214" s="835">
        <v>0.8</v>
      </c>
      <c r="B214" s="842">
        <v>1.5215000000000001</v>
      </c>
      <c r="C214" s="842">
        <v>1.5215000000000001</v>
      </c>
      <c r="D214" s="842">
        <v>1.5469999999999999</v>
      </c>
      <c r="E214" s="842">
        <v>1.5469999999999999</v>
      </c>
      <c r="F214" s="842">
        <v>1.5469999999999999</v>
      </c>
      <c r="G214" s="842">
        <v>1.5469999999999999</v>
      </c>
      <c r="H214" s="842">
        <v>1.5469999999999999</v>
      </c>
      <c r="I214" s="842">
        <v>1.3839999999999999</v>
      </c>
      <c r="J214" s="842">
        <v>1.3839999999999999</v>
      </c>
      <c r="K214" s="842">
        <v>1.3839999999999999</v>
      </c>
      <c r="L214" s="842">
        <v>1.3839999999999999</v>
      </c>
      <c r="M214" s="842">
        <v>1.3839999999999999</v>
      </c>
    </row>
    <row r="215" spans="1:13">
      <c r="A215" s="835">
        <v>0.9</v>
      </c>
      <c r="B215" s="842">
        <v>1.3524</v>
      </c>
      <c r="C215" s="842">
        <v>1.3524</v>
      </c>
      <c r="D215" s="842">
        <v>1.3751</v>
      </c>
      <c r="E215" s="842">
        <v>1.3751</v>
      </c>
      <c r="F215" s="842">
        <v>1.3751</v>
      </c>
      <c r="G215" s="842">
        <v>1.3751</v>
      </c>
      <c r="H215" s="842">
        <v>1.3751</v>
      </c>
      <c r="I215" s="842">
        <v>1.2302</v>
      </c>
      <c r="J215" s="842">
        <v>1.2302</v>
      </c>
      <c r="K215" s="842">
        <v>1.2302</v>
      </c>
      <c r="L215" s="842">
        <v>1.2302</v>
      </c>
      <c r="M215" s="842">
        <v>1.2302</v>
      </c>
    </row>
    <row r="216" spans="1:13">
      <c r="A216" s="835">
        <v>1</v>
      </c>
      <c r="B216" s="842">
        <v>1.2172000000000001</v>
      </c>
      <c r="C216" s="842">
        <v>1.2172000000000001</v>
      </c>
      <c r="D216" s="842">
        <v>1.2376</v>
      </c>
      <c r="E216" s="842">
        <v>1.2376</v>
      </c>
      <c r="F216" s="842">
        <v>1.2376</v>
      </c>
      <c r="G216" s="842">
        <v>1.2376</v>
      </c>
      <c r="H216" s="842">
        <v>1.2376</v>
      </c>
      <c r="I216" s="842">
        <v>1.1072</v>
      </c>
      <c r="J216" s="842">
        <v>1.1072</v>
      </c>
      <c r="K216" s="842">
        <v>1.1072</v>
      </c>
      <c r="L216" s="842">
        <v>1.1072</v>
      </c>
      <c r="M216" s="842">
        <v>1.1072</v>
      </c>
    </row>
    <row r="217" spans="1:13">
      <c r="A217" s="835">
        <v>1.1000000000000001</v>
      </c>
      <c r="B217" s="842">
        <v>1.198</v>
      </c>
      <c r="C217" s="842">
        <v>1.198</v>
      </c>
      <c r="D217" s="842">
        <v>1.2156</v>
      </c>
      <c r="E217" s="842">
        <v>1.2156</v>
      </c>
      <c r="F217" s="842">
        <v>1.2156</v>
      </c>
      <c r="G217" s="842">
        <v>1.2156</v>
      </c>
      <c r="H217" s="842">
        <v>1.2156</v>
      </c>
      <c r="I217" s="842">
        <v>1.0829</v>
      </c>
      <c r="J217" s="842">
        <v>1.0829</v>
      </c>
      <c r="K217" s="842">
        <v>1.0829</v>
      </c>
      <c r="L217" s="842">
        <v>1.0829</v>
      </c>
      <c r="M217" s="842">
        <v>1.0829</v>
      </c>
    </row>
    <row r="218" spans="1:13">
      <c r="A218" s="835">
        <v>1.2</v>
      </c>
      <c r="B218" s="842">
        <v>1.1795</v>
      </c>
      <c r="C218" s="842">
        <v>1.1795</v>
      </c>
      <c r="D218" s="842">
        <v>1.1947000000000001</v>
      </c>
      <c r="E218" s="842">
        <v>1.1947000000000001</v>
      </c>
      <c r="F218" s="842">
        <v>1.1947000000000001</v>
      </c>
      <c r="G218" s="842">
        <v>1.1947000000000001</v>
      </c>
      <c r="H218" s="842">
        <v>1.1947000000000001</v>
      </c>
      <c r="I218" s="842">
        <v>1.0601</v>
      </c>
      <c r="J218" s="842">
        <v>1.0601</v>
      </c>
      <c r="K218" s="842">
        <v>1.0601</v>
      </c>
      <c r="L218" s="842">
        <v>1.0601</v>
      </c>
      <c r="M218" s="842">
        <v>1.0601</v>
      </c>
    </row>
    <row r="219" spans="1:13">
      <c r="A219" s="835">
        <v>1.3</v>
      </c>
      <c r="B219" s="842">
        <v>1.1617999999999999</v>
      </c>
      <c r="C219" s="842">
        <v>1.1617999999999999</v>
      </c>
      <c r="D219" s="842">
        <v>1.1748000000000001</v>
      </c>
      <c r="E219" s="842">
        <v>1.1748000000000001</v>
      </c>
      <c r="F219" s="842">
        <v>1.1748000000000001</v>
      </c>
      <c r="G219" s="842">
        <v>1.1748000000000001</v>
      </c>
      <c r="H219" s="842">
        <v>1.1748000000000001</v>
      </c>
      <c r="I219" s="842">
        <v>1.0387999999999999</v>
      </c>
      <c r="J219" s="842">
        <v>1.0387999999999999</v>
      </c>
      <c r="K219" s="842">
        <v>1.0387999999999999</v>
      </c>
      <c r="L219" s="842">
        <v>1.0387999999999999</v>
      </c>
      <c r="M219" s="842">
        <v>1.0387999999999999</v>
      </c>
    </row>
    <row r="220" spans="1:13">
      <c r="A220" s="835">
        <v>1.4</v>
      </c>
      <c r="B220" s="842">
        <v>1.1448</v>
      </c>
      <c r="C220" s="842">
        <v>1.1448</v>
      </c>
      <c r="D220" s="842">
        <v>1.1557999999999999</v>
      </c>
      <c r="E220" s="842">
        <v>1.1557999999999999</v>
      </c>
      <c r="F220" s="842">
        <v>1.1557999999999999</v>
      </c>
      <c r="G220" s="842">
        <v>1.1557999999999999</v>
      </c>
      <c r="H220" s="842">
        <v>1.1557999999999999</v>
      </c>
      <c r="I220" s="842">
        <v>1.0187999999999999</v>
      </c>
      <c r="J220" s="842">
        <v>1.0187999999999999</v>
      </c>
      <c r="K220" s="842">
        <v>1.0187999999999999</v>
      </c>
      <c r="L220" s="842">
        <v>1.0187999999999999</v>
      </c>
      <c r="M220" s="842">
        <v>1.0187999999999999</v>
      </c>
    </row>
    <row r="221" spans="1:13">
      <c r="A221" s="835">
        <v>1.5</v>
      </c>
      <c r="B221" s="842">
        <v>1.1285000000000001</v>
      </c>
      <c r="C221" s="842">
        <v>1.1285000000000001</v>
      </c>
      <c r="D221" s="842">
        <v>1.1377999999999999</v>
      </c>
      <c r="E221" s="842">
        <v>1.1377999999999999</v>
      </c>
      <c r="F221" s="842">
        <v>1.1377999999999999</v>
      </c>
      <c r="G221" s="842">
        <v>1.1377999999999999</v>
      </c>
      <c r="H221" s="842">
        <v>1.1377999999999999</v>
      </c>
      <c r="I221" s="842">
        <v>1</v>
      </c>
      <c r="J221" s="842">
        <v>1</v>
      </c>
      <c r="K221" s="842">
        <v>1</v>
      </c>
      <c r="L221" s="842">
        <v>1</v>
      </c>
      <c r="M221" s="842">
        <v>1</v>
      </c>
    </row>
    <row r="222" spans="1:13">
      <c r="A222" s="835">
        <v>1.6</v>
      </c>
      <c r="B222" s="842">
        <v>1.1129</v>
      </c>
      <c r="C222" s="842">
        <v>1.1129</v>
      </c>
      <c r="D222" s="842">
        <v>1.1206</v>
      </c>
      <c r="E222" s="842">
        <v>1.1206</v>
      </c>
      <c r="F222" s="842">
        <v>1.1206</v>
      </c>
      <c r="G222" s="842">
        <v>1.1206</v>
      </c>
      <c r="H222" s="842">
        <v>1.1206</v>
      </c>
      <c r="I222" s="842">
        <v>0.98240000000000005</v>
      </c>
      <c r="J222" s="842">
        <v>0.98240000000000005</v>
      </c>
      <c r="K222" s="842">
        <v>0.98240000000000005</v>
      </c>
      <c r="L222" s="842">
        <v>0.98240000000000005</v>
      </c>
      <c r="M222" s="842">
        <v>0.98240000000000005</v>
      </c>
    </row>
    <row r="223" spans="1:13">
      <c r="A223" s="835">
        <v>1.7</v>
      </c>
      <c r="B223" s="842">
        <v>1.0980000000000001</v>
      </c>
      <c r="C223" s="842">
        <v>1.0980000000000001</v>
      </c>
      <c r="D223" s="842">
        <v>1.1043000000000001</v>
      </c>
      <c r="E223" s="842">
        <v>1.1043000000000001</v>
      </c>
      <c r="F223" s="842">
        <v>1.1043000000000001</v>
      </c>
      <c r="G223" s="842">
        <v>1.1043000000000001</v>
      </c>
      <c r="H223" s="842">
        <v>1.1043000000000001</v>
      </c>
      <c r="I223" s="842">
        <v>0.96579999999999999</v>
      </c>
      <c r="J223" s="842">
        <v>0.96579999999999999</v>
      </c>
      <c r="K223" s="842">
        <v>0.96579999999999999</v>
      </c>
      <c r="L223" s="842">
        <v>0.96579999999999999</v>
      </c>
      <c r="M223" s="842">
        <v>0.96579999999999999</v>
      </c>
    </row>
    <row r="224" spans="1:13">
      <c r="A224" s="835">
        <v>1.8</v>
      </c>
      <c r="B224" s="842">
        <v>1.0835999999999999</v>
      </c>
      <c r="C224" s="842">
        <v>1.0835999999999999</v>
      </c>
      <c r="D224" s="842">
        <v>1.0888</v>
      </c>
      <c r="E224" s="842">
        <v>1.0888</v>
      </c>
      <c r="F224" s="842">
        <v>1.0888</v>
      </c>
      <c r="G224" s="842">
        <v>1.0888</v>
      </c>
      <c r="H224" s="842">
        <v>1.0888</v>
      </c>
      <c r="I224" s="842">
        <v>0.95030000000000003</v>
      </c>
      <c r="J224" s="842">
        <v>0.95030000000000003</v>
      </c>
      <c r="K224" s="842">
        <v>0.95030000000000003</v>
      </c>
      <c r="L224" s="842">
        <v>0.95030000000000003</v>
      </c>
      <c r="M224" s="842">
        <v>0.95030000000000003</v>
      </c>
    </row>
    <row r="225" spans="1:13">
      <c r="A225" s="835">
        <v>1.9</v>
      </c>
      <c r="B225" s="842">
        <v>1.0698000000000001</v>
      </c>
      <c r="C225" s="842">
        <v>1.0698000000000001</v>
      </c>
      <c r="D225" s="842">
        <v>1.0741000000000001</v>
      </c>
      <c r="E225" s="842">
        <v>1.0741000000000001</v>
      </c>
      <c r="F225" s="842">
        <v>1.0741000000000001</v>
      </c>
      <c r="G225" s="842">
        <v>1.0741000000000001</v>
      </c>
      <c r="H225" s="842">
        <v>1.0741000000000001</v>
      </c>
      <c r="I225" s="842">
        <v>0.93610000000000004</v>
      </c>
      <c r="J225" s="842">
        <v>0.93610000000000004</v>
      </c>
      <c r="K225" s="842">
        <v>0.93610000000000004</v>
      </c>
      <c r="L225" s="842">
        <v>0.93610000000000004</v>
      </c>
      <c r="M225" s="842">
        <v>0.93610000000000004</v>
      </c>
    </row>
    <row r="226" spans="1:13">
      <c r="A226" s="835">
        <v>2</v>
      </c>
      <c r="B226" s="842">
        <v>1.0568</v>
      </c>
      <c r="C226" s="842">
        <v>1.0568</v>
      </c>
      <c r="D226" s="842">
        <v>1.0601</v>
      </c>
      <c r="E226" s="842">
        <v>1.0601</v>
      </c>
      <c r="F226" s="842">
        <v>1.0601</v>
      </c>
      <c r="G226" s="842">
        <v>1.0601</v>
      </c>
      <c r="H226" s="842">
        <v>1.0601</v>
      </c>
      <c r="I226" s="842">
        <v>0.9224</v>
      </c>
      <c r="J226" s="842">
        <v>0.9224</v>
      </c>
      <c r="K226" s="842">
        <v>0.9224</v>
      </c>
      <c r="L226" s="842">
        <v>0.9224</v>
      </c>
      <c r="M226" s="842">
        <v>0.9224</v>
      </c>
    </row>
    <row r="227" spans="1:13">
      <c r="A227" s="850">
        <v>2.1</v>
      </c>
      <c r="B227" s="842">
        <v>1.0443</v>
      </c>
      <c r="C227" s="842">
        <v>1.0443</v>
      </c>
      <c r="D227" s="842">
        <v>1.0468</v>
      </c>
      <c r="E227" s="842">
        <v>1.0468</v>
      </c>
      <c r="F227" s="842">
        <v>1.0468</v>
      </c>
      <c r="G227" s="842">
        <v>1.0468</v>
      </c>
      <c r="H227" s="842">
        <v>1.0468</v>
      </c>
      <c r="I227" s="842">
        <v>0.90959999999999996</v>
      </c>
      <c r="J227" s="842">
        <v>0.90959999999999996</v>
      </c>
      <c r="K227" s="842">
        <v>0.90959999999999996</v>
      </c>
      <c r="L227" s="842">
        <v>0.90959999999999996</v>
      </c>
      <c r="M227" s="842">
        <v>0.90959999999999996</v>
      </c>
    </row>
    <row r="228" spans="1:13">
      <c r="A228" s="850">
        <v>2.2000000000000002</v>
      </c>
      <c r="B228" s="842">
        <v>1.0325</v>
      </c>
      <c r="C228" s="842">
        <v>1.0325</v>
      </c>
      <c r="D228" s="842">
        <v>1.0342</v>
      </c>
      <c r="E228" s="842">
        <v>1.0342</v>
      </c>
      <c r="F228" s="842">
        <v>1.0342</v>
      </c>
      <c r="G228" s="842">
        <v>1.0342</v>
      </c>
      <c r="H228" s="842">
        <v>1.0342</v>
      </c>
      <c r="I228" s="842">
        <v>0.89749999999999996</v>
      </c>
      <c r="J228" s="842">
        <v>0.89749999999999996</v>
      </c>
      <c r="K228" s="842">
        <v>0.89749999999999996</v>
      </c>
      <c r="L228" s="842">
        <v>0.89749999999999996</v>
      </c>
      <c r="M228" s="842">
        <v>0.89749999999999996</v>
      </c>
    </row>
    <row r="229" spans="1:13">
      <c r="A229" s="850">
        <v>2.2999999999999998</v>
      </c>
      <c r="B229" s="842">
        <v>1.0209999999999999</v>
      </c>
      <c r="C229" s="842">
        <v>1.0209999999999999</v>
      </c>
      <c r="D229" s="842">
        <v>1.0222</v>
      </c>
      <c r="E229" s="842">
        <v>1.0222</v>
      </c>
      <c r="F229" s="842">
        <v>1.0222</v>
      </c>
      <c r="G229" s="842">
        <v>1.0222</v>
      </c>
      <c r="H229" s="842">
        <v>1.0222</v>
      </c>
      <c r="I229" s="842">
        <v>0.88619999999999999</v>
      </c>
      <c r="J229" s="842">
        <v>0.88619999999999999</v>
      </c>
      <c r="K229" s="842">
        <v>0.88619999999999999</v>
      </c>
      <c r="L229" s="842">
        <v>0.88619999999999999</v>
      </c>
      <c r="M229" s="842">
        <v>0.88619999999999999</v>
      </c>
    </row>
    <row r="230" spans="1:13">
      <c r="A230" s="850">
        <v>2.4</v>
      </c>
      <c r="B230" s="842">
        <v>1.0102</v>
      </c>
      <c r="C230" s="842">
        <v>1.0102</v>
      </c>
      <c r="D230" s="842">
        <v>1.0107999999999999</v>
      </c>
      <c r="E230" s="842">
        <v>1.0107999999999999</v>
      </c>
      <c r="F230" s="842">
        <v>1.0107999999999999</v>
      </c>
      <c r="G230" s="842">
        <v>1.0107999999999999</v>
      </c>
      <c r="H230" s="842">
        <v>1.0107999999999999</v>
      </c>
      <c r="I230" s="842">
        <v>0.87529999999999997</v>
      </c>
      <c r="J230" s="842">
        <v>0.87529999999999997</v>
      </c>
      <c r="K230" s="842">
        <v>0.87529999999999997</v>
      </c>
      <c r="L230" s="842">
        <v>0.87529999999999997</v>
      </c>
      <c r="M230" s="842">
        <v>0.87529999999999997</v>
      </c>
    </row>
    <row r="231" spans="1:13">
      <c r="A231" s="850">
        <v>2.5</v>
      </c>
      <c r="B231" s="842">
        <v>1</v>
      </c>
      <c r="C231" s="842">
        <v>1</v>
      </c>
      <c r="D231" s="842">
        <v>1</v>
      </c>
      <c r="E231" s="842">
        <v>1</v>
      </c>
      <c r="F231" s="842">
        <v>1</v>
      </c>
      <c r="G231" s="842">
        <v>1</v>
      </c>
      <c r="H231" s="842">
        <v>1</v>
      </c>
      <c r="I231" s="842">
        <v>0.86509999999999998</v>
      </c>
      <c r="J231" s="842">
        <v>0.86509999999999998</v>
      </c>
      <c r="K231" s="842">
        <v>0.86509999999999998</v>
      </c>
      <c r="L231" s="842">
        <v>0.86509999999999998</v>
      </c>
      <c r="M231" s="842">
        <v>0.86509999999999998</v>
      </c>
    </row>
    <row r="232" spans="1:13">
      <c r="A232" s="850">
        <v>2.6</v>
      </c>
      <c r="B232" s="842">
        <v>0.99029999999999996</v>
      </c>
      <c r="C232" s="842">
        <v>0.99029999999999996</v>
      </c>
      <c r="D232" s="842">
        <v>0.98970000000000002</v>
      </c>
      <c r="E232" s="842">
        <v>0.98970000000000002</v>
      </c>
      <c r="F232" s="842">
        <v>0.98970000000000002</v>
      </c>
      <c r="G232" s="842">
        <v>0.98970000000000002</v>
      </c>
      <c r="H232" s="842">
        <v>0.98970000000000002</v>
      </c>
      <c r="I232" s="842">
        <v>0.85529999999999995</v>
      </c>
      <c r="J232" s="842">
        <v>0.85529999999999995</v>
      </c>
      <c r="K232" s="842">
        <v>0.85529999999999995</v>
      </c>
      <c r="L232" s="842">
        <v>0.85529999999999995</v>
      </c>
      <c r="M232" s="842">
        <v>0.85529999999999995</v>
      </c>
    </row>
    <row r="233" spans="1:13">
      <c r="A233" s="850">
        <v>2.7</v>
      </c>
      <c r="B233" s="842">
        <v>0.98109999999999997</v>
      </c>
      <c r="C233" s="842">
        <v>0.98109999999999997</v>
      </c>
      <c r="D233" s="842">
        <v>0.97989999999999999</v>
      </c>
      <c r="E233" s="842">
        <v>0.97989999999999999</v>
      </c>
      <c r="F233" s="842">
        <v>0.97989999999999999</v>
      </c>
      <c r="G233" s="842">
        <v>0.97989999999999999</v>
      </c>
      <c r="H233" s="842">
        <v>0.97989999999999999</v>
      </c>
      <c r="I233" s="842">
        <v>0.84599999999999997</v>
      </c>
      <c r="J233" s="842">
        <v>0.84599999999999997</v>
      </c>
      <c r="K233" s="842">
        <v>0.84599999999999997</v>
      </c>
      <c r="L233" s="842">
        <v>0.84599999999999997</v>
      </c>
      <c r="M233" s="842">
        <v>0.84599999999999997</v>
      </c>
    </row>
    <row r="234" spans="1:13">
      <c r="A234" s="850">
        <v>2.8</v>
      </c>
      <c r="B234" s="842">
        <v>0.97240000000000004</v>
      </c>
      <c r="C234" s="842">
        <v>0.97240000000000004</v>
      </c>
      <c r="D234" s="842">
        <v>0.97060000000000002</v>
      </c>
      <c r="E234" s="842">
        <v>0.97060000000000002</v>
      </c>
      <c r="F234" s="842">
        <v>0.97060000000000002</v>
      </c>
      <c r="G234" s="842">
        <v>0.97060000000000002</v>
      </c>
      <c r="H234" s="842">
        <v>0.97060000000000002</v>
      </c>
      <c r="I234" s="842">
        <v>0.83709999999999996</v>
      </c>
      <c r="J234" s="842">
        <v>0.83709999999999996</v>
      </c>
      <c r="K234" s="842">
        <v>0.83709999999999996</v>
      </c>
      <c r="L234" s="842">
        <v>0.83709999999999996</v>
      </c>
      <c r="M234" s="842">
        <v>0.83709999999999996</v>
      </c>
    </row>
    <row r="235" spans="1:13">
      <c r="A235" s="850">
        <v>2.9</v>
      </c>
      <c r="B235" s="842">
        <v>0.96419999999999995</v>
      </c>
      <c r="C235" s="842">
        <v>0.96419999999999995</v>
      </c>
      <c r="D235" s="842">
        <v>0.96179999999999999</v>
      </c>
      <c r="E235" s="842">
        <v>0.96179999999999999</v>
      </c>
      <c r="F235" s="842">
        <v>0.96179999999999999</v>
      </c>
      <c r="G235" s="842">
        <v>0.96179999999999999</v>
      </c>
      <c r="H235" s="842">
        <v>0.96179999999999999</v>
      </c>
      <c r="I235" s="842">
        <v>0.82850000000000001</v>
      </c>
      <c r="J235" s="842">
        <v>0.82850000000000001</v>
      </c>
      <c r="K235" s="842">
        <v>0.82850000000000001</v>
      </c>
      <c r="L235" s="842">
        <v>0.82850000000000001</v>
      </c>
      <c r="M235" s="842">
        <v>0.82850000000000001</v>
      </c>
    </row>
    <row r="236" spans="1:13">
      <c r="A236" s="850">
        <v>3</v>
      </c>
      <c r="B236" s="842">
        <v>0.95640000000000003</v>
      </c>
      <c r="C236" s="842">
        <v>0.95640000000000003</v>
      </c>
      <c r="D236" s="842">
        <v>0.95340000000000003</v>
      </c>
      <c r="E236" s="842">
        <v>0.95340000000000003</v>
      </c>
      <c r="F236" s="842">
        <v>0.95340000000000003</v>
      </c>
      <c r="G236" s="842">
        <v>0.95340000000000003</v>
      </c>
      <c r="H236" s="842">
        <v>0.95340000000000003</v>
      </c>
      <c r="I236" s="842">
        <v>0.82040000000000002</v>
      </c>
      <c r="J236" s="842">
        <v>0.82040000000000002</v>
      </c>
      <c r="K236" s="842">
        <v>0.82040000000000002</v>
      </c>
      <c r="L236" s="842">
        <v>0.82040000000000002</v>
      </c>
      <c r="M236" s="842">
        <v>0.82040000000000002</v>
      </c>
    </row>
    <row r="237" spans="1:13">
      <c r="A237" s="850">
        <v>3.1</v>
      </c>
      <c r="B237" s="842">
        <v>0.94899999999999995</v>
      </c>
      <c r="C237" s="842">
        <v>0.94899999999999995</v>
      </c>
      <c r="D237" s="842">
        <v>0.94550000000000001</v>
      </c>
      <c r="E237" s="842">
        <v>0.94550000000000001</v>
      </c>
      <c r="F237" s="842">
        <v>0.94550000000000001</v>
      </c>
      <c r="G237" s="842">
        <v>0.94550000000000001</v>
      </c>
      <c r="H237" s="842">
        <v>0.94550000000000001</v>
      </c>
      <c r="I237" s="842">
        <v>0.81259999999999999</v>
      </c>
      <c r="J237" s="842">
        <v>0.81259999999999999</v>
      </c>
      <c r="K237" s="842">
        <v>0.81259999999999999</v>
      </c>
      <c r="L237" s="842">
        <v>0.81259999999999999</v>
      </c>
      <c r="M237" s="842">
        <v>0.81259999999999999</v>
      </c>
    </row>
    <row r="238" spans="1:13">
      <c r="A238" s="850">
        <v>3.2</v>
      </c>
      <c r="B238" s="842">
        <v>0.94199999999999995</v>
      </c>
      <c r="C238" s="842">
        <v>0.94199999999999995</v>
      </c>
      <c r="D238" s="842">
        <v>0.93789999999999996</v>
      </c>
      <c r="E238" s="842">
        <v>0.93789999999999996</v>
      </c>
      <c r="F238" s="842">
        <v>0.93789999999999996</v>
      </c>
      <c r="G238" s="842">
        <v>0.93789999999999996</v>
      </c>
      <c r="H238" s="842">
        <v>0.93789999999999996</v>
      </c>
      <c r="I238" s="842">
        <v>0.80530000000000002</v>
      </c>
      <c r="J238" s="842">
        <v>0.80530000000000002</v>
      </c>
      <c r="K238" s="842">
        <v>0.80530000000000002</v>
      </c>
      <c r="L238" s="842">
        <v>0.80530000000000002</v>
      </c>
      <c r="M238" s="842">
        <v>0.80530000000000002</v>
      </c>
    </row>
    <row r="239" spans="1:13">
      <c r="A239" s="850">
        <v>3.3</v>
      </c>
      <c r="B239" s="842">
        <v>0.93540000000000001</v>
      </c>
      <c r="C239" s="842">
        <v>0.93540000000000001</v>
      </c>
      <c r="D239" s="842">
        <v>0.93069999999999997</v>
      </c>
      <c r="E239" s="842">
        <v>0.93069999999999997</v>
      </c>
      <c r="F239" s="842">
        <v>0.93069999999999997</v>
      </c>
      <c r="G239" s="842">
        <v>0.93069999999999997</v>
      </c>
      <c r="H239" s="842">
        <v>0.93069999999999997</v>
      </c>
      <c r="I239" s="842">
        <v>0.79820000000000002</v>
      </c>
      <c r="J239" s="842">
        <v>0.79820000000000002</v>
      </c>
      <c r="K239" s="842">
        <v>0.79820000000000002</v>
      </c>
      <c r="L239" s="842">
        <v>0.79820000000000002</v>
      </c>
      <c r="M239" s="842">
        <v>0.79820000000000002</v>
      </c>
    </row>
    <row r="240" spans="1:13">
      <c r="A240" s="850">
        <v>3.4</v>
      </c>
      <c r="B240" s="842">
        <v>0.92920000000000003</v>
      </c>
      <c r="C240" s="842">
        <v>0.92920000000000003</v>
      </c>
      <c r="D240" s="842">
        <v>0.92390000000000005</v>
      </c>
      <c r="E240" s="842">
        <v>0.92390000000000005</v>
      </c>
      <c r="F240" s="842">
        <v>0.92390000000000005</v>
      </c>
      <c r="G240" s="842">
        <v>0.92390000000000005</v>
      </c>
      <c r="H240" s="842">
        <v>0.92390000000000005</v>
      </c>
      <c r="I240" s="842">
        <v>0.79139999999999999</v>
      </c>
      <c r="J240" s="842">
        <v>0.79139999999999999</v>
      </c>
      <c r="K240" s="842">
        <v>0.79139999999999999</v>
      </c>
      <c r="L240" s="842">
        <v>0.79139999999999999</v>
      </c>
      <c r="M240" s="842">
        <v>0.79139999999999999</v>
      </c>
    </row>
    <row r="241" spans="1:13">
      <c r="A241" s="850">
        <v>3.5</v>
      </c>
      <c r="B241" s="842">
        <v>0.9234</v>
      </c>
      <c r="C241" s="842">
        <v>0.9234</v>
      </c>
      <c r="D241" s="842">
        <v>0.91749999999999998</v>
      </c>
      <c r="E241" s="842">
        <v>0.91749999999999998</v>
      </c>
      <c r="F241" s="842">
        <v>0.91749999999999998</v>
      </c>
      <c r="G241" s="842">
        <v>0.91749999999999998</v>
      </c>
      <c r="H241" s="842">
        <v>0.91749999999999998</v>
      </c>
      <c r="I241" s="842">
        <v>0.78490000000000004</v>
      </c>
      <c r="J241" s="842">
        <v>0.78490000000000004</v>
      </c>
      <c r="K241" s="842">
        <v>0.78490000000000004</v>
      </c>
      <c r="L241" s="842">
        <v>0.78490000000000004</v>
      </c>
      <c r="M241" s="842">
        <v>0.78490000000000004</v>
      </c>
    </row>
    <row r="242" spans="1:13">
      <c r="A242" s="850">
        <v>3.6</v>
      </c>
      <c r="B242" s="842">
        <v>0.91790000000000005</v>
      </c>
      <c r="C242" s="842">
        <v>0.91790000000000005</v>
      </c>
      <c r="D242" s="842">
        <v>0.91139999999999999</v>
      </c>
      <c r="E242" s="842">
        <v>0.91139999999999999</v>
      </c>
      <c r="F242" s="842">
        <v>0.91139999999999999</v>
      </c>
      <c r="G242" s="842">
        <v>0.91139999999999999</v>
      </c>
      <c r="H242" s="842">
        <v>0.91139999999999999</v>
      </c>
      <c r="I242" s="842">
        <v>0.77880000000000005</v>
      </c>
      <c r="J242" s="842">
        <v>0.77880000000000005</v>
      </c>
      <c r="K242" s="842">
        <v>0.77880000000000005</v>
      </c>
      <c r="L242" s="842">
        <v>0.77880000000000005</v>
      </c>
      <c r="M242" s="842">
        <v>0.77880000000000005</v>
      </c>
    </row>
    <row r="243" spans="1:13">
      <c r="A243" s="850">
        <v>3.7</v>
      </c>
      <c r="B243" s="842">
        <v>0.91269999999999996</v>
      </c>
      <c r="C243" s="842">
        <v>0.91269999999999996</v>
      </c>
      <c r="D243" s="842">
        <v>0.90559999999999996</v>
      </c>
      <c r="E243" s="842">
        <v>0.90559999999999996</v>
      </c>
      <c r="F243" s="842">
        <v>0.90559999999999996</v>
      </c>
      <c r="G243" s="842">
        <v>0.90559999999999996</v>
      </c>
      <c r="H243" s="842">
        <v>0.90559999999999996</v>
      </c>
      <c r="I243" s="842">
        <v>0.77300000000000002</v>
      </c>
      <c r="J243" s="842">
        <v>0.77300000000000002</v>
      </c>
      <c r="K243" s="842">
        <v>0.77300000000000002</v>
      </c>
      <c r="L243" s="842">
        <v>0.77300000000000002</v>
      </c>
      <c r="M243" s="842">
        <v>0.77300000000000002</v>
      </c>
    </row>
    <row r="244" spans="1:13">
      <c r="A244" s="850">
        <v>3.8</v>
      </c>
      <c r="B244" s="842">
        <v>0.90780000000000005</v>
      </c>
      <c r="C244" s="842">
        <v>0.90780000000000005</v>
      </c>
      <c r="D244" s="842">
        <v>0.90010000000000001</v>
      </c>
      <c r="E244" s="842">
        <v>0.90010000000000001</v>
      </c>
      <c r="F244" s="842">
        <v>0.90010000000000001</v>
      </c>
      <c r="G244" s="842">
        <v>0.90010000000000001</v>
      </c>
      <c r="H244" s="842">
        <v>0.90010000000000001</v>
      </c>
      <c r="I244" s="842">
        <v>0.76739999999999997</v>
      </c>
      <c r="J244" s="842">
        <v>0.76739999999999997</v>
      </c>
      <c r="K244" s="842">
        <v>0.76739999999999997</v>
      </c>
      <c r="L244" s="842">
        <v>0.76739999999999997</v>
      </c>
      <c r="M244" s="842">
        <v>0.76739999999999997</v>
      </c>
    </row>
    <row r="245" spans="1:13">
      <c r="A245" s="850">
        <v>3.9</v>
      </c>
      <c r="B245" s="842">
        <v>0.9032</v>
      </c>
      <c r="C245" s="842">
        <v>0.9032</v>
      </c>
      <c r="D245" s="842">
        <v>0.89490000000000003</v>
      </c>
      <c r="E245" s="842">
        <v>0.89490000000000003</v>
      </c>
      <c r="F245" s="842">
        <v>0.89490000000000003</v>
      </c>
      <c r="G245" s="842">
        <v>0.89490000000000003</v>
      </c>
      <c r="H245" s="842">
        <v>0.89490000000000003</v>
      </c>
      <c r="I245" s="842">
        <v>0.7621</v>
      </c>
      <c r="J245" s="842">
        <v>0.7621</v>
      </c>
      <c r="K245" s="842">
        <v>0.7621</v>
      </c>
      <c r="L245" s="842">
        <v>0.7621</v>
      </c>
      <c r="M245" s="842">
        <v>0.7621</v>
      </c>
    </row>
    <row r="246" spans="1:13">
      <c r="A246" s="850">
        <v>4</v>
      </c>
      <c r="B246" s="842">
        <v>0.89890000000000003</v>
      </c>
      <c r="C246" s="842">
        <v>0.89890000000000003</v>
      </c>
      <c r="D246" s="842">
        <v>0.89</v>
      </c>
      <c r="E246" s="842">
        <v>0.89</v>
      </c>
      <c r="F246" s="842">
        <v>0.89</v>
      </c>
      <c r="G246" s="842">
        <v>0.89</v>
      </c>
      <c r="H246" s="842">
        <v>0.89</v>
      </c>
      <c r="I246" s="842">
        <v>0.7571</v>
      </c>
      <c r="J246" s="842">
        <v>0.7571</v>
      </c>
      <c r="K246" s="842">
        <v>0.7571</v>
      </c>
      <c r="L246" s="842">
        <v>0.7571</v>
      </c>
      <c r="M246" s="842">
        <v>0.7571</v>
      </c>
    </row>
    <row r="247" spans="1:13">
      <c r="A247" s="850">
        <v>4.0999999999999996</v>
      </c>
      <c r="B247" s="842">
        <v>0.89480000000000004</v>
      </c>
      <c r="C247" s="842">
        <v>0.89480000000000004</v>
      </c>
      <c r="D247" s="842">
        <v>0.88539999999999996</v>
      </c>
      <c r="E247" s="842">
        <v>0.88539999999999996</v>
      </c>
      <c r="F247" s="842">
        <v>0.88539999999999996</v>
      </c>
      <c r="G247" s="842">
        <v>0.88539999999999996</v>
      </c>
      <c r="H247" s="842">
        <v>0.88539999999999996</v>
      </c>
      <c r="I247" s="842">
        <v>0.75229999999999997</v>
      </c>
      <c r="J247" s="842">
        <v>0.75229999999999997</v>
      </c>
      <c r="K247" s="842">
        <v>0.75229999999999997</v>
      </c>
      <c r="L247" s="842">
        <v>0.75229999999999997</v>
      </c>
      <c r="M247" s="842">
        <v>0.75229999999999997</v>
      </c>
    </row>
    <row r="248" spans="1:13">
      <c r="A248" s="850">
        <v>4.2</v>
      </c>
      <c r="B248" s="842">
        <v>0.89100000000000001</v>
      </c>
      <c r="C248" s="842">
        <v>0.89100000000000001</v>
      </c>
      <c r="D248" s="842">
        <v>0.88109999999999999</v>
      </c>
      <c r="E248" s="842">
        <v>0.88109999999999999</v>
      </c>
      <c r="F248" s="842">
        <v>0.88109999999999999</v>
      </c>
      <c r="G248" s="842">
        <v>0.88109999999999999</v>
      </c>
      <c r="H248" s="842">
        <v>0.88109999999999999</v>
      </c>
      <c r="I248" s="842">
        <v>0.74780000000000002</v>
      </c>
      <c r="J248" s="842">
        <v>0.74780000000000002</v>
      </c>
      <c r="K248" s="842">
        <v>0.74780000000000002</v>
      </c>
      <c r="L248" s="842">
        <v>0.74780000000000002</v>
      </c>
      <c r="M248" s="842">
        <v>0.74780000000000002</v>
      </c>
    </row>
    <row r="249" spans="1:13">
      <c r="A249" s="850">
        <v>4.3</v>
      </c>
      <c r="B249" s="842">
        <v>0.88739999999999997</v>
      </c>
      <c r="C249" s="842">
        <v>0.88739999999999997</v>
      </c>
      <c r="D249" s="842">
        <v>0.877</v>
      </c>
      <c r="E249" s="842">
        <v>0.877</v>
      </c>
      <c r="F249" s="842">
        <v>0.877</v>
      </c>
      <c r="G249" s="842">
        <v>0.877</v>
      </c>
      <c r="H249" s="842">
        <v>0.877</v>
      </c>
      <c r="I249" s="842">
        <v>0.74329999999999996</v>
      </c>
      <c r="J249" s="842">
        <v>0.74329999999999996</v>
      </c>
      <c r="K249" s="842">
        <v>0.74329999999999996</v>
      </c>
      <c r="L249" s="842">
        <v>0.74329999999999996</v>
      </c>
      <c r="M249" s="842">
        <v>0.74329999999999996</v>
      </c>
    </row>
    <row r="250" spans="1:13">
      <c r="A250" s="850">
        <v>4.4000000000000004</v>
      </c>
      <c r="B250" s="842">
        <v>0.88400000000000001</v>
      </c>
      <c r="C250" s="842">
        <v>0.88400000000000001</v>
      </c>
      <c r="D250" s="842">
        <v>0.87309999999999999</v>
      </c>
      <c r="E250" s="842">
        <v>0.87309999999999999</v>
      </c>
      <c r="F250" s="842">
        <v>0.87309999999999999</v>
      </c>
      <c r="G250" s="842">
        <v>0.87309999999999999</v>
      </c>
      <c r="H250" s="842">
        <v>0.87309999999999999</v>
      </c>
      <c r="I250" s="842">
        <v>0.73909999999999998</v>
      </c>
      <c r="J250" s="842">
        <v>0.73909999999999998</v>
      </c>
      <c r="K250" s="842">
        <v>0.73909999999999998</v>
      </c>
      <c r="L250" s="842">
        <v>0.73909999999999998</v>
      </c>
      <c r="M250" s="842">
        <v>0.73909999999999998</v>
      </c>
    </row>
    <row r="251" spans="1:13">
      <c r="A251" s="850">
        <v>4.5</v>
      </c>
      <c r="B251" s="842">
        <v>0.88080000000000003</v>
      </c>
      <c r="C251" s="842">
        <v>0.88080000000000003</v>
      </c>
      <c r="D251" s="842">
        <v>0.86939999999999995</v>
      </c>
      <c r="E251" s="842">
        <v>0.86939999999999995</v>
      </c>
      <c r="F251" s="842">
        <v>0.86939999999999995</v>
      </c>
      <c r="G251" s="842">
        <v>0.86939999999999995</v>
      </c>
      <c r="H251" s="842">
        <v>0.86939999999999995</v>
      </c>
      <c r="I251" s="842">
        <v>0.73499999999999999</v>
      </c>
      <c r="J251" s="842">
        <v>0.73499999999999999</v>
      </c>
      <c r="K251" s="842">
        <v>0.73499999999999999</v>
      </c>
      <c r="L251" s="842">
        <v>0.73499999999999999</v>
      </c>
      <c r="M251" s="842">
        <v>0.73499999999999999</v>
      </c>
    </row>
    <row r="252" spans="1:13">
      <c r="A252" s="850">
        <v>4.5999999999999996</v>
      </c>
      <c r="B252" s="842">
        <v>0.87780000000000002</v>
      </c>
      <c r="C252" s="842">
        <v>0.87780000000000002</v>
      </c>
      <c r="D252" s="842">
        <v>0.8659</v>
      </c>
      <c r="E252" s="842">
        <v>0.8659</v>
      </c>
      <c r="F252" s="842">
        <v>0.8659</v>
      </c>
      <c r="G252" s="842">
        <v>0.8659</v>
      </c>
      <c r="H252" s="842">
        <v>0.8659</v>
      </c>
      <c r="I252" s="842">
        <v>0.73109999999999997</v>
      </c>
      <c r="J252" s="842">
        <v>0.73109999999999997</v>
      </c>
      <c r="K252" s="842">
        <v>0.73109999999999997</v>
      </c>
      <c r="L252" s="842">
        <v>0.73109999999999997</v>
      </c>
      <c r="M252" s="842">
        <v>0.73109999999999997</v>
      </c>
    </row>
    <row r="253" spans="1:13">
      <c r="A253" s="850">
        <v>4.7</v>
      </c>
      <c r="B253" s="842">
        <v>0.875</v>
      </c>
      <c r="C253" s="842">
        <v>0.875</v>
      </c>
      <c r="D253" s="842">
        <v>0.86260000000000003</v>
      </c>
      <c r="E253" s="842">
        <v>0.86260000000000003</v>
      </c>
      <c r="F253" s="842">
        <v>0.86260000000000003</v>
      </c>
      <c r="G253" s="842">
        <v>0.86260000000000003</v>
      </c>
      <c r="H253" s="842">
        <v>0.86260000000000003</v>
      </c>
      <c r="I253" s="842">
        <v>0.72750000000000004</v>
      </c>
      <c r="J253" s="842">
        <v>0.72750000000000004</v>
      </c>
      <c r="K253" s="842">
        <v>0.72750000000000004</v>
      </c>
      <c r="L253" s="842">
        <v>0.72750000000000004</v>
      </c>
      <c r="M253" s="842">
        <v>0.72750000000000004</v>
      </c>
    </row>
    <row r="254" spans="1:13">
      <c r="A254" s="850">
        <v>4.8</v>
      </c>
      <c r="B254" s="842">
        <v>0.87229999999999996</v>
      </c>
      <c r="C254" s="842">
        <v>0.87229999999999996</v>
      </c>
      <c r="D254" s="842">
        <v>0.85950000000000004</v>
      </c>
      <c r="E254" s="842">
        <v>0.85950000000000004</v>
      </c>
      <c r="F254" s="842">
        <v>0.85950000000000004</v>
      </c>
      <c r="G254" s="842">
        <v>0.85950000000000004</v>
      </c>
      <c r="H254" s="842">
        <v>0.85950000000000004</v>
      </c>
      <c r="I254" s="842">
        <v>0.72399999999999998</v>
      </c>
      <c r="J254" s="842">
        <v>0.72399999999999998</v>
      </c>
      <c r="K254" s="842">
        <v>0.72399999999999998</v>
      </c>
      <c r="L254" s="842">
        <v>0.72399999999999998</v>
      </c>
      <c r="M254" s="842">
        <v>0.72399999999999998</v>
      </c>
    </row>
    <row r="255" spans="1:13">
      <c r="A255" s="850">
        <v>4.9000000000000004</v>
      </c>
      <c r="B255" s="842">
        <v>0.86980000000000002</v>
      </c>
      <c r="C255" s="842">
        <v>0.86980000000000002</v>
      </c>
      <c r="D255" s="842">
        <v>0.85660000000000003</v>
      </c>
      <c r="E255" s="842">
        <v>0.85660000000000003</v>
      </c>
      <c r="F255" s="842">
        <v>0.85660000000000003</v>
      </c>
      <c r="G255" s="842">
        <v>0.85660000000000003</v>
      </c>
      <c r="H255" s="842">
        <v>0.85660000000000003</v>
      </c>
      <c r="I255" s="842">
        <v>0.7208</v>
      </c>
      <c r="J255" s="842">
        <v>0.7208</v>
      </c>
      <c r="K255" s="842">
        <v>0.7208</v>
      </c>
      <c r="L255" s="842">
        <v>0.7208</v>
      </c>
      <c r="M255" s="842">
        <v>0.7208</v>
      </c>
    </row>
    <row r="256" spans="1:13">
      <c r="A256" s="850">
        <v>5</v>
      </c>
      <c r="B256" s="842">
        <v>0.86739999999999995</v>
      </c>
      <c r="C256" s="842">
        <v>0.86739999999999995</v>
      </c>
      <c r="D256" s="842">
        <v>0.8538</v>
      </c>
      <c r="E256" s="842">
        <v>0.8538</v>
      </c>
      <c r="F256" s="842">
        <v>0.8538</v>
      </c>
      <c r="G256" s="842">
        <v>0.8538</v>
      </c>
      <c r="H256" s="842">
        <v>0.8538</v>
      </c>
      <c r="I256" s="842">
        <v>0.71760000000000002</v>
      </c>
      <c r="J256" s="842">
        <v>0.71760000000000002</v>
      </c>
      <c r="K256" s="842">
        <v>0.71760000000000002</v>
      </c>
      <c r="L256" s="842">
        <v>0.71760000000000002</v>
      </c>
      <c r="M256" s="842">
        <v>0.71760000000000002</v>
      </c>
    </row>
    <row r="257" spans="1:13">
      <c r="A257" s="835">
        <v>5.0999999999999996</v>
      </c>
      <c r="B257" s="842">
        <v>0.86519999999999997</v>
      </c>
      <c r="C257" s="842">
        <v>0.86519999999999997</v>
      </c>
      <c r="D257" s="842">
        <v>0.85109999999999997</v>
      </c>
      <c r="E257" s="842">
        <v>0.85109999999999997</v>
      </c>
      <c r="F257" s="842">
        <v>0.85109999999999997</v>
      </c>
      <c r="G257" s="842">
        <v>0.85109999999999997</v>
      </c>
      <c r="H257" s="842">
        <v>0.85109999999999997</v>
      </c>
      <c r="I257" s="842">
        <v>0.7147</v>
      </c>
      <c r="J257" s="842">
        <v>0.7147</v>
      </c>
      <c r="K257" s="842">
        <v>0.7147</v>
      </c>
      <c r="L257" s="842">
        <v>0.7147</v>
      </c>
      <c r="M257" s="842">
        <v>0.7147</v>
      </c>
    </row>
    <row r="258" spans="1:13">
      <c r="A258" s="835">
        <v>5.2</v>
      </c>
      <c r="B258" s="842">
        <v>0.86309999999999998</v>
      </c>
      <c r="C258" s="842">
        <v>0.86309999999999998</v>
      </c>
      <c r="D258" s="842">
        <v>0.84860000000000002</v>
      </c>
      <c r="E258" s="842">
        <v>0.84860000000000002</v>
      </c>
      <c r="F258" s="842">
        <v>0.84860000000000002</v>
      </c>
      <c r="G258" s="842">
        <v>0.84860000000000002</v>
      </c>
      <c r="H258" s="842">
        <v>0.84860000000000002</v>
      </c>
      <c r="I258" s="842">
        <v>0.71189999999999998</v>
      </c>
      <c r="J258" s="842">
        <v>0.71189999999999998</v>
      </c>
      <c r="K258" s="842">
        <v>0.71189999999999998</v>
      </c>
      <c r="L258" s="842">
        <v>0.71189999999999998</v>
      </c>
      <c r="M258" s="842">
        <v>0.71189999999999998</v>
      </c>
    </row>
    <row r="259" spans="1:13">
      <c r="A259" s="835">
        <v>5.3</v>
      </c>
      <c r="B259" s="842">
        <v>0.86119999999999997</v>
      </c>
      <c r="C259" s="842">
        <v>0.86119999999999997</v>
      </c>
      <c r="D259" s="842">
        <v>0.84619999999999995</v>
      </c>
      <c r="E259" s="842">
        <v>0.84619999999999995</v>
      </c>
      <c r="F259" s="842">
        <v>0.84619999999999995</v>
      </c>
      <c r="G259" s="842">
        <v>0.84619999999999995</v>
      </c>
      <c r="H259" s="842">
        <v>0.84619999999999995</v>
      </c>
      <c r="I259" s="842">
        <v>0.70909999999999995</v>
      </c>
      <c r="J259" s="842">
        <v>0.70909999999999995</v>
      </c>
      <c r="K259" s="842">
        <v>0.70909999999999995</v>
      </c>
      <c r="L259" s="842">
        <v>0.70909999999999995</v>
      </c>
      <c r="M259" s="842">
        <v>0.70909999999999995</v>
      </c>
    </row>
    <row r="260" spans="1:13">
      <c r="A260" s="835">
        <v>5.4</v>
      </c>
      <c r="B260" s="842">
        <v>0.85940000000000005</v>
      </c>
      <c r="C260" s="842">
        <v>0.85940000000000005</v>
      </c>
      <c r="D260" s="842">
        <v>0.84389999999999998</v>
      </c>
      <c r="E260" s="842">
        <v>0.84389999999999998</v>
      </c>
      <c r="F260" s="842">
        <v>0.84389999999999998</v>
      </c>
      <c r="G260" s="842">
        <v>0.84389999999999998</v>
      </c>
      <c r="H260" s="842">
        <v>0.84389999999999998</v>
      </c>
      <c r="I260" s="842">
        <v>0.70650000000000002</v>
      </c>
      <c r="J260" s="842">
        <v>0.70650000000000002</v>
      </c>
      <c r="K260" s="842">
        <v>0.70650000000000002</v>
      </c>
      <c r="L260" s="842">
        <v>0.70650000000000002</v>
      </c>
      <c r="M260" s="842">
        <v>0.70650000000000002</v>
      </c>
    </row>
    <row r="261" spans="1:13">
      <c r="A261" s="835">
        <v>5.5</v>
      </c>
      <c r="B261" s="842">
        <v>0.85770000000000002</v>
      </c>
      <c r="C261" s="842">
        <v>0.85770000000000002</v>
      </c>
      <c r="D261" s="842">
        <v>0.84179999999999999</v>
      </c>
      <c r="E261" s="842">
        <v>0.84179999999999999</v>
      </c>
      <c r="F261" s="842">
        <v>0.84179999999999999</v>
      </c>
      <c r="G261" s="842">
        <v>0.84179999999999999</v>
      </c>
      <c r="H261" s="842">
        <v>0.84179999999999999</v>
      </c>
      <c r="I261" s="842">
        <v>0.70399999999999996</v>
      </c>
      <c r="J261" s="842">
        <v>0.70399999999999996</v>
      </c>
      <c r="K261" s="842">
        <v>0.70399999999999996</v>
      </c>
      <c r="L261" s="842">
        <v>0.70399999999999996</v>
      </c>
      <c r="M261" s="842">
        <v>0.70399999999999996</v>
      </c>
    </row>
    <row r="262" spans="1:13">
      <c r="A262" s="835">
        <v>5.6</v>
      </c>
      <c r="B262" s="842">
        <v>0.85599999999999998</v>
      </c>
      <c r="C262" s="842">
        <v>0.85599999999999998</v>
      </c>
      <c r="D262" s="842">
        <v>0.83979999999999999</v>
      </c>
      <c r="E262" s="842">
        <v>0.83979999999999999</v>
      </c>
      <c r="F262" s="842">
        <v>0.83979999999999999</v>
      </c>
      <c r="G262" s="842">
        <v>0.83979999999999999</v>
      </c>
      <c r="H262" s="842">
        <v>0.83979999999999999</v>
      </c>
      <c r="I262" s="842">
        <v>0.7016</v>
      </c>
      <c r="J262" s="842">
        <v>0.7016</v>
      </c>
      <c r="K262" s="842">
        <v>0.7016</v>
      </c>
      <c r="L262" s="842">
        <v>0.7016</v>
      </c>
      <c r="M262" s="842">
        <v>0.7016</v>
      </c>
    </row>
    <row r="263" spans="1:13">
      <c r="A263" s="850">
        <v>5.7</v>
      </c>
      <c r="B263" s="842">
        <v>0.85440000000000005</v>
      </c>
      <c r="C263" s="842">
        <v>0.85440000000000005</v>
      </c>
      <c r="D263" s="842">
        <v>0.83789999999999998</v>
      </c>
      <c r="E263" s="842">
        <v>0.83789999999999998</v>
      </c>
      <c r="F263" s="842">
        <v>0.83789999999999998</v>
      </c>
      <c r="G263" s="842">
        <v>0.83789999999999998</v>
      </c>
      <c r="H263" s="842">
        <v>0.83789999999999998</v>
      </c>
      <c r="I263" s="842">
        <v>0.69940000000000002</v>
      </c>
      <c r="J263" s="842">
        <v>0.69940000000000002</v>
      </c>
      <c r="K263" s="842">
        <v>0.69940000000000002</v>
      </c>
      <c r="L263" s="842">
        <v>0.69940000000000002</v>
      </c>
      <c r="M263" s="842">
        <v>0.69940000000000002</v>
      </c>
    </row>
    <row r="264" spans="1:13">
      <c r="A264" s="835">
        <v>5.8</v>
      </c>
      <c r="B264" s="842">
        <v>0.85289999999999999</v>
      </c>
      <c r="C264" s="842">
        <v>0.85289999999999999</v>
      </c>
      <c r="D264" s="842">
        <v>0.83599999999999997</v>
      </c>
      <c r="E264" s="842">
        <v>0.83599999999999997</v>
      </c>
      <c r="F264" s="842">
        <v>0.83599999999999997</v>
      </c>
      <c r="G264" s="842">
        <v>0.83599999999999997</v>
      </c>
      <c r="H264" s="842">
        <v>0.83599999999999997</v>
      </c>
      <c r="I264" s="842">
        <v>0.69720000000000004</v>
      </c>
      <c r="J264" s="842">
        <v>0.69720000000000004</v>
      </c>
      <c r="K264" s="842">
        <v>0.69720000000000004</v>
      </c>
      <c r="L264" s="842">
        <v>0.69720000000000004</v>
      </c>
      <c r="M264" s="842">
        <v>0.69720000000000004</v>
      </c>
    </row>
    <row r="265" spans="1:13">
      <c r="A265" s="835">
        <v>5.9</v>
      </c>
      <c r="B265" s="842">
        <v>0.85150000000000003</v>
      </c>
      <c r="C265" s="842">
        <v>0.85150000000000003</v>
      </c>
      <c r="D265" s="842">
        <v>0.83430000000000004</v>
      </c>
      <c r="E265" s="842">
        <v>0.83430000000000004</v>
      </c>
      <c r="F265" s="842">
        <v>0.83430000000000004</v>
      </c>
      <c r="G265" s="842">
        <v>0.83430000000000004</v>
      </c>
      <c r="H265" s="842">
        <v>0.83430000000000004</v>
      </c>
      <c r="I265" s="842">
        <v>0.69520000000000004</v>
      </c>
      <c r="J265" s="842">
        <v>0.69520000000000004</v>
      </c>
      <c r="K265" s="842">
        <v>0.69520000000000004</v>
      </c>
      <c r="L265" s="842">
        <v>0.69520000000000004</v>
      </c>
      <c r="M265" s="842">
        <v>0.69520000000000004</v>
      </c>
    </row>
    <row r="266" spans="1:13">
      <c r="A266" s="835">
        <v>6</v>
      </c>
      <c r="B266" s="842">
        <v>0.85019999999999996</v>
      </c>
      <c r="C266" s="842">
        <v>0.85019999999999996</v>
      </c>
      <c r="D266" s="842">
        <v>0.8327</v>
      </c>
      <c r="E266" s="842">
        <v>0.8327</v>
      </c>
      <c r="F266" s="842">
        <v>0.8327</v>
      </c>
      <c r="G266" s="842">
        <v>0.8327</v>
      </c>
      <c r="H266" s="842">
        <v>0.8327</v>
      </c>
      <c r="I266" s="842">
        <v>0.69320000000000004</v>
      </c>
      <c r="J266" s="842">
        <v>0.69320000000000004</v>
      </c>
      <c r="K266" s="842">
        <v>0.69320000000000004</v>
      </c>
      <c r="L266" s="842">
        <v>0.69320000000000004</v>
      </c>
      <c r="M266" s="842">
        <v>0.69320000000000004</v>
      </c>
    </row>
    <row r="267" spans="1:13">
      <c r="A267" s="835">
        <v>6.1</v>
      </c>
      <c r="B267" s="842">
        <v>0.84899999999999998</v>
      </c>
      <c r="C267" s="842">
        <v>0.84899999999999998</v>
      </c>
      <c r="D267" s="842">
        <v>0.83109999999999995</v>
      </c>
      <c r="E267" s="842">
        <v>0.83109999999999995</v>
      </c>
      <c r="F267" s="842">
        <v>0.83109999999999995</v>
      </c>
      <c r="G267" s="842">
        <v>0.83109999999999995</v>
      </c>
      <c r="H267" s="842">
        <v>0.83109999999999995</v>
      </c>
      <c r="I267" s="842">
        <v>0.69130000000000003</v>
      </c>
      <c r="J267" s="842">
        <v>0.69130000000000003</v>
      </c>
      <c r="K267" s="842">
        <v>0.69130000000000003</v>
      </c>
      <c r="L267" s="842">
        <v>0.69130000000000003</v>
      </c>
      <c r="M267" s="842">
        <v>0.69130000000000003</v>
      </c>
    </row>
    <row r="268" spans="1:13">
      <c r="A268" s="835">
        <v>6.2</v>
      </c>
      <c r="B268" s="842">
        <v>0.8478</v>
      </c>
      <c r="C268" s="842">
        <v>0.8478</v>
      </c>
      <c r="D268" s="842">
        <v>0.8296</v>
      </c>
      <c r="E268" s="842">
        <v>0.8296</v>
      </c>
      <c r="F268" s="842">
        <v>0.8296</v>
      </c>
      <c r="G268" s="842">
        <v>0.8296</v>
      </c>
      <c r="H268" s="842">
        <v>0.8296</v>
      </c>
      <c r="I268" s="842">
        <v>0.68940000000000001</v>
      </c>
      <c r="J268" s="842">
        <v>0.68940000000000001</v>
      </c>
      <c r="K268" s="842">
        <v>0.68940000000000001</v>
      </c>
      <c r="L268" s="842">
        <v>0.68940000000000001</v>
      </c>
      <c r="M268" s="842">
        <v>0.68940000000000001</v>
      </c>
    </row>
    <row r="269" spans="1:13">
      <c r="A269" s="835">
        <v>6.3</v>
      </c>
      <c r="B269" s="842">
        <v>0.84670000000000001</v>
      </c>
      <c r="C269" s="842">
        <v>0.84670000000000001</v>
      </c>
      <c r="D269" s="842">
        <v>0.82820000000000005</v>
      </c>
      <c r="E269" s="842">
        <v>0.82820000000000005</v>
      </c>
      <c r="F269" s="842">
        <v>0.82820000000000005</v>
      </c>
      <c r="G269" s="842">
        <v>0.82820000000000005</v>
      </c>
      <c r="H269" s="842">
        <v>0.82820000000000005</v>
      </c>
      <c r="I269" s="842">
        <v>0.68769999999999998</v>
      </c>
      <c r="J269" s="842">
        <v>0.68769999999999998</v>
      </c>
      <c r="K269" s="842">
        <v>0.68769999999999998</v>
      </c>
      <c r="L269" s="842">
        <v>0.68769999999999998</v>
      </c>
      <c r="M269" s="842">
        <v>0.68769999999999998</v>
      </c>
    </row>
    <row r="270" spans="1:13">
      <c r="A270" s="835">
        <v>6.4</v>
      </c>
      <c r="B270" s="842">
        <v>0.84570000000000001</v>
      </c>
      <c r="C270" s="842">
        <v>0.84570000000000001</v>
      </c>
      <c r="D270" s="842">
        <v>0.82689999999999997</v>
      </c>
      <c r="E270" s="842">
        <v>0.82689999999999997</v>
      </c>
      <c r="F270" s="842">
        <v>0.82689999999999997</v>
      </c>
      <c r="G270" s="842">
        <v>0.82689999999999997</v>
      </c>
      <c r="H270" s="842">
        <v>0.82689999999999997</v>
      </c>
      <c r="I270" s="842">
        <v>0.68610000000000004</v>
      </c>
      <c r="J270" s="842">
        <v>0.68610000000000004</v>
      </c>
      <c r="K270" s="842">
        <v>0.68610000000000004</v>
      </c>
      <c r="L270" s="842">
        <v>0.68610000000000004</v>
      </c>
      <c r="M270" s="842">
        <v>0.68610000000000004</v>
      </c>
    </row>
    <row r="271" spans="1:13">
      <c r="A271" s="835">
        <v>6.5</v>
      </c>
      <c r="B271" s="842">
        <v>0.84470000000000001</v>
      </c>
      <c r="C271" s="842">
        <v>0.84470000000000001</v>
      </c>
      <c r="D271" s="842">
        <v>0.82569999999999999</v>
      </c>
      <c r="E271" s="842">
        <v>0.82569999999999999</v>
      </c>
      <c r="F271" s="842">
        <v>0.82569999999999999</v>
      </c>
      <c r="G271" s="842">
        <v>0.82569999999999999</v>
      </c>
      <c r="H271" s="842">
        <v>0.82569999999999999</v>
      </c>
      <c r="I271" s="842">
        <v>0.68440000000000001</v>
      </c>
      <c r="J271" s="842">
        <v>0.68440000000000001</v>
      </c>
      <c r="K271" s="842">
        <v>0.68440000000000001</v>
      </c>
      <c r="L271" s="842">
        <v>0.68440000000000001</v>
      </c>
      <c r="M271" s="842">
        <v>0.68440000000000001</v>
      </c>
    </row>
    <row r="272" spans="1:13">
      <c r="A272" s="835">
        <v>6.6</v>
      </c>
      <c r="B272" s="842">
        <v>0.84370000000000001</v>
      </c>
      <c r="C272" s="842">
        <v>0.84370000000000001</v>
      </c>
      <c r="D272" s="842">
        <v>0.82450000000000001</v>
      </c>
      <c r="E272" s="842">
        <v>0.82450000000000001</v>
      </c>
      <c r="F272" s="842">
        <v>0.82450000000000001</v>
      </c>
      <c r="G272" s="842">
        <v>0.82450000000000001</v>
      </c>
      <c r="H272" s="842">
        <v>0.82450000000000001</v>
      </c>
      <c r="I272" s="842">
        <v>0.68289999999999995</v>
      </c>
      <c r="J272" s="842">
        <v>0.68289999999999995</v>
      </c>
      <c r="K272" s="842">
        <v>0.68289999999999995</v>
      </c>
      <c r="L272" s="842">
        <v>0.68289999999999995</v>
      </c>
      <c r="M272" s="842">
        <v>0.68289999999999995</v>
      </c>
    </row>
    <row r="273" spans="1:13">
      <c r="A273" s="835">
        <v>6.7</v>
      </c>
      <c r="B273" s="842">
        <v>0.8427</v>
      </c>
      <c r="C273" s="842">
        <v>0.8427</v>
      </c>
      <c r="D273" s="842">
        <v>0.82330000000000003</v>
      </c>
      <c r="E273" s="842">
        <v>0.82330000000000003</v>
      </c>
      <c r="F273" s="842">
        <v>0.82330000000000003</v>
      </c>
      <c r="G273" s="842">
        <v>0.82330000000000003</v>
      </c>
      <c r="H273" s="842">
        <v>0.82330000000000003</v>
      </c>
      <c r="I273" s="842">
        <v>0.68130000000000002</v>
      </c>
      <c r="J273" s="842">
        <v>0.68130000000000002</v>
      </c>
      <c r="K273" s="842">
        <v>0.68130000000000002</v>
      </c>
      <c r="L273" s="842">
        <v>0.68130000000000002</v>
      </c>
      <c r="M273" s="842">
        <v>0.68130000000000002</v>
      </c>
    </row>
    <row r="274" spans="1:13">
      <c r="A274" s="835">
        <v>6.8</v>
      </c>
      <c r="B274" s="842">
        <v>0.84179999999999999</v>
      </c>
      <c r="C274" s="842">
        <v>0.84179999999999999</v>
      </c>
      <c r="D274" s="842">
        <v>0.82210000000000005</v>
      </c>
      <c r="E274" s="842">
        <v>0.82210000000000005</v>
      </c>
      <c r="F274" s="842">
        <v>0.82210000000000005</v>
      </c>
      <c r="G274" s="842">
        <v>0.82210000000000005</v>
      </c>
      <c r="H274" s="842">
        <v>0.82210000000000005</v>
      </c>
      <c r="I274" s="842">
        <v>0.67979999999999996</v>
      </c>
      <c r="J274" s="842">
        <v>0.67979999999999996</v>
      </c>
      <c r="K274" s="842">
        <v>0.67979999999999996</v>
      </c>
      <c r="L274" s="842">
        <v>0.67979999999999996</v>
      </c>
      <c r="M274" s="842">
        <v>0.67979999999999996</v>
      </c>
    </row>
    <row r="275" spans="1:13">
      <c r="A275" s="835">
        <v>6.9</v>
      </c>
      <c r="B275" s="842">
        <v>0.84089999999999998</v>
      </c>
      <c r="C275" s="842">
        <v>0.84089999999999998</v>
      </c>
      <c r="D275" s="842">
        <v>0.82099999999999995</v>
      </c>
      <c r="E275" s="842">
        <v>0.82099999999999995</v>
      </c>
      <c r="F275" s="842">
        <v>0.82099999999999995</v>
      </c>
      <c r="G275" s="842">
        <v>0.82099999999999995</v>
      </c>
      <c r="H275" s="842">
        <v>0.82099999999999995</v>
      </c>
      <c r="I275" s="842">
        <v>0.67849999999999999</v>
      </c>
      <c r="J275" s="842">
        <v>0.67849999999999999</v>
      </c>
      <c r="K275" s="842">
        <v>0.67849999999999999</v>
      </c>
      <c r="L275" s="842">
        <v>0.67849999999999999</v>
      </c>
      <c r="M275" s="842">
        <v>0.67849999999999999</v>
      </c>
    </row>
    <row r="276" spans="1:13">
      <c r="A276" s="835">
        <v>7</v>
      </c>
      <c r="B276" s="842">
        <v>0.84009999999999996</v>
      </c>
      <c r="C276" s="842">
        <v>0.84009999999999996</v>
      </c>
      <c r="D276" s="842">
        <v>0.81989999999999996</v>
      </c>
      <c r="E276" s="842">
        <v>0.81989999999999996</v>
      </c>
      <c r="F276" s="842">
        <v>0.81989999999999996</v>
      </c>
      <c r="G276" s="842">
        <v>0.81989999999999996</v>
      </c>
      <c r="H276" s="842">
        <v>0.81989999999999996</v>
      </c>
      <c r="I276" s="842">
        <v>0.67720000000000002</v>
      </c>
      <c r="J276" s="842">
        <v>0.67720000000000002</v>
      </c>
      <c r="K276" s="842">
        <v>0.67720000000000002</v>
      </c>
      <c r="L276" s="842">
        <v>0.67720000000000002</v>
      </c>
      <c r="M276" s="842">
        <v>0.67720000000000002</v>
      </c>
    </row>
    <row r="277" spans="1:13">
      <c r="A277" s="835">
        <v>7.1</v>
      </c>
      <c r="B277" s="842">
        <v>0.83930000000000005</v>
      </c>
      <c r="C277" s="842">
        <v>0.83930000000000005</v>
      </c>
      <c r="D277" s="842">
        <v>0.81889999999999996</v>
      </c>
      <c r="E277" s="842">
        <v>0.81889999999999996</v>
      </c>
      <c r="F277" s="842">
        <v>0.81889999999999996</v>
      </c>
      <c r="G277" s="842">
        <v>0.81889999999999996</v>
      </c>
      <c r="H277" s="842">
        <v>0.81889999999999996</v>
      </c>
      <c r="I277" s="842">
        <v>0.67589999999999995</v>
      </c>
      <c r="J277" s="842">
        <v>0.67589999999999995</v>
      </c>
      <c r="K277" s="842">
        <v>0.67589999999999995</v>
      </c>
      <c r="L277" s="842">
        <v>0.67589999999999995</v>
      </c>
      <c r="M277" s="842">
        <v>0.67589999999999995</v>
      </c>
    </row>
    <row r="278" spans="1:13">
      <c r="A278" s="835">
        <v>7.2</v>
      </c>
      <c r="B278" s="842">
        <v>0.83850000000000002</v>
      </c>
      <c r="C278" s="842">
        <v>0.83850000000000002</v>
      </c>
      <c r="D278" s="842">
        <v>0.81789999999999996</v>
      </c>
      <c r="E278" s="842">
        <v>0.81789999999999996</v>
      </c>
      <c r="F278" s="842">
        <v>0.81789999999999996</v>
      </c>
      <c r="G278" s="842">
        <v>0.81789999999999996</v>
      </c>
      <c r="H278" s="842">
        <v>0.81789999999999996</v>
      </c>
      <c r="I278" s="842">
        <v>0.67459999999999998</v>
      </c>
      <c r="J278" s="842">
        <v>0.67459999999999998</v>
      </c>
      <c r="K278" s="842">
        <v>0.67459999999999998</v>
      </c>
      <c r="L278" s="842">
        <v>0.67459999999999998</v>
      </c>
      <c r="M278" s="842">
        <v>0.67459999999999998</v>
      </c>
    </row>
    <row r="279" spans="1:13">
      <c r="A279" s="835">
        <v>7.3</v>
      </c>
      <c r="B279" s="842">
        <v>0.8377</v>
      </c>
      <c r="C279" s="842">
        <v>0.8377</v>
      </c>
      <c r="D279" s="842">
        <v>0.81689999999999996</v>
      </c>
      <c r="E279" s="842">
        <v>0.81689999999999996</v>
      </c>
      <c r="F279" s="842">
        <v>0.81689999999999996</v>
      </c>
      <c r="G279" s="842">
        <v>0.81689999999999996</v>
      </c>
      <c r="H279" s="842">
        <v>0.81689999999999996</v>
      </c>
      <c r="I279" s="842">
        <v>0.6734</v>
      </c>
      <c r="J279" s="842">
        <v>0.6734</v>
      </c>
      <c r="K279" s="842">
        <v>0.6734</v>
      </c>
      <c r="L279" s="842">
        <v>0.6734</v>
      </c>
      <c r="M279" s="842">
        <v>0.6734</v>
      </c>
    </row>
    <row r="280" spans="1:13">
      <c r="A280" s="835">
        <v>7.4</v>
      </c>
      <c r="B280" s="842">
        <v>0.83699999999999997</v>
      </c>
      <c r="C280" s="842">
        <v>0.83699999999999997</v>
      </c>
      <c r="D280" s="842">
        <v>0.81599999999999995</v>
      </c>
      <c r="E280" s="842">
        <v>0.81599999999999995</v>
      </c>
      <c r="F280" s="842">
        <v>0.81599999999999995</v>
      </c>
      <c r="G280" s="842">
        <v>0.81599999999999995</v>
      </c>
      <c r="H280" s="842">
        <v>0.81599999999999995</v>
      </c>
      <c r="I280" s="842">
        <v>0.67210000000000003</v>
      </c>
      <c r="J280" s="842">
        <v>0.67210000000000003</v>
      </c>
      <c r="K280" s="842">
        <v>0.67210000000000003</v>
      </c>
      <c r="L280" s="842">
        <v>0.67210000000000003</v>
      </c>
      <c r="M280" s="842">
        <v>0.67210000000000003</v>
      </c>
    </row>
    <row r="281" spans="1:13">
      <c r="A281" s="835">
        <v>7.5</v>
      </c>
      <c r="B281" s="842">
        <v>0.83630000000000004</v>
      </c>
      <c r="C281" s="842">
        <v>0.83630000000000004</v>
      </c>
      <c r="D281" s="842">
        <v>0.81510000000000005</v>
      </c>
      <c r="E281" s="842">
        <v>0.81510000000000005</v>
      </c>
      <c r="F281" s="842">
        <v>0.81510000000000005</v>
      </c>
      <c r="G281" s="842">
        <v>0.81510000000000005</v>
      </c>
      <c r="H281" s="842">
        <v>0.81510000000000005</v>
      </c>
      <c r="I281" s="842">
        <v>0.67090000000000005</v>
      </c>
      <c r="J281" s="842">
        <v>0.67090000000000005</v>
      </c>
      <c r="K281" s="842">
        <v>0.67090000000000005</v>
      </c>
      <c r="L281" s="842">
        <v>0.67090000000000005</v>
      </c>
      <c r="M281" s="842">
        <v>0.67090000000000005</v>
      </c>
    </row>
    <row r="282" spans="1:13">
      <c r="A282" s="835">
        <v>7.6</v>
      </c>
      <c r="B282" s="842">
        <v>0.83560000000000001</v>
      </c>
      <c r="C282" s="842">
        <v>0.83560000000000001</v>
      </c>
      <c r="D282" s="842">
        <v>0.81420000000000003</v>
      </c>
      <c r="E282" s="842">
        <v>0.81420000000000003</v>
      </c>
      <c r="F282" s="842">
        <v>0.81420000000000003</v>
      </c>
      <c r="G282" s="842">
        <v>0.81420000000000003</v>
      </c>
      <c r="H282" s="842">
        <v>0.81420000000000003</v>
      </c>
      <c r="I282" s="842">
        <v>0.66979999999999995</v>
      </c>
      <c r="J282" s="842">
        <v>0.66979999999999995</v>
      </c>
      <c r="K282" s="842">
        <v>0.66979999999999995</v>
      </c>
      <c r="L282" s="842">
        <v>0.66979999999999995</v>
      </c>
      <c r="M282" s="842">
        <v>0.66979999999999995</v>
      </c>
    </row>
    <row r="283" spans="1:13">
      <c r="A283" s="835">
        <v>7.7</v>
      </c>
      <c r="B283" s="842">
        <v>0.83489999999999998</v>
      </c>
      <c r="C283" s="842">
        <v>0.83489999999999998</v>
      </c>
      <c r="D283" s="842">
        <v>0.81330000000000002</v>
      </c>
      <c r="E283" s="842">
        <v>0.81330000000000002</v>
      </c>
      <c r="F283" s="842">
        <v>0.81330000000000002</v>
      </c>
      <c r="G283" s="842">
        <v>0.81330000000000002</v>
      </c>
      <c r="H283" s="842">
        <v>0.81330000000000002</v>
      </c>
      <c r="I283" s="842">
        <v>0.66869999999999996</v>
      </c>
      <c r="J283" s="842">
        <v>0.66869999999999996</v>
      </c>
      <c r="K283" s="842">
        <v>0.66869999999999996</v>
      </c>
      <c r="L283" s="842">
        <v>0.66869999999999996</v>
      </c>
      <c r="M283" s="842">
        <v>0.66869999999999996</v>
      </c>
    </row>
    <row r="284" spans="1:13">
      <c r="A284" s="835">
        <v>7.8</v>
      </c>
      <c r="B284" s="842">
        <v>0.83420000000000005</v>
      </c>
      <c r="C284" s="842">
        <v>0.83420000000000005</v>
      </c>
      <c r="D284" s="842">
        <v>0.81240000000000001</v>
      </c>
      <c r="E284" s="842">
        <v>0.81240000000000001</v>
      </c>
      <c r="F284" s="842">
        <v>0.81240000000000001</v>
      </c>
      <c r="G284" s="842">
        <v>0.81240000000000001</v>
      </c>
      <c r="H284" s="842">
        <v>0.81240000000000001</v>
      </c>
      <c r="I284" s="842">
        <v>0.66759999999999997</v>
      </c>
      <c r="J284" s="842">
        <v>0.66759999999999997</v>
      </c>
      <c r="K284" s="842">
        <v>0.66759999999999997</v>
      </c>
      <c r="L284" s="842">
        <v>0.66759999999999997</v>
      </c>
      <c r="M284" s="842">
        <v>0.66759999999999997</v>
      </c>
    </row>
    <row r="285" spans="1:13">
      <c r="A285" s="835">
        <v>7.9</v>
      </c>
      <c r="B285" s="842">
        <v>0.83350000000000002</v>
      </c>
      <c r="C285" s="842">
        <v>0.83350000000000002</v>
      </c>
      <c r="D285" s="842">
        <v>0.81159999999999999</v>
      </c>
      <c r="E285" s="842">
        <v>0.81159999999999999</v>
      </c>
      <c r="F285" s="842">
        <v>0.81159999999999999</v>
      </c>
      <c r="G285" s="842">
        <v>0.81159999999999999</v>
      </c>
      <c r="H285" s="842">
        <v>0.81159999999999999</v>
      </c>
      <c r="I285" s="842">
        <v>0.66649999999999998</v>
      </c>
      <c r="J285" s="842">
        <v>0.66649999999999998</v>
      </c>
      <c r="K285" s="842">
        <v>0.66649999999999998</v>
      </c>
      <c r="L285" s="842">
        <v>0.66649999999999998</v>
      </c>
      <c r="M285" s="842">
        <v>0.66649999999999998</v>
      </c>
    </row>
    <row r="286" spans="1:13">
      <c r="A286" s="835">
        <v>8</v>
      </c>
      <c r="B286" s="842">
        <v>0.83279999999999998</v>
      </c>
      <c r="C286" s="842">
        <v>0.83279999999999998</v>
      </c>
      <c r="D286" s="842">
        <v>0.81079999999999997</v>
      </c>
      <c r="E286" s="842">
        <v>0.81079999999999997</v>
      </c>
      <c r="F286" s="842">
        <v>0.81079999999999997</v>
      </c>
      <c r="G286" s="842">
        <v>0.81079999999999997</v>
      </c>
      <c r="H286" s="842">
        <v>0.81079999999999997</v>
      </c>
      <c r="I286" s="842">
        <v>0.66549999999999998</v>
      </c>
      <c r="J286" s="842">
        <v>0.66549999999999998</v>
      </c>
      <c r="K286" s="842">
        <v>0.66549999999999998</v>
      </c>
      <c r="L286" s="842">
        <v>0.66549999999999998</v>
      </c>
      <c r="M286" s="842">
        <v>0.66549999999999998</v>
      </c>
    </row>
    <row r="287" spans="1:13">
      <c r="A287" s="835">
        <v>8.1</v>
      </c>
      <c r="B287" s="842">
        <v>0.83220000000000005</v>
      </c>
      <c r="C287" s="842">
        <v>0.83220000000000005</v>
      </c>
      <c r="D287" s="842">
        <v>0.81</v>
      </c>
      <c r="E287" s="842">
        <v>0.81</v>
      </c>
      <c r="F287" s="842">
        <v>0.81</v>
      </c>
      <c r="G287" s="842">
        <v>0.81</v>
      </c>
      <c r="H287" s="842">
        <v>0.81</v>
      </c>
      <c r="I287" s="842">
        <v>0.66439999999999999</v>
      </c>
      <c r="J287" s="842">
        <v>0.66439999999999999</v>
      </c>
      <c r="K287" s="842">
        <v>0.66439999999999999</v>
      </c>
      <c r="L287" s="842">
        <v>0.66439999999999999</v>
      </c>
      <c r="M287" s="842">
        <v>0.66439999999999999</v>
      </c>
    </row>
    <row r="288" spans="1:13">
      <c r="A288" s="835">
        <v>8.1999999999999993</v>
      </c>
      <c r="B288" s="842">
        <v>0.83160000000000001</v>
      </c>
      <c r="C288" s="842">
        <v>0.83160000000000001</v>
      </c>
      <c r="D288" s="842">
        <v>0.80920000000000003</v>
      </c>
      <c r="E288" s="842">
        <v>0.80920000000000003</v>
      </c>
      <c r="F288" s="842">
        <v>0.80920000000000003</v>
      </c>
      <c r="G288" s="842">
        <v>0.80920000000000003</v>
      </c>
      <c r="H288" s="842">
        <v>0.80920000000000003</v>
      </c>
      <c r="I288" s="842">
        <v>0.66339999999999999</v>
      </c>
      <c r="J288" s="842">
        <v>0.66339999999999999</v>
      </c>
      <c r="K288" s="842">
        <v>0.66339999999999999</v>
      </c>
      <c r="L288" s="842">
        <v>0.66339999999999999</v>
      </c>
      <c r="M288" s="842">
        <v>0.66339999999999999</v>
      </c>
    </row>
    <row r="289" spans="1:13">
      <c r="A289" s="835">
        <v>8.3000000000000007</v>
      </c>
      <c r="B289" s="842">
        <v>0.83099999999999996</v>
      </c>
      <c r="C289" s="842">
        <v>0.83099999999999996</v>
      </c>
      <c r="D289" s="842">
        <v>0.80840000000000001</v>
      </c>
      <c r="E289" s="842">
        <v>0.80840000000000001</v>
      </c>
      <c r="F289" s="842">
        <v>0.80840000000000001</v>
      </c>
      <c r="G289" s="842">
        <v>0.80840000000000001</v>
      </c>
      <c r="H289" s="842">
        <v>0.80840000000000001</v>
      </c>
      <c r="I289" s="842">
        <v>0.66239999999999999</v>
      </c>
      <c r="J289" s="842">
        <v>0.66239999999999999</v>
      </c>
      <c r="K289" s="842">
        <v>0.66239999999999999</v>
      </c>
      <c r="L289" s="842">
        <v>0.66239999999999999</v>
      </c>
      <c r="M289" s="842">
        <v>0.66239999999999999</v>
      </c>
    </row>
    <row r="290" spans="1:13">
      <c r="A290" s="835">
        <v>8.4</v>
      </c>
      <c r="B290" s="842">
        <v>0.83040000000000003</v>
      </c>
      <c r="C290" s="842">
        <v>0.83040000000000003</v>
      </c>
      <c r="D290" s="842">
        <v>0.80759999999999998</v>
      </c>
      <c r="E290" s="842">
        <v>0.80759999999999998</v>
      </c>
      <c r="F290" s="842">
        <v>0.80759999999999998</v>
      </c>
      <c r="G290" s="842">
        <v>0.80759999999999998</v>
      </c>
      <c r="H290" s="842">
        <v>0.80759999999999998</v>
      </c>
      <c r="I290" s="842">
        <v>0.66139999999999999</v>
      </c>
      <c r="J290" s="842">
        <v>0.66139999999999999</v>
      </c>
      <c r="K290" s="842">
        <v>0.66139999999999999</v>
      </c>
      <c r="L290" s="842">
        <v>0.66139999999999999</v>
      </c>
      <c r="M290" s="842">
        <v>0.66139999999999999</v>
      </c>
    </row>
    <row r="291" spans="1:13">
      <c r="A291" s="835">
        <v>8.5</v>
      </c>
      <c r="B291" s="842">
        <v>0.82979999999999998</v>
      </c>
      <c r="C291" s="842">
        <v>0.82979999999999998</v>
      </c>
      <c r="D291" s="842">
        <v>0.80679999999999996</v>
      </c>
      <c r="E291" s="842">
        <v>0.80679999999999996</v>
      </c>
      <c r="F291" s="842">
        <v>0.80679999999999996</v>
      </c>
      <c r="G291" s="842">
        <v>0.80679999999999996</v>
      </c>
      <c r="H291" s="842">
        <v>0.80679999999999996</v>
      </c>
      <c r="I291" s="842">
        <v>0.66049999999999998</v>
      </c>
      <c r="J291" s="842">
        <v>0.66049999999999998</v>
      </c>
      <c r="K291" s="842">
        <v>0.66049999999999998</v>
      </c>
      <c r="L291" s="842">
        <v>0.66049999999999998</v>
      </c>
      <c r="M291" s="842">
        <v>0.66049999999999998</v>
      </c>
    </row>
    <row r="292" spans="1:13">
      <c r="A292" s="835">
        <v>8.6</v>
      </c>
      <c r="B292" s="842">
        <v>0.82920000000000005</v>
      </c>
      <c r="C292" s="842">
        <v>0.82920000000000005</v>
      </c>
      <c r="D292" s="842">
        <v>0.80600000000000005</v>
      </c>
      <c r="E292" s="842">
        <v>0.80600000000000005</v>
      </c>
      <c r="F292" s="842">
        <v>0.80600000000000005</v>
      </c>
      <c r="G292" s="842">
        <v>0.80600000000000005</v>
      </c>
      <c r="H292" s="842">
        <v>0.80600000000000005</v>
      </c>
      <c r="I292" s="842">
        <v>0.65949999999999998</v>
      </c>
      <c r="J292" s="842">
        <v>0.65949999999999998</v>
      </c>
      <c r="K292" s="842">
        <v>0.65949999999999998</v>
      </c>
      <c r="L292" s="842">
        <v>0.65949999999999998</v>
      </c>
      <c r="M292" s="842">
        <v>0.65949999999999998</v>
      </c>
    </row>
    <row r="293" spans="1:13">
      <c r="A293" s="835">
        <v>8.6999999999999993</v>
      </c>
      <c r="B293" s="842">
        <v>0.8286</v>
      </c>
      <c r="C293" s="842">
        <v>0.8286</v>
      </c>
      <c r="D293" s="842">
        <v>0.80520000000000003</v>
      </c>
      <c r="E293" s="842">
        <v>0.80520000000000003</v>
      </c>
      <c r="F293" s="842">
        <v>0.80520000000000003</v>
      </c>
      <c r="G293" s="842">
        <v>0.80520000000000003</v>
      </c>
      <c r="H293" s="842">
        <v>0.80520000000000003</v>
      </c>
      <c r="I293" s="842">
        <v>0.65859999999999996</v>
      </c>
      <c r="J293" s="842">
        <v>0.65859999999999996</v>
      </c>
      <c r="K293" s="842">
        <v>0.65859999999999996</v>
      </c>
      <c r="L293" s="842">
        <v>0.65859999999999996</v>
      </c>
      <c r="M293" s="842">
        <v>0.65859999999999996</v>
      </c>
    </row>
    <row r="294" spans="1:13">
      <c r="A294" s="835">
        <v>8.8000000000000007</v>
      </c>
      <c r="B294" s="842">
        <v>0.82799999999999996</v>
      </c>
      <c r="C294" s="842">
        <v>0.82799999999999996</v>
      </c>
      <c r="D294" s="842">
        <v>0.8044</v>
      </c>
      <c r="E294" s="842">
        <v>0.8044</v>
      </c>
      <c r="F294" s="842">
        <v>0.8044</v>
      </c>
      <c r="G294" s="842">
        <v>0.8044</v>
      </c>
      <c r="H294" s="842">
        <v>0.8044</v>
      </c>
      <c r="I294" s="842">
        <v>0.65759999999999996</v>
      </c>
      <c r="J294" s="842">
        <v>0.65759999999999996</v>
      </c>
      <c r="K294" s="842">
        <v>0.65759999999999996</v>
      </c>
      <c r="L294" s="842">
        <v>0.65759999999999996</v>
      </c>
      <c r="M294" s="842">
        <v>0.65759999999999996</v>
      </c>
    </row>
    <row r="295" spans="1:13">
      <c r="A295" s="835">
        <v>8.9</v>
      </c>
      <c r="B295" s="842">
        <v>0.82740000000000002</v>
      </c>
      <c r="C295" s="842">
        <v>0.82740000000000002</v>
      </c>
      <c r="D295" s="842">
        <v>0.80359999999999998</v>
      </c>
      <c r="E295" s="842">
        <v>0.80359999999999998</v>
      </c>
      <c r="F295" s="842">
        <v>0.80359999999999998</v>
      </c>
      <c r="G295" s="842">
        <v>0.80359999999999998</v>
      </c>
      <c r="H295" s="842">
        <v>0.80359999999999998</v>
      </c>
      <c r="I295" s="842">
        <v>0.65669999999999995</v>
      </c>
      <c r="J295" s="842">
        <v>0.65669999999999995</v>
      </c>
      <c r="K295" s="842">
        <v>0.65669999999999995</v>
      </c>
      <c r="L295" s="842">
        <v>0.65669999999999995</v>
      </c>
      <c r="M295" s="842">
        <v>0.65669999999999995</v>
      </c>
    </row>
    <row r="296" spans="1:13">
      <c r="A296" s="850">
        <v>9</v>
      </c>
      <c r="B296" s="842">
        <v>0.82679999999999998</v>
      </c>
      <c r="C296" s="842">
        <v>0.82679999999999998</v>
      </c>
      <c r="D296" s="842">
        <v>0.80279999999999996</v>
      </c>
      <c r="E296" s="842">
        <v>0.80279999999999996</v>
      </c>
      <c r="F296" s="842">
        <v>0.80279999999999996</v>
      </c>
      <c r="G296" s="842">
        <v>0.80279999999999996</v>
      </c>
      <c r="H296" s="842">
        <v>0.80279999999999996</v>
      </c>
      <c r="I296" s="842">
        <v>0.65569999999999995</v>
      </c>
      <c r="J296" s="842">
        <v>0.65569999999999995</v>
      </c>
      <c r="K296" s="842">
        <v>0.65569999999999995</v>
      </c>
      <c r="L296" s="842">
        <v>0.65569999999999995</v>
      </c>
      <c r="M296" s="842">
        <v>0.65569999999999995</v>
      </c>
    </row>
    <row r="297" spans="1:13">
      <c r="A297" s="850">
        <v>9.1</v>
      </c>
      <c r="B297" s="842">
        <v>0.82620000000000005</v>
      </c>
      <c r="C297" s="842">
        <v>0.82620000000000005</v>
      </c>
      <c r="D297" s="842">
        <v>0.80200000000000005</v>
      </c>
      <c r="E297" s="842">
        <v>0.80200000000000005</v>
      </c>
      <c r="F297" s="842">
        <v>0.80200000000000005</v>
      </c>
      <c r="G297" s="842">
        <v>0.80200000000000005</v>
      </c>
      <c r="H297" s="842">
        <v>0.80200000000000005</v>
      </c>
      <c r="I297" s="842">
        <v>0.65480000000000005</v>
      </c>
      <c r="J297" s="842">
        <v>0.65480000000000005</v>
      </c>
      <c r="K297" s="842">
        <v>0.65480000000000005</v>
      </c>
      <c r="L297" s="842">
        <v>0.65480000000000005</v>
      </c>
      <c r="M297" s="842">
        <v>0.65480000000000005</v>
      </c>
    </row>
    <row r="298" spans="1:13">
      <c r="A298" s="850">
        <v>9.1999999999999993</v>
      </c>
      <c r="B298" s="842">
        <v>0.8256</v>
      </c>
      <c r="C298" s="842">
        <v>0.8256</v>
      </c>
      <c r="D298" s="842">
        <v>0.80120000000000002</v>
      </c>
      <c r="E298" s="842">
        <v>0.80120000000000002</v>
      </c>
      <c r="F298" s="842">
        <v>0.80120000000000002</v>
      </c>
      <c r="G298" s="842">
        <v>0.80120000000000002</v>
      </c>
      <c r="H298" s="842">
        <v>0.80120000000000002</v>
      </c>
      <c r="I298" s="842">
        <v>0.65380000000000005</v>
      </c>
      <c r="J298" s="842">
        <v>0.65380000000000005</v>
      </c>
      <c r="K298" s="842">
        <v>0.65380000000000005</v>
      </c>
      <c r="L298" s="842">
        <v>0.65380000000000005</v>
      </c>
      <c r="M298" s="842">
        <v>0.65380000000000005</v>
      </c>
    </row>
    <row r="299" spans="1:13">
      <c r="A299" s="850">
        <v>9.3000000000000007</v>
      </c>
      <c r="B299" s="842">
        <v>0.82499999999999996</v>
      </c>
      <c r="C299" s="842">
        <v>0.82499999999999996</v>
      </c>
      <c r="D299" s="842">
        <v>0.8004</v>
      </c>
      <c r="E299" s="842">
        <v>0.8004</v>
      </c>
      <c r="F299" s="842">
        <v>0.8004</v>
      </c>
      <c r="G299" s="842">
        <v>0.8004</v>
      </c>
      <c r="H299" s="842">
        <v>0.8004</v>
      </c>
      <c r="I299" s="842">
        <v>0.65290000000000004</v>
      </c>
      <c r="J299" s="842">
        <v>0.65290000000000004</v>
      </c>
      <c r="K299" s="842">
        <v>0.65290000000000004</v>
      </c>
      <c r="L299" s="842">
        <v>0.65290000000000004</v>
      </c>
      <c r="M299" s="842">
        <v>0.65290000000000004</v>
      </c>
    </row>
    <row r="300" spans="1:13">
      <c r="A300" s="850">
        <v>9.4</v>
      </c>
      <c r="B300" s="842">
        <v>0.82440000000000002</v>
      </c>
      <c r="C300" s="842">
        <v>0.82440000000000002</v>
      </c>
      <c r="D300" s="842">
        <v>0.79959999999999998</v>
      </c>
      <c r="E300" s="842">
        <v>0.79959999999999998</v>
      </c>
      <c r="F300" s="842">
        <v>0.79959999999999998</v>
      </c>
      <c r="G300" s="842">
        <v>0.79959999999999998</v>
      </c>
      <c r="H300" s="842">
        <v>0.79959999999999998</v>
      </c>
      <c r="I300" s="842">
        <v>0.65190000000000003</v>
      </c>
      <c r="J300" s="842">
        <v>0.65190000000000003</v>
      </c>
      <c r="K300" s="842">
        <v>0.65190000000000003</v>
      </c>
      <c r="L300" s="842">
        <v>0.65190000000000003</v>
      </c>
      <c r="M300" s="842">
        <v>0.65190000000000003</v>
      </c>
    </row>
    <row r="301" spans="1:13">
      <c r="A301" s="850">
        <v>9.5</v>
      </c>
      <c r="B301" s="842">
        <v>0.82379999999999998</v>
      </c>
      <c r="C301" s="842">
        <v>0.82379999999999998</v>
      </c>
      <c r="D301" s="842">
        <v>0.79879999999999995</v>
      </c>
      <c r="E301" s="842">
        <v>0.79879999999999995</v>
      </c>
      <c r="F301" s="842">
        <v>0.79879999999999995</v>
      </c>
      <c r="G301" s="842">
        <v>0.79879999999999995</v>
      </c>
      <c r="H301" s="842">
        <v>0.79879999999999995</v>
      </c>
      <c r="I301" s="842">
        <v>0.65100000000000002</v>
      </c>
      <c r="J301" s="842">
        <v>0.65100000000000002</v>
      </c>
      <c r="K301" s="842">
        <v>0.65100000000000002</v>
      </c>
      <c r="L301" s="842">
        <v>0.65100000000000002</v>
      </c>
      <c r="M301" s="842">
        <v>0.65100000000000002</v>
      </c>
    </row>
    <row r="302" spans="1:13">
      <c r="A302" s="850">
        <v>9.6</v>
      </c>
      <c r="B302" s="842">
        <v>0.82320000000000004</v>
      </c>
      <c r="C302" s="842">
        <v>0.82320000000000004</v>
      </c>
      <c r="D302" s="842">
        <v>0.79800000000000004</v>
      </c>
      <c r="E302" s="842">
        <v>0.79800000000000004</v>
      </c>
      <c r="F302" s="842">
        <v>0.79800000000000004</v>
      </c>
      <c r="G302" s="842">
        <v>0.79800000000000004</v>
      </c>
      <c r="H302" s="842">
        <v>0.79800000000000004</v>
      </c>
      <c r="I302" s="842">
        <v>0.65</v>
      </c>
      <c r="J302" s="842">
        <v>0.65</v>
      </c>
      <c r="K302" s="842">
        <v>0.65</v>
      </c>
      <c r="L302" s="842">
        <v>0.65</v>
      </c>
      <c r="M302" s="842">
        <v>0.65</v>
      </c>
    </row>
    <row r="303" spans="1:13">
      <c r="A303" s="850">
        <v>9.6999999999999993</v>
      </c>
      <c r="B303" s="842">
        <v>0.8226</v>
      </c>
      <c r="C303" s="842">
        <v>0.8226</v>
      </c>
      <c r="D303" s="842">
        <v>0.79720000000000002</v>
      </c>
      <c r="E303" s="842">
        <v>0.79720000000000002</v>
      </c>
      <c r="F303" s="842">
        <v>0.79720000000000002</v>
      </c>
      <c r="G303" s="842">
        <v>0.79720000000000002</v>
      </c>
      <c r="H303" s="842">
        <v>0.79720000000000002</v>
      </c>
      <c r="I303" s="842">
        <v>0.64900000000000002</v>
      </c>
      <c r="J303" s="842">
        <v>0.64900000000000002</v>
      </c>
      <c r="K303" s="842">
        <v>0.64900000000000002</v>
      </c>
      <c r="L303" s="842">
        <v>0.64900000000000002</v>
      </c>
      <c r="M303" s="842">
        <v>0.64900000000000002</v>
      </c>
    </row>
    <row r="304" spans="1:13">
      <c r="A304" s="850">
        <v>9.8000000000000007</v>
      </c>
      <c r="B304" s="842">
        <v>0.82199999999999995</v>
      </c>
      <c r="C304" s="842">
        <v>0.82199999999999995</v>
      </c>
      <c r="D304" s="842">
        <v>0.7964</v>
      </c>
      <c r="E304" s="842">
        <v>0.7964</v>
      </c>
      <c r="F304" s="842">
        <v>0.7964</v>
      </c>
      <c r="G304" s="842">
        <v>0.7964</v>
      </c>
      <c r="H304" s="842">
        <v>0.7964</v>
      </c>
      <c r="I304" s="842">
        <v>0.64810000000000001</v>
      </c>
      <c r="J304" s="842">
        <v>0.64810000000000001</v>
      </c>
      <c r="K304" s="842">
        <v>0.64810000000000001</v>
      </c>
      <c r="L304" s="842">
        <v>0.64810000000000001</v>
      </c>
      <c r="M304" s="842">
        <v>0.64810000000000001</v>
      </c>
    </row>
    <row r="305" spans="1:13">
      <c r="A305" s="850">
        <v>9.9</v>
      </c>
      <c r="B305" s="842">
        <v>0.82140000000000002</v>
      </c>
      <c r="C305" s="842">
        <v>0.82140000000000002</v>
      </c>
      <c r="D305" s="842">
        <v>0.79559999999999997</v>
      </c>
      <c r="E305" s="842">
        <v>0.79559999999999997</v>
      </c>
      <c r="F305" s="842">
        <v>0.79559999999999997</v>
      </c>
      <c r="G305" s="842">
        <v>0.79559999999999997</v>
      </c>
      <c r="H305" s="842">
        <v>0.79559999999999997</v>
      </c>
      <c r="I305" s="842">
        <v>0.64710000000000001</v>
      </c>
      <c r="J305" s="842">
        <v>0.64710000000000001</v>
      </c>
      <c r="K305" s="842">
        <v>0.64710000000000001</v>
      </c>
      <c r="L305" s="842">
        <v>0.64710000000000001</v>
      </c>
      <c r="M305" s="842">
        <v>0.64710000000000001</v>
      </c>
    </row>
    <row r="306" spans="1:13">
      <c r="A306" s="850">
        <v>10</v>
      </c>
      <c r="B306" s="842">
        <v>0.82079999999999997</v>
      </c>
      <c r="C306" s="842">
        <v>0.82079999999999997</v>
      </c>
      <c r="D306" s="842">
        <v>0.79479999999999995</v>
      </c>
      <c r="E306" s="842">
        <v>0.79479999999999995</v>
      </c>
      <c r="F306" s="842">
        <v>0.79479999999999995</v>
      </c>
      <c r="G306" s="842">
        <v>0.79479999999999995</v>
      </c>
      <c r="H306" s="842">
        <v>0.79479999999999995</v>
      </c>
      <c r="I306" s="842">
        <v>0.6462</v>
      </c>
      <c r="J306" s="842">
        <v>0.6462</v>
      </c>
      <c r="K306" s="842">
        <v>0.6462</v>
      </c>
      <c r="L306" s="842">
        <v>0.6462</v>
      </c>
      <c r="M306" s="842">
        <v>0.6462</v>
      </c>
    </row>
    <row r="307" spans="1:13" ht="14.25">
      <c r="A307" s="832" t="s">
        <v>750</v>
      </c>
      <c r="B307" s="833"/>
      <c r="C307" s="833"/>
      <c r="D307" s="833"/>
      <c r="E307" s="833"/>
      <c r="F307" s="833"/>
      <c r="G307" s="833"/>
      <c r="H307" s="833"/>
      <c r="I307" s="833"/>
      <c r="J307" s="833"/>
      <c r="K307" s="833"/>
      <c r="L307" s="833"/>
      <c r="M307" s="833"/>
    </row>
    <row r="308" spans="1:13">
      <c r="A308" s="835" t="s">
        <v>746</v>
      </c>
      <c r="B308" s="836" t="s">
        <v>157</v>
      </c>
      <c r="C308" s="836" t="s">
        <v>158</v>
      </c>
      <c r="D308" s="836" t="s">
        <v>159</v>
      </c>
      <c r="E308" s="836" t="s">
        <v>160</v>
      </c>
      <c r="F308" s="836" t="s">
        <v>161</v>
      </c>
      <c r="G308" s="836" t="s">
        <v>162</v>
      </c>
      <c r="H308" s="837" t="s">
        <v>163</v>
      </c>
      <c r="I308" s="837" t="s">
        <v>164</v>
      </c>
      <c r="J308" s="838" t="s">
        <v>165</v>
      </c>
      <c r="K308" s="838" t="s">
        <v>166</v>
      </c>
      <c r="L308" s="838" t="s">
        <v>167</v>
      </c>
      <c r="M308" s="838" t="s">
        <v>168</v>
      </c>
    </row>
    <row r="309" spans="1:13">
      <c r="A309" s="835">
        <v>0.1</v>
      </c>
      <c r="B309" s="842">
        <v>11.506</v>
      </c>
      <c r="C309" s="842">
        <v>11.506</v>
      </c>
      <c r="D309" s="842">
        <v>12.015000000000001</v>
      </c>
      <c r="E309" s="842">
        <v>12.015000000000001</v>
      </c>
      <c r="F309" s="842">
        <v>12.015000000000001</v>
      </c>
      <c r="G309" s="842">
        <v>11.118</v>
      </c>
      <c r="H309" s="842">
        <v>11.118</v>
      </c>
      <c r="I309" s="842">
        <v>10</v>
      </c>
      <c r="J309" s="842">
        <v>10</v>
      </c>
      <c r="K309" s="842">
        <v>10</v>
      </c>
      <c r="L309" s="842">
        <v>10</v>
      </c>
      <c r="M309" s="842">
        <v>10</v>
      </c>
    </row>
    <row r="310" spans="1:13">
      <c r="A310" s="835">
        <v>0.2</v>
      </c>
      <c r="B310" s="842">
        <v>5.7530000000000001</v>
      </c>
      <c r="C310" s="842">
        <v>5.7530000000000001</v>
      </c>
      <c r="D310" s="842">
        <v>6.0075000000000003</v>
      </c>
      <c r="E310" s="842">
        <v>6.0075000000000003</v>
      </c>
      <c r="F310" s="842">
        <v>6.0075000000000003</v>
      </c>
      <c r="G310" s="842">
        <v>5.5590000000000002</v>
      </c>
      <c r="H310" s="842">
        <v>5.5590000000000002</v>
      </c>
      <c r="I310" s="842">
        <v>5</v>
      </c>
      <c r="J310" s="842">
        <v>5</v>
      </c>
      <c r="K310" s="842">
        <v>5</v>
      </c>
      <c r="L310" s="842">
        <v>5</v>
      </c>
      <c r="M310" s="842">
        <v>5</v>
      </c>
    </row>
    <row r="311" spans="1:13">
      <c r="A311" s="835">
        <v>0.3</v>
      </c>
      <c r="B311" s="842">
        <v>3.8353000000000002</v>
      </c>
      <c r="C311" s="842">
        <v>3.8353000000000002</v>
      </c>
      <c r="D311" s="842">
        <v>4.0049999999999999</v>
      </c>
      <c r="E311" s="842">
        <v>4.0049999999999999</v>
      </c>
      <c r="F311" s="842">
        <v>4.0049999999999999</v>
      </c>
      <c r="G311" s="842">
        <v>3.706</v>
      </c>
      <c r="H311" s="842">
        <v>3.706</v>
      </c>
      <c r="I311" s="842">
        <v>3.3332999999999999</v>
      </c>
      <c r="J311" s="842">
        <v>3.3332999999999999</v>
      </c>
      <c r="K311" s="842">
        <v>3.3332999999999999</v>
      </c>
      <c r="L311" s="842">
        <v>3.3332999999999999</v>
      </c>
      <c r="M311" s="842">
        <v>3.3332999999999999</v>
      </c>
    </row>
    <row r="312" spans="1:13">
      <c r="A312" s="835">
        <v>0.4</v>
      </c>
      <c r="B312" s="842">
        <v>2.8765000000000001</v>
      </c>
      <c r="C312" s="842">
        <v>2.8765000000000001</v>
      </c>
      <c r="D312" s="842">
        <v>3.0038</v>
      </c>
      <c r="E312" s="842">
        <v>3.0038</v>
      </c>
      <c r="F312" s="842">
        <v>3.0038</v>
      </c>
      <c r="G312" s="842">
        <v>2.7795000000000001</v>
      </c>
      <c r="H312" s="842">
        <v>2.7795000000000001</v>
      </c>
      <c r="I312" s="842">
        <v>2.5</v>
      </c>
      <c r="J312" s="842">
        <v>2.5</v>
      </c>
      <c r="K312" s="842">
        <v>2.5</v>
      </c>
      <c r="L312" s="842">
        <v>2.5</v>
      </c>
      <c r="M312" s="842">
        <v>2.5</v>
      </c>
    </row>
    <row r="313" spans="1:13">
      <c r="A313" s="835">
        <v>0.5</v>
      </c>
      <c r="B313" s="842">
        <v>2.3012000000000001</v>
      </c>
      <c r="C313" s="842">
        <v>2.3012000000000001</v>
      </c>
      <c r="D313" s="842">
        <v>2.403</v>
      </c>
      <c r="E313" s="842">
        <v>2.403</v>
      </c>
      <c r="F313" s="842">
        <v>2.403</v>
      </c>
      <c r="G313" s="842">
        <v>2.2235999999999998</v>
      </c>
      <c r="H313" s="842">
        <v>2.2235999999999998</v>
      </c>
      <c r="I313" s="842">
        <v>2</v>
      </c>
      <c r="J313" s="842">
        <v>2</v>
      </c>
      <c r="K313" s="842">
        <v>2</v>
      </c>
      <c r="L313" s="842">
        <v>2</v>
      </c>
      <c r="M313" s="842">
        <v>2</v>
      </c>
    </row>
    <row r="314" spans="1:13">
      <c r="A314" s="835">
        <v>0.6</v>
      </c>
      <c r="B314" s="842">
        <v>1.9177</v>
      </c>
      <c r="C314" s="842">
        <v>1.9177</v>
      </c>
      <c r="D314" s="842">
        <v>2.0024999999999999</v>
      </c>
      <c r="E314" s="842">
        <v>2.0024999999999999</v>
      </c>
      <c r="F314" s="842">
        <v>2.0024999999999999</v>
      </c>
      <c r="G314" s="842">
        <v>1.853</v>
      </c>
      <c r="H314" s="842">
        <v>1.853</v>
      </c>
      <c r="I314" s="842">
        <v>1.6667000000000001</v>
      </c>
      <c r="J314" s="842">
        <v>1.6667000000000001</v>
      </c>
      <c r="K314" s="842">
        <v>1.6667000000000001</v>
      </c>
      <c r="L314" s="842">
        <v>1.6667000000000001</v>
      </c>
      <c r="M314" s="842">
        <v>1.6667000000000001</v>
      </c>
    </row>
    <row r="315" spans="1:13">
      <c r="A315" s="835">
        <v>0.7</v>
      </c>
      <c r="B315" s="842">
        <v>1.6436999999999999</v>
      </c>
      <c r="C315" s="842">
        <v>1.6436999999999999</v>
      </c>
      <c r="D315" s="842">
        <v>1.7163999999999999</v>
      </c>
      <c r="E315" s="842">
        <v>1.7163999999999999</v>
      </c>
      <c r="F315" s="842">
        <v>1.7163999999999999</v>
      </c>
      <c r="G315" s="842">
        <v>1.5883</v>
      </c>
      <c r="H315" s="842">
        <v>1.5883</v>
      </c>
      <c r="I315" s="842">
        <v>1.4286000000000001</v>
      </c>
      <c r="J315" s="842">
        <v>1.4286000000000001</v>
      </c>
      <c r="K315" s="842">
        <v>1.4286000000000001</v>
      </c>
      <c r="L315" s="842">
        <v>1.4286000000000001</v>
      </c>
      <c r="M315" s="842">
        <v>1.4286000000000001</v>
      </c>
    </row>
    <row r="316" spans="1:13">
      <c r="A316" s="835">
        <v>0.8</v>
      </c>
      <c r="B316" s="842">
        <v>1.4382999999999999</v>
      </c>
      <c r="C316" s="842">
        <v>1.4382999999999999</v>
      </c>
      <c r="D316" s="842">
        <v>1.5019</v>
      </c>
      <c r="E316" s="842">
        <v>1.5019</v>
      </c>
      <c r="F316" s="842">
        <v>1.5019</v>
      </c>
      <c r="G316" s="842">
        <v>1.3897999999999999</v>
      </c>
      <c r="H316" s="842">
        <v>1.3897999999999999</v>
      </c>
      <c r="I316" s="842">
        <v>1.25</v>
      </c>
      <c r="J316" s="842">
        <v>1.25</v>
      </c>
      <c r="K316" s="842">
        <v>1.25</v>
      </c>
      <c r="L316" s="842">
        <v>1.25</v>
      </c>
      <c r="M316" s="842">
        <v>1.25</v>
      </c>
    </row>
    <row r="317" spans="1:13">
      <c r="A317" s="835">
        <v>0.9</v>
      </c>
      <c r="B317" s="842">
        <v>1.2784</v>
      </c>
      <c r="C317" s="842">
        <v>1.2784</v>
      </c>
      <c r="D317" s="842">
        <v>1.335</v>
      </c>
      <c r="E317" s="842">
        <v>1.335</v>
      </c>
      <c r="F317" s="842">
        <v>1.335</v>
      </c>
      <c r="G317" s="842">
        <v>1.2353000000000001</v>
      </c>
      <c r="H317" s="842">
        <v>1.2353000000000001</v>
      </c>
      <c r="I317" s="842">
        <v>1.1111</v>
      </c>
      <c r="J317" s="842">
        <v>1.1111</v>
      </c>
      <c r="K317" s="842">
        <v>1.1111</v>
      </c>
      <c r="L317" s="842">
        <v>1.1111</v>
      </c>
      <c r="M317" s="842">
        <v>1.1111</v>
      </c>
    </row>
    <row r="318" spans="1:13">
      <c r="A318" s="835">
        <v>1</v>
      </c>
      <c r="B318" s="842">
        <v>1.1506000000000001</v>
      </c>
      <c r="C318" s="842">
        <v>1.1506000000000001</v>
      </c>
      <c r="D318" s="842">
        <v>1.2015</v>
      </c>
      <c r="E318" s="842">
        <v>1.2015</v>
      </c>
      <c r="F318" s="842">
        <v>1.2015</v>
      </c>
      <c r="G318" s="842">
        <v>1.1117999999999999</v>
      </c>
      <c r="H318" s="842">
        <v>1.1117999999999999</v>
      </c>
      <c r="I318" s="842">
        <v>1</v>
      </c>
      <c r="J318" s="842">
        <v>1</v>
      </c>
      <c r="K318" s="842">
        <v>1</v>
      </c>
      <c r="L318" s="842">
        <v>1</v>
      </c>
      <c r="M318" s="842">
        <v>1</v>
      </c>
    </row>
    <row r="319" spans="1:13">
      <c r="A319" s="835">
        <v>1.1000000000000001</v>
      </c>
      <c r="B319" s="842">
        <v>1.1158999999999999</v>
      </c>
      <c r="C319" s="842">
        <v>1.1158999999999999</v>
      </c>
      <c r="D319" s="842">
        <v>1.1440999999999999</v>
      </c>
      <c r="E319" s="842">
        <v>1.1440999999999999</v>
      </c>
      <c r="F319" s="842">
        <v>1.1440999999999999</v>
      </c>
      <c r="G319" s="842">
        <v>1.0492999999999999</v>
      </c>
      <c r="H319" s="842">
        <v>1.0492999999999999</v>
      </c>
      <c r="I319" s="842">
        <v>0.93730000000000002</v>
      </c>
      <c r="J319" s="842">
        <v>0.93730000000000002</v>
      </c>
      <c r="K319" s="842">
        <v>0.93730000000000002</v>
      </c>
      <c r="L319" s="842">
        <v>0.93730000000000002</v>
      </c>
      <c r="M319" s="842">
        <v>0.93730000000000002</v>
      </c>
    </row>
    <row r="320" spans="1:13">
      <c r="A320" s="835">
        <v>1.2</v>
      </c>
      <c r="B320" s="842">
        <v>1.0837000000000001</v>
      </c>
      <c r="C320" s="842">
        <v>1.0837000000000001</v>
      </c>
      <c r="D320" s="842">
        <v>1.0972999999999999</v>
      </c>
      <c r="E320" s="842">
        <v>1.0972999999999999</v>
      </c>
      <c r="F320" s="842">
        <v>1.0972999999999999</v>
      </c>
      <c r="G320" s="842">
        <v>1</v>
      </c>
      <c r="H320" s="842">
        <v>1</v>
      </c>
      <c r="I320" s="842">
        <v>0.88890000000000002</v>
      </c>
      <c r="J320" s="842">
        <v>0.88890000000000002</v>
      </c>
      <c r="K320" s="842">
        <v>0.88890000000000002</v>
      </c>
      <c r="L320" s="842">
        <v>0.88890000000000002</v>
      </c>
      <c r="M320" s="842">
        <v>0.88890000000000002</v>
      </c>
    </row>
    <row r="321" spans="1:13">
      <c r="A321" s="835">
        <v>1.3</v>
      </c>
      <c r="B321" s="842">
        <v>1.0538000000000001</v>
      </c>
      <c r="C321" s="842">
        <v>1.0538000000000001</v>
      </c>
      <c r="D321" s="842">
        <v>1.0589999999999999</v>
      </c>
      <c r="E321" s="842">
        <v>1.0589999999999999</v>
      </c>
      <c r="F321" s="842">
        <v>1.0589999999999999</v>
      </c>
      <c r="G321" s="842">
        <v>0.96140000000000003</v>
      </c>
      <c r="H321" s="842">
        <v>0.96140000000000003</v>
      </c>
      <c r="I321" s="842">
        <v>0.85209999999999997</v>
      </c>
      <c r="J321" s="842">
        <v>0.85209999999999997</v>
      </c>
      <c r="K321" s="842">
        <v>0.85209999999999997</v>
      </c>
      <c r="L321" s="842">
        <v>0.85209999999999997</v>
      </c>
      <c r="M321" s="842">
        <v>0.85209999999999997</v>
      </c>
    </row>
    <row r="322" spans="1:13">
      <c r="A322" s="835">
        <v>1.4</v>
      </c>
      <c r="B322" s="842">
        <v>1.026</v>
      </c>
      <c r="C322" s="842">
        <v>1.026</v>
      </c>
      <c r="D322" s="842">
        <v>1.0271999999999999</v>
      </c>
      <c r="E322" s="842">
        <v>1.0271999999999999</v>
      </c>
      <c r="F322" s="842">
        <v>1.0271999999999999</v>
      </c>
      <c r="G322" s="842">
        <v>0.93079999999999996</v>
      </c>
      <c r="H322" s="842">
        <v>0.93079999999999996</v>
      </c>
      <c r="I322" s="842">
        <v>0.82379999999999998</v>
      </c>
      <c r="J322" s="842">
        <v>0.82379999999999998</v>
      </c>
      <c r="K322" s="842">
        <v>0.82379999999999998</v>
      </c>
      <c r="L322" s="842">
        <v>0.82379999999999998</v>
      </c>
      <c r="M322" s="842">
        <v>0.82379999999999998</v>
      </c>
    </row>
    <row r="323" spans="1:13">
      <c r="A323" s="835">
        <v>1.5</v>
      </c>
      <c r="B323" s="842">
        <v>1</v>
      </c>
      <c r="C323" s="842">
        <v>1</v>
      </c>
      <c r="D323" s="842">
        <v>1</v>
      </c>
      <c r="E323" s="842">
        <v>1</v>
      </c>
      <c r="F323" s="842">
        <v>1</v>
      </c>
      <c r="G323" s="842">
        <v>0.90559999999999996</v>
      </c>
      <c r="H323" s="842">
        <v>0.90559999999999996</v>
      </c>
      <c r="I323" s="842">
        <v>0.80110000000000003</v>
      </c>
      <c r="J323" s="842">
        <v>0.80110000000000003</v>
      </c>
      <c r="K323" s="842">
        <v>0.80110000000000003</v>
      </c>
      <c r="L323" s="842">
        <v>0.80110000000000003</v>
      </c>
      <c r="M323" s="842">
        <v>0.80110000000000003</v>
      </c>
    </row>
    <row r="324" spans="1:13">
      <c r="A324" s="835">
        <v>1.6</v>
      </c>
      <c r="B324" s="842">
        <v>0.97570000000000001</v>
      </c>
      <c r="C324" s="842">
        <v>0.97570000000000001</v>
      </c>
      <c r="D324" s="842">
        <v>0.97519999999999996</v>
      </c>
      <c r="E324" s="842">
        <v>0.97519999999999996</v>
      </c>
      <c r="F324" s="842">
        <v>0.97519999999999996</v>
      </c>
      <c r="G324" s="842">
        <v>0.8831</v>
      </c>
      <c r="H324" s="842">
        <v>0.8831</v>
      </c>
      <c r="I324" s="842">
        <v>0.78100000000000003</v>
      </c>
      <c r="J324" s="842">
        <v>0.78100000000000003</v>
      </c>
      <c r="K324" s="842">
        <v>0.78100000000000003</v>
      </c>
      <c r="L324" s="842">
        <v>0.78100000000000003</v>
      </c>
      <c r="M324" s="842">
        <v>0.78100000000000003</v>
      </c>
    </row>
    <row r="325" spans="1:13">
      <c r="A325" s="835">
        <v>1.7</v>
      </c>
      <c r="B325" s="842">
        <v>0.95289999999999997</v>
      </c>
      <c r="C325" s="842">
        <v>0.95289999999999997</v>
      </c>
      <c r="D325" s="842">
        <v>0.95189999999999997</v>
      </c>
      <c r="E325" s="842">
        <v>0.95189999999999997</v>
      </c>
      <c r="F325" s="842">
        <v>0.95189999999999997</v>
      </c>
      <c r="G325" s="842">
        <v>0.86180000000000001</v>
      </c>
      <c r="H325" s="842">
        <v>0.86180000000000001</v>
      </c>
      <c r="I325" s="842">
        <v>0.7621</v>
      </c>
      <c r="J325" s="842">
        <v>0.7621</v>
      </c>
      <c r="K325" s="842">
        <v>0.7621</v>
      </c>
      <c r="L325" s="842">
        <v>0.7621</v>
      </c>
      <c r="M325" s="842">
        <v>0.7621</v>
      </c>
    </row>
    <row r="326" spans="1:13">
      <c r="A326" s="835">
        <v>1.8</v>
      </c>
      <c r="B326" s="842">
        <v>0.93149999999999999</v>
      </c>
      <c r="C326" s="842">
        <v>0.93149999999999999</v>
      </c>
      <c r="D326" s="842">
        <v>0.93</v>
      </c>
      <c r="E326" s="842">
        <v>0.93</v>
      </c>
      <c r="F326" s="842">
        <v>0.93</v>
      </c>
      <c r="G326" s="842">
        <v>0.84179999999999999</v>
      </c>
      <c r="H326" s="842">
        <v>0.84179999999999999</v>
      </c>
      <c r="I326" s="842">
        <v>0.74419999999999997</v>
      </c>
      <c r="J326" s="842">
        <v>0.74419999999999997</v>
      </c>
      <c r="K326" s="842">
        <v>0.74419999999999997</v>
      </c>
      <c r="L326" s="842">
        <v>0.74419999999999997</v>
      </c>
      <c r="M326" s="842">
        <v>0.74419999999999997</v>
      </c>
    </row>
    <row r="327" spans="1:13">
      <c r="A327" s="835">
        <v>1.9</v>
      </c>
      <c r="B327" s="842">
        <v>0.91139999999999999</v>
      </c>
      <c r="C327" s="842">
        <v>0.91139999999999999</v>
      </c>
      <c r="D327" s="842">
        <v>0.90939999999999999</v>
      </c>
      <c r="E327" s="842">
        <v>0.90939999999999999</v>
      </c>
      <c r="F327" s="842">
        <v>0.90939999999999999</v>
      </c>
      <c r="G327" s="842">
        <v>0.82289999999999996</v>
      </c>
      <c r="H327" s="842">
        <v>0.82289999999999996</v>
      </c>
      <c r="I327" s="842">
        <v>0.72740000000000005</v>
      </c>
      <c r="J327" s="842">
        <v>0.72740000000000005</v>
      </c>
      <c r="K327" s="842">
        <v>0.72740000000000005</v>
      </c>
      <c r="L327" s="842">
        <v>0.72740000000000005</v>
      </c>
      <c r="M327" s="842">
        <v>0.72740000000000005</v>
      </c>
    </row>
    <row r="328" spans="1:13">
      <c r="A328" s="835">
        <v>2</v>
      </c>
      <c r="B328" s="842">
        <v>0.89270000000000005</v>
      </c>
      <c r="C328" s="842">
        <v>0.89270000000000005</v>
      </c>
      <c r="D328" s="842">
        <v>0.8901</v>
      </c>
      <c r="E328" s="842">
        <v>0.8901</v>
      </c>
      <c r="F328" s="842">
        <v>0.8901</v>
      </c>
      <c r="G328" s="842">
        <v>0.80530000000000002</v>
      </c>
      <c r="H328" s="842">
        <v>0.80530000000000002</v>
      </c>
      <c r="I328" s="842">
        <v>0.71160000000000001</v>
      </c>
      <c r="J328" s="842">
        <v>0.71160000000000001</v>
      </c>
      <c r="K328" s="842">
        <v>0.71160000000000001</v>
      </c>
      <c r="L328" s="842">
        <v>0.71160000000000001</v>
      </c>
      <c r="M328" s="842">
        <v>0.71160000000000001</v>
      </c>
    </row>
    <row r="329" spans="1:13">
      <c r="A329" s="850">
        <v>2.1</v>
      </c>
      <c r="B329" s="842">
        <v>0.87519999999999998</v>
      </c>
      <c r="C329" s="842">
        <v>0.87519999999999998</v>
      </c>
      <c r="D329" s="842">
        <v>0.872</v>
      </c>
      <c r="E329" s="842">
        <v>0.872</v>
      </c>
      <c r="F329" s="842">
        <v>0.872</v>
      </c>
      <c r="G329" s="842">
        <v>0.78869999999999996</v>
      </c>
      <c r="H329" s="842">
        <v>0.78869999999999996</v>
      </c>
      <c r="I329" s="842">
        <v>0.69669999999999999</v>
      </c>
      <c r="J329" s="842">
        <v>0.69669999999999999</v>
      </c>
      <c r="K329" s="842">
        <v>0.69669999999999999</v>
      </c>
      <c r="L329" s="842">
        <v>0.69669999999999999</v>
      </c>
      <c r="M329" s="842">
        <v>0.69669999999999999</v>
      </c>
    </row>
    <row r="330" spans="1:13">
      <c r="A330" s="850">
        <v>2.2000000000000002</v>
      </c>
      <c r="B330" s="842">
        <v>0.85880000000000001</v>
      </c>
      <c r="C330" s="842">
        <v>0.85880000000000001</v>
      </c>
      <c r="D330" s="842">
        <v>0.85499999999999998</v>
      </c>
      <c r="E330" s="842">
        <v>0.85499999999999998</v>
      </c>
      <c r="F330" s="842">
        <v>0.85499999999999998</v>
      </c>
      <c r="G330" s="842">
        <v>0.77300000000000002</v>
      </c>
      <c r="H330" s="842">
        <v>0.77300000000000002</v>
      </c>
      <c r="I330" s="842">
        <v>0.68269999999999997</v>
      </c>
      <c r="J330" s="842">
        <v>0.68269999999999997</v>
      </c>
      <c r="K330" s="842">
        <v>0.68269999999999997</v>
      </c>
      <c r="L330" s="842">
        <v>0.68269999999999997</v>
      </c>
      <c r="M330" s="842">
        <v>0.68269999999999997</v>
      </c>
    </row>
    <row r="331" spans="1:13">
      <c r="A331" s="850">
        <v>2.2999999999999998</v>
      </c>
      <c r="B331" s="842">
        <v>0.84360000000000002</v>
      </c>
      <c r="C331" s="842">
        <v>0.84360000000000002</v>
      </c>
      <c r="D331" s="842">
        <v>0.83899999999999997</v>
      </c>
      <c r="E331" s="842">
        <v>0.83899999999999997</v>
      </c>
      <c r="F331" s="842">
        <v>0.83899999999999997</v>
      </c>
      <c r="G331" s="842">
        <v>0.75839999999999996</v>
      </c>
      <c r="H331" s="842">
        <v>0.75839999999999996</v>
      </c>
      <c r="I331" s="842">
        <v>0.66949999999999998</v>
      </c>
      <c r="J331" s="842">
        <v>0.66949999999999998</v>
      </c>
      <c r="K331" s="842">
        <v>0.66949999999999998</v>
      </c>
      <c r="L331" s="842">
        <v>0.66949999999999998</v>
      </c>
      <c r="M331" s="842">
        <v>0.66949999999999998</v>
      </c>
    </row>
    <row r="332" spans="1:13">
      <c r="A332" s="850">
        <v>2.4</v>
      </c>
      <c r="B332" s="842">
        <v>0.82940000000000003</v>
      </c>
      <c r="C332" s="842">
        <v>0.82940000000000003</v>
      </c>
      <c r="D332" s="842">
        <v>0.82410000000000005</v>
      </c>
      <c r="E332" s="842">
        <v>0.82410000000000005</v>
      </c>
      <c r="F332" s="842">
        <v>0.82410000000000005</v>
      </c>
      <c r="G332" s="842">
        <v>0.74460000000000004</v>
      </c>
      <c r="H332" s="842">
        <v>0.74460000000000004</v>
      </c>
      <c r="I332" s="842">
        <v>0.65710000000000002</v>
      </c>
      <c r="J332" s="842">
        <v>0.65710000000000002</v>
      </c>
      <c r="K332" s="842">
        <v>0.65710000000000002</v>
      </c>
      <c r="L332" s="842">
        <v>0.65710000000000002</v>
      </c>
      <c r="M332" s="842">
        <v>0.65710000000000002</v>
      </c>
    </row>
    <row r="333" spans="1:13">
      <c r="A333" s="850">
        <v>2.5</v>
      </c>
      <c r="B333" s="842">
        <v>0.81620000000000004</v>
      </c>
      <c r="C333" s="842">
        <v>0.81620000000000004</v>
      </c>
      <c r="D333" s="842">
        <v>0.81020000000000003</v>
      </c>
      <c r="E333" s="842">
        <v>0.81020000000000003</v>
      </c>
      <c r="F333" s="842">
        <v>0.81020000000000003</v>
      </c>
      <c r="G333" s="842">
        <v>0.73180000000000001</v>
      </c>
      <c r="H333" s="842">
        <v>0.73180000000000001</v>
      </c>
      <c r="I333" s="842">
        <v>0.64549999999999996</v>
      </c>
      <c r="J333" s="842">
        <v>0.64549999999999996</v>
      </c>
      <c r="K333" s="842">
        <v>0.64549999999999996</v>
      </c>
      <c r="L333" s="842">
        <v>0.64549999999999996</v>
      </c>
      <c r="M333" s="842">
        <v>0.64549999999999996</v>
      </c>
    </row>
    <row r="334" spans="1:13">
      <c r="A334" s="850">
        <v>2.6</v>
      </c>
      <c r="B334" s="842">
        <v>0.80389999999999995</v>
      </c>
      <c r="C334" s="842">
        <v>0.80389999999999995</v>
      </c>
      <c r="D334" s="842">
        <v>0.79710000000000003</v>
      </c>
      <c r="E334" s="842">
        <v>0.79710000000000003</v>
      </c>
      <c r="F334" s="842">
        <v>0.79710000000000003</v>
      </c>
      <c r="G334" s="842">
        <v>0.71970000000000001</v>
      </c>
      <c r="H334" s="842">
        <v>0.71970000000000001</v>
      </c>
      <c r="I334" s="842">
        <v>0.63460000000000005</v>
      </c>
      <c r="J334" s="842">
        <v>0.63460000000000005</v>
      </c>
      <c r="K334" s="842">
        <v>0.63460000000000005</v>
      </c>
      <c r="L334" s="842">
        <v>0.63460000000000005</v>
      </c>
      <c r="M334" s="842">
        <v>0.63460000000000005</v>
      </c>
    </row>
    <row r="335" spans="1:13">
      <c r="A335" s="850">
        <v>2.7</v>
      </c>
      <c r="B335" s="842">
        <v>0.79249999999999998</v>
      </c>
      <c r="C335" s="842">
        <v>0.79249999999999998</v>
      </c>
      <c r="D335" s="842">
        <v>0.78490000000000004</v>
      </c>
      <c r="E335" s="842">
        <v>0.78490000000000004</v>
      </c>
      <c r="F335" s="842">
        <v>0.78490000000000004</v>
      </c>
      <c r="G335" s="842">
        <v>0.70840000000000003</v>
      </c>
      <c r="H335" s="842">
        <v>0.70840000000000003</v>
      </c>
      <c r="I335" s="842">
        <v>0.62439999999999996</v>
      </c>
      <c r="J335" s="842">
        <v>0.62439999999999996</v>
      </c>
      <c r="K335" s="842">
        <v>0.62439999999999996</v>
      </c>
      <c r="L335" s="842">
        <v>0.62439999999999996</v>
      </c>
      <c r="M335" s="842">
        <v>0.62439999999999996</v>
      </c>
    </row>
    <row r="336" spans="1:13">
      <c r="A336" s="850">
        <v>2.8</v>
      </c>
      <c r="B336" s="842">
        <v>0.78190000000000004</v>
      </c>
      <c r="C336" s="842">
        <v>0.78190000000000004</v>
      </c>
      <c r="D336" s="842">
        <v>0.77359999999999995</v>
      </c>
      <c r="E336" s="842">
        <v>0.77359999999999995</v>
      </c>
      <c r="F336" s="842">
        <v>0.77359999999999995</v>
      </c>
      <c r="G336" s="842">
        <v>0.69789999999999996</v>
      </c>
      <c r="H336" s="842">
        <v>0.69789999999999996</v>
      </c>
      <c r="I336" s="842">
        <v>0.61480000000000001</v>
      </c>
      <c r="J336" s="842">
        <v>0.61480000000000001</v>
      </c>
      <c r="K336" s="842">
        <v>0.61480000000000001</v>
      </c>
      <c r="L336" s="842">
        <v>0.61480000000000001</v>
      </c>
      <c r="M336" s="842">
        <v>0.61480000000000001</v>
      </c>
    </row>
    <row r="337" spans="1:13">
      <c r="A337" s="850">
        <v>2.9</v>
      </c>
      <c r="B337" s="842">
        <v>0.77210000000000001</v>
      </c>
      <c r="C337" s="842">
        <v>0.77210000000000001</v>
      </c>
      <c r="D337" s="842">
        <v>0.76300000000000001</v>
      </c>
      <c r="E337" s="842">
        <v>0.76300000000000001</v>
      </c>
      <c r="F337" s="842">
        <v>0.76300000000000001</v>
      </c>
      <c r="G337" s="842">
        <v>0.68799999999999994</v>
      </c>
      <c r="H337" s="842">
        <v>0.68799999999999994</v>
      </c>
      <c r="I337" s="842">
        <v>0.60589999999999999</v>
      </c>
      <c r="J337" s="842">
        <v>0.60589999999999999</v>
      </c>
      <c r="K337" s="842">
        <v>0.60589999999999999</v>
      </c>
      <c r="L337" s="842">
        <v>0.60589999999999999</v>
      </c>
      <c r="M337" s="842">
        <v>0.60589999999999999</v>
      </c>
    </row>
    <row r="338" spans="1:13">
      <c r="A338" s="850">
        <v>3</v>
      </c>
      <c r="B338" s="842">
        <v>0.7631</v>
      </c>
      <c r="C338" s="842">
        <v>0.7631</v>
      </c>
      <c r="D338" s="842">
        <v>0.75309999999999999</v>
      </c>
      <c r="E338" s="842">
        <v>0.75309999999999999</v>
      </c>
      <c r="F338" s="842">
        <v>0.75309999999999999</v>
      </c>
      <c r="G338" s="842">
        <v>0.67879999999999996</v>
      </c>
      <c r="H338" s="842">
        <v>0.67879999999999996</v>
      </c>
      <c r="I338" s="842">
        <v>0.59750000000000003</v>
      </c>
      <c r="J338" s="842">
        <v>0.59750000000000003</v>
      </c>
      <c r="K338" s="842">
        <v>0.59750000000000003</v>
      </c>
      <c r="L338" s="842">
        <v>0.59750000000000003</v>
      </c>
      <c r="M338" s="842">
        <v>0.59750000000000003</v>
      </c>
    </row>
    <row r="339" spans="1:13">
      <c r="A339" s="850">
        <v>3.1</v>
      </c>
      <c r="B339" s="842">
        <v>0.75470000000000004</v>
      </c>
      <c r="C339" s="842">
        <v>0.75470000000000004</v>
      </c>
      <c r="D339" s="842">
        <v>0.74399999999999999</v>
      </c>
      <c r="E339" s="842">
        <v>0.74399999999999999</v>
      </c>
      <c r="F339" s="842">
        <v>0.74399999999999999</v>
      </c>
      <c r="G339" s="842">
        <v>0.67020000000000002</v>
      </c>
      <c r="H339" s="842">
        <v>0.67020000000000002</v>
      </c>
      <c r="I339" s="842">
        <v>0.5897</v>
      </c>
      <c r="J339" s="842">
        <v>0.5897</v>
      </c>
      <c r="K339" s="842">
        <v>0.5897</v>
      </c>
      <c r="L339" s="842">
        <v>0.5897</v>
      </c>
      <c r="M339" s="842">
        <v>0.5897</v>
      </c>
    </row>
    <row r="340" spans="1:13">
      <c r="A340" s="850">
        <v>3.2</v>
      </c>
      <c r="B340" s="842">
        <v>0.747</v>
      </c>
      <c r="C340" s="842">
        <v>0.747</v>
      </c>
      <c r="D340" s="842">
        <v>0.73540000000000005</v>
      </c>
      <c r="E340" s="842">
        <v>0.73540000000000005</v>
      </c>
      <c r="F340" s="842">
        <v>0.73540000000000005</v>
      </c>
      <c r="G340" s="842">
        <v>0.66220000000000001</v>
      </c>
      <c r="H340" s="842">
        <v>0.66220000000000001</v>
      </c>
      <c r="I340" s="842">
        <v>0.58230000000000004</v>
      </c>
      <c r="J340" s="842">
        <v>0.58230000000000004</v>
      </c>
      <c r="K340" s="842">
        <v>0.58230000000000004</v>
      </c>
      <c r="L340" s="842">
        <v>0.58230000000000004</v>
      </c>
      <c r="M340" s="842">
        <v>0.58230000000000004</v>
      </c>
    </row>
    <row r="341" spans="1:13">
      <c r="A341" s="850">
        <v>3.3</v>
      </c>
      <c r="B341" s="842">
        <v>0.7399</v>
      </c>
      <c r="C341" s="842">
        <v>0.7399</v>
      </c>
      <c r="D341" s="842">
        <v>0.72750000000000004</v>
      </c>
      <c r="E341" s="842">
        <v>0.72750000000000004</v>
      </c>
      <c r="F341" s="842">
        <v>0.72750000000000004</v>
      </c>
      <c r="G341" s="842">
        <v>0.65480000000000005</v>
      </c>
      <c r="H341" s="842">
        <v>0.65480000000000005</v>
      </c>
      <c r="I341" s="842">
        <v>0.57540000000000002</v>
      </c>
      <c r="J341" s="842">
        <v>0.57540000000000002</v>
      </c>
      <c r="K341" s="842">
        <v>0.57540000000000002</v>
      </c>
      <c r="L341" s="842">
        <v>0.57540000000000002</v>
      </c>
      <c r="M341" s="842">
        <v>0.57540000000000002</v>
      </c>
    </row>
    <row r="342" spans="1:13">
      <c r="A342" s="850">
        <v>3.4</v>
      </c>
      <c r="B342" s="842">
        <v>0.73340000000000005</v>
      </c>
      <c r="C342" s="842">
        <v>0.73340000000000005</v>
      </c>
      <c r="D342" s="842">
        <v>0.72009999999999996</v>
      </c>
      <c r="E342" s="842">
        <v>0.72009999999999996</v>
      </c>
      <c r="F342" s="842">
        <v>0.72009999999999996</v>
      </c>
      <c r="G342" s="842">
        <v>0.64780000000000004</v>
      </c>
      <c r="H342" s="842">
        <v>0.64780000000000004</v>
      </c>
      <c r="I342" s="842">
        <v>0.56899999999999995</v>
      </c>
      <c r="J342" s="842">
        <v>0.56899999999999995</v>
      </c>
      <c r="K342" s="842">
        <v>0.56899999999999995</v>
      </c>
      <c r="L342" s="842">
        <v>0.56899999999999995</v>
      </c>
      <c r="M342" s="842">
        <v>0.56899999999999995</v>
      </c>
    </row>
    <row r="343" spans="1:13">
      <c r="A343" s="850">
        <v>3.5</v>
      </c>
      <c r="B343" s="842">
        <v>0.72740000000000005</v>
      </c>
      <c r="C343" s="842">
        <v>0.72740000000000005</v>
      </c>
      <c r="D343" s="842">
        <v>0.71330000000000005</v>
      </c>
      <c r="E343" s="842">
        <v>0.71330000000000005</v>
      </c>
      <c r="F343" s="842">
        <v>0.71330000000000005</v>
      </c>
      <c r="G343" s="842">
        <v>0.64129999999999998</v>
      </c>
      <c r="H343" s="842">
        <v>0.64129999999999998</v>
      </c>
      <c r="I343" s="842">
        <v>0.56310000000000004</v>
      </c>
      <c r="J343" s="842">
        <v>0.56310000000000004</v>
      </c>
      <c r="K343" s="842">
        <v>0.56310000000000004</v>
      </c>
      <c r="L343" s="842">
        <v>0.56310000000000004</v>
      </c>
      <c r="M343" s="842">
        <v>0.56310000000000004</v>
      </c>
    </row>
    <row r="344" spans="1:13">
      <c r="A344" s="850">
        <v>3.6</v>
      </c>
      <c r="B344" s="842">
        <v>0.72189999999999999</v>
      </c>
      <c r="C344" s="842">
        <v>0.72189999999999999</v>
      </c>
      <c r="D344" s="842">
        <v>0.70699999999999996</v>
      </c>
      <c r="E344" s="842">
        <v>0.70699999999999996</v>
      </c>
      <c r="F344" s="842">
        <v>0.70699999999999996</v>
      </c>
      <c r="G344" s="842">
        <v>0.63529999999999998</v>
      </c>
      <c r="H344" s="842">
        <v>0.63529999999999998</v>
      </c>
      <c r="I344" s="842">
        <v>0.5575</v>
      </c>
      <c r="J344" s="842">
        <v>0.5575</v>
      </c>
      <c r="K344" s="842">
        <v>0.5575</v>
      </c>
      <c r="L344" s="842">
        <v>0.5575</v>
      </c>
      <c r="M344" s="842">
        <v>0.5575</v>
      </c>
    </row>
    <row r="345" spans="1:13">
      <c r="A345" s="850">
        <v>3.7</v>
      </c>
      <c r="B345" s="842">
        <v>0.71679999999999999</v>
      </c>
      <c r="C345" s="842">
        <v>0.71679999999999999</v>
      </c>
      <c r="D345" s="842">
        <v>0.70109999999999995</v>
      </c>
      <c r="E345" s="842">
        <v>0.70109999999999995</v>
      </c>
      <c r="F345" s="842">
        <v>0.70109999999999995</v>
      </c>
      <c r="G345" s="842">
        <v>0.62970000000000004</v>
      </c>
      <c r="H345" s="842">
        <v>0.62970000000000004</v>
      </c>
      <c r="I345" s="842">
        <v>0.55230000000000001</v>
      </c>
      <c r="J345" s="842">
        <v>0.55230000000000001</v>
      </c>
      <c r="K345" s="842">
        <v>0.55230000000000001</v>
      </c>
      <c r="L345" s="842">
        <v>0.55230000000000001</v>
      </c>
      <c r="M345" s="842">
        <v>0.55230000000000001</v>
      </c>
    </row>
    <row r="346" spans="1:13">
      <c r="A346" s="850">
        <v>3.8</v>
      </c>
      <c r="B346" s="842">
        <v>0.71220000000000006</v>
      </c>
      <c r="C346" s="842">
        <v>0.71220000000000006</v>
      </c>
      <c r="D346" s="842">
        <v>0.6956</v>
      </c>
      <c r="E346" s="842">
        <v>0.6956</v>
      </c>
      <c r="F346" s="842">
        <v>0.6956</v>
      </c>
      <c r="G346" s="842">
        <v>0.62439999999999996</v>
      </c>
      <c r="H346" s="842">
        <v>0.62439999999999996</v>
      </c>
      <c r="I346" s="842">
        <v>0.5474</v>
      </c>
      <c r="J346" s="842">
        <v>0.5474</v>
      </c>
      <c r="K346" s="842">
        <v>0.5474</v>
      </c>
      <c r="L346" s="842">
        <v>0.5474</v>
      </c>
      <c r="M346" s="842">
        <v>0.5474</v>
      </c>
    </row>
    <row r="347" spans="1:13">
      <c r="A347" s="850">
        <v>3.9</v>
      </c>
      <c r="B347" s="842">
        <v>0.70799999999999996</v>
      </c>
      <c r="C347" s="842">
        <v>0.70799999999999996</v>
      </c>
      <c r="D347" s="842">
        <v>0.69059999999999999</v>
      </c>
      <c r="E347" s="842">
        <v>0.69059999999999999</v>
      </c>
      <c r="F347" s="842">
        <v>0.69059999999999999</v>
      </c>
      <c r="G347" s="842">
        <v>0.61950000000000005</v>
      </c>
      <c r="H347" s="842">
        <v>0.61950000000000005</v>
      </c>
      <c r="I347" s="842">
        <v>0.54279999999999995</v>
      </c>
      <c r="J347" s="842">
        <v>0.54279999999999995</v>
      </c>
      <c r="K347" s="842">
        <v>0.54279999999999995</v>
      </c>
      <c r="L347" s="842">
        <v>0.54279999999999995</v>
      </c>
      <c r="M347" s="842">
        <v>0.54279999999999995</v>
      </c>
    </row>
    <row r="348" spans="1:13">
      <c r="A348" s="850">
        <v>4</v>
      </c>
      <c r="B348" s="842">
        <v>0.70409999999999995</v>
      </c>
      <c r="C348" s="842">
        <v>0.70409999999999995</v>
      </c>
      <c r="D348" s="842">
        <v>0.68589999999999995</v>
      </c>
      <c r="E348" s="842">
        <v>0.68589999999999995</v>
      </c>
      <c r="F348" s="842">
        <v>0.68589999999999995</v>
      </c>
      <c r="G348" s="842">
        <v>0.61499999999999999</v>
      </c>
      <c r="H348" s="842">
        <v>0.61499999999999999</v>
      </c>
      <c r="I348" s="842">
        <v>0.53859999999999997</v>
      </c>
      <c r="J348" s="842">
        <v>0.53859999999999997</v>
      </c>
      <c r="K348" s="842">
        <v>0.53859999999999997</v>
      </c>
      <c r="L348" s="842">
        <v>0.53859999999999997</v>
      </c>
      <c r="M348" s="842">
        <v>0.53859999999999997</v>
      </c>
    </row>
    <row r="349" spans="1:13">
      <c r="A349" s="850">
        <v>4.0999999999999996</v>
      </c>
      <c r="B349" s="842">
        <v>0.7006</v>
      </c>
      <c r="C349" s="842">
        <v>0.7006</v>
      </c>
      <c r="D349" s="842">
        <v>0.68159999999999998</v>
      </c>
      <c r="E349" s="842">
        <v>0.68159999999999998</v>
      </c>
      <c r="F349" s="842">
        <v>0.68159999999999998</v>
      </c>
      <c r="G349" s="842">
        <v>0.61080000000000001</v>
      </c>
      <c r="H349" s="842">
        <v>0.61080000000000001</v>
      </c>
      <c r="I349" s="842">
        <v>0.53459999999999996</v>
      </c>
      <c r="J349" s="842">
        <v>0.53459999999999996</v>
      </c>
      <c r="K349" s="842">
        <v>0.53459999999999996</v>
      </c>
      <c r="L349" s="842">
        <v>0.53459999999999996</v>
      </c>
      <c r="M349" s="842">
        <v>0.53459999999999996</v>
      </c>
    </row>
    <row r="350" spans="1:13">
      <c r="A350" s="850">
        <v>4.2</v>
      </c>
      <c r="B350" s="842">
        <v>0.69740000000000002</v>
      </c>
      <c r="C350" s="842">
        <v>0.69740000000000002</v>
      </c>
      <c r="D350" s="842">
        <v>0.67759999999999998</v>
      </c>
      <c r="E350" s="842">
        <v>0.67759999999999998</v>
      </c>
      <c r="F350" s="842">
        <v>0.67759999999999998</v>
      </c>
      <c r="G350" s="842">
        <v>0.60699999999999998</v>
      </c>
      <c r="H350" s="842">
        <v>0.60699999999999998</v>
      </c>
      <c r="I350" s="842">
        <v>0.53090000000000004</v>
      </c>
      <c r="J350" s="842">
        <v>0.53090000000000004</v>
      </c>
      <c r="K350" s="842">
        <v>0.53090000000000004</v>
      </c>
      <c r="L350" s="842">
        <v>0.53090000000000004</v>
      </c>
      <c r="M350" s="842">
        <v>0.53090000000000004</v>
      </c>
    </row>
    <row r="351" spans="1:13">
      <c r="A351" s="850">
        <v>4.3</v>
      </c>
      <c r="B351" s="842">
        <v>0.69450000000000001</v>
      </c>
      <c r="C351" s="842">
        <v>0.69450000000000001</v>
      </c>
      <c r="D351" s="842">
        <v>0.67390000000000005</v>
      </c>
      <c r="E351" s="842">
        <v>0.67390000000000005</v>
      </c>
      <c r="F351" s="842">
        <v>0.67390000000000005</v>
      </c>
      <c r="G351" s="842">
        <v>0.60329999999999995</v>
      </c>
      <c r="H351" s="842">
        <v>0.60329999999999995</v>
      </c>
      <c r="I351" s="842">
        <v>0.52739999999999998</v>
      </c>
      <c r="J351" s="842">
        <v>0.52739999999999998</v>
      </c>
      <c r="K351" s="842">
        <v>0.52739999999999998</v>
      </c>
      <c r="L351" s="842">
        <v>0.52739999999999998</v>
      </c>
      <c r="M351" s="842">
        <v>0.52739999999999998</v>
      </c>
    </row>
    <row r="352" spans="1:13">
      <c r="A352" s="850">
        <v>4.4000000000000004</v>
      </c>
      <c r="B352" s="842">
        <v>0.69179999999999997</v>
      </c>
      <c r="C352" s="842">
        <v>0.69179999999999997</v>
      </c>
      <c r="D352" s="842">
        <v>0.67049999999999998</v>
      </c>
      <c r="E352" s="842">
        <v>0.67049999999999998</v>
      </c>
      <c r="F352" s="842">
        <v>0.67049999999999998</v>
      </c>
      <c r="G352" s="842">
        <v>0.59989999999999999</v>
      </c>
      <c r="H352" s="842">
        <v>0.59989999999999999</v>
      </c>
      <c r="I352" s="842">
        <v>0.5242</v>
      </c>
      <c r="J352" s="842">
        <v>0.5242</v>
      </c>
      <c r="K352" s="842">
        <v>0.5242</v>
      </c>
      <c r="L352" s="842">
        <v>0.5242</v>
      </c>
      <c r="M352" s="842">
        <v>0.5242</v>
      </c>
    </row>
    <row r="353" spans="1:13">
      <c r="A353" s="850">
        <v>4.5</v>
      </c>
      <c r="B353" s="842">
        <v>0.68940000000000001</v>
      </c>
      <c r="C353" s="842">
        <v>0.68940000000000001</v>
      </c>
      <c r="D353" s="842">
        <v>0.6673</v>
      </c>
      <c r="E353" s="842">
        <v>0.6673</v>
      </c>
      <c r="F353" s="842">
        <v>0.6673</v>
      </c>
      <c r="G353" s="842">
        <v>0.59670000000000001</v>
      </c>
      <c r="H353" s="842">
        <v>0.59670000000000001</v>
      </c>
      <c r="I353" s="842">
        <v>0.52110000000000001</v>
      </c>
      <c r="J353" s="842">
        <v>0.52110000000000001</v>
      </c>
      <c r="K353" s="842">
        <v>0.52110000000000001</v>
      </c>
      <c r="L353" s="842">
        <v>0.52110000000000001</v>
      </c>
      <c r="M353" s="842">
        <v>0.52110000000000001</v>
      </c>
    </row>
    <row r="354" spans="1:13">
      <c r="A354" s="850">
        <v>4.5999999999999996</v>
      </c>
      <c r="B354" s="842">
        <v>0.68720000000000003</v>
      </c>
      <c r="C354" s="842">
        <v>0.68720000000000003</v>
      </c>
      <c r="D354" s="842">
        <v>0.6643</v>
      </c>
      <c r="E354" s="842">
        <v>0.6643</v>
      </c>
      <c r="F354" s="842">
        <v>0.6643</v>
      </c>
      <c r="G354" s="842">
        <v>0.59379999999999999</v>
      </c>
      <c r="H354" s="842">
        <v>0.59379999999999999</v>
      </c>
      <c r="I354" s="842">
        <v>0.51819999999999999</v>
      </c>
      <c r="J354" s="842">
        <v>0.51819999999999999</v>
      </c>
      <c r="K354" s="842">
        <v>0.51819999999999999</v>
      </c>
      <c r="L354" s="842">
        <v>0.51819999999999999</v>
      </c>
      <c r="M354" s="842">
        <v>0.51819999999999999</v>
      </c>
    </row>
    <row r="355" spans="1:13">
      <c r="A355" s="850">
        <v>4.7</v>
      </c>
      <c r="B355" s="842">
        <v>0.68520000000000003</v>
      </c>
      <c r="C355" s="842">
        <v>0.68520000000000003</v>
      </c>
      <c r="D355" s="842">
        <v>0.66149999999999998</v>
      </c>
      <c r="E355" s="842">
        <v>0.66149999999999998</v>
      </c>
      <c r="F355" s="842">
        <v>0.66149999999999998</v>
      </c>
      <c r="G355" s="842">
        <v>0.59109999999999996</v>
      </c>
      <c r="H355" s="842">
        <v>0.59109999999999996</v>
      </c>
      <c r="I355" s="842">
        <v>0.51559999999999995</v>
      </c>
      <c r="J355" s="842">
        <v>0.51559999999999995</v>
      </c>
      <c r="K355" s="842">
        <v>0.51559999999999995</v>
      </c>
      <c r="L355" s="842">
        <v>0.51559999999999995</v>
      </c>
      <c r="M355" s="842">
        <v>0.51559999999999995</v>
      </c>
    </row>
    <row r="356" spans="1:13">
      <c r="A356" s="850">
        <v>4.8</v>
      </c>
      <c r="B356" s="842">
        <v>0.68340000000000001</v>
      </c>
      <c r="C356" s="842">
        <v>0.68340000000000001</v>
      </c>
      <c r="D356" s="842">
        <v>0.65900000000000003</v>
      </c>
      <c r="E356" s="842">
        <v>0.65900000000000003</v>
      </c>
      <c r="F356" s="842">
        <v>0.65900000000000003</v>
      </c>
      <c r="G356" s="842">
        <v>0.58850000000000002</v>
      </c>
      <c r="H356" s="842">
        <v>0.58850000000000002</v>
      </c>
      <c r="I356" s="842">
        <v>0.51300000000000001</v>
      </c>
      <c r="J356" s="842">
        <v>0.51300000000000001</v>
      </c>
      <c r="K356" s="842">
        <v>0.51300000000000001</v>
      </c>
      <c r="L356" s="842">
        <v>0.51300000000000001</v>
      </c>
      <c r="M356" s="842">
        <v>0.51300000000000001</v>
      </c>
    </row>
    <row r="357" spans="1:13">
      <c r="A357" s="850">
        <v>4.9000000000000004</v>
      </c>
      <c r="B357" s="842">
        <v>0.68179999999999996</v>
      </c>
      <c r="C357" s="842">
        <v>0.68179999999999996</v>
      </c>
      <c r="D357" s="842">
        <v>0.65659999999999996</v>
      </c>
      <c r="E357" s="842">
        <v>0.65659999999999996</v>
      </c>
      <c r="F357" s="842">
        <v>0.65659999999999996</v>
      </c>
      <c r="G357" s="842">
        <v>0.58599999999999997</v>
      </c>
      <c r="H357" s="842">
        <v>0.58599999999999997</v>
      </c>
      <c r="I357" s="842">
        <v>0.51060000000000005</v>
      </c>
      <c r="J357" s="842">
        <v>0.51060000000000005</v>
      </c>
      <c r="K357" s="842">
        <v>0.51060000000000005</v>
      </c>
      <c r="L357" s="842">
        <v>0.51060000000000005</v>
      </c>
      <c r="M357" s="842">
        <v>0.51060000000000005</v>
      </c>
    </row>
    <row r="358" spans="1:13">
      <c r="A358" s="850">
        <v>5</v>
      </c>
      <c r="B358" s="842">
        <v>0.68030000000000002</v>
      </c>
      <c r="C358" s="842">
        <v>0.68030000000000002</v>
      </c>
      <c r="D358" s="842">
        <v>0.65439999999999998</v>
      </c>
      <c r="E358" s="842">
        <v>0.65439999999999998</v>
      </c>
      <c r="F358" s="842">
        <v>0.65439999999999998</v>
      </c>
      <c r="G358" s="842">
        <v>0.58379999999999999</v>
      </c>
      <c r="H358" s="842">
        <v>0.58379999999999999</v>
      </c>
      <c r="I358" s="842">
        <v>0.50839999999999996</v>
      </c>
      <c r="J358" s="842">
        <v>0.50839999999999996</v>
      </c>
      <c r="K358" s="842">
        <v>0.50839999999999996</v>
      </c>
      <c r="L358" s="842">
        <v>0.50839999999999996</v>
      </c>
      <c r="M358" s="842">
        <v>0.50839999999999996</v>
      </c>
    </row>
    <row r="359" spans="1:13">
      <c r="A359" s="835">
        <v>5.0999999999999996</v>
      </c>
      <c r="B359" s="842">
        <v>0.67889999999999995</v>
      </c>
      <c r="C359" s="842">
        <v>0.67889999999999995</v>
      </c>
      <c r="D359" s="842">
        <v>0.65229999999999999</v>
      </c>
      <c r="E359" s="842">
        <v>0.65229999999999999</v>
      </c>
      <c r="F359" s="842">
        <v>0.65229999999999999</v>
      </c>
      <c r="G359" s="842">
        <v>0.58160000000000001</v>
      </c>
      <c r="H359" s="842">
        <v>0.58160000000000001</v>
      </c>
      <c r="I359" s="842">
        <v>0.50629999999999997</v>
      </c>
      <c r="J359" s="842">
        <v>0.50629999999999997</v>
      </c>
      <c r="K359" s="842">
        <v>0.50629999999999997</v>
      </c>
      <c r="L359" s="842">
        <v>0.50629999999999997</v>
      </c>
      <c r="M359" s="842">
        <v>0.50629999999999997</v>
      </c>
    </row>
    <row r="360" spans="1:13">
      <c r="A360" s="835">
        <v>5.2</v>
      </c>
      <c r="B360" s="842">
        <v>0.67749999999999999</v>
      </c>
      <c r="C360" s="842">
        <v>0.67749999999999999</v>
      </c>
      <c r="D360" s="842">
        <v>0.65029999999999999</v>
      </c>
      <c r="E360" s="842">
        <v>0.65029999999999999</v>
      </c>
      <c r="F360" s="842">
        <v>0.65029999999999999</v>
      </c>
      <c r="G360" s="842">
        <v>0.57950000000000002</v>
      </c>
      <c r="H360" s="842">
        <v>0.57950000000000002</v>
      </c>
      <c r="I360" s="842">
        <v>0.50419999999999998</v>
      </c>
      <c r="J360" s="842">
        <v>0.50419999999999998</v>
      </c>
      <c r="K360" s="842">
        <v>0.50419999999999998</v>
      </c>
      <c r="L360" s="842">
        <v>0.50419999999999998</v>
      </c>
      <c r="M360" s="842">
        <v>0.50419999999999998</v>
      </c>
    </row>
    <row r="361" spans="1:13">
      <c r="A361" s="835">
        <v>5.3</v>
      </c>
      <c r="B361" s="842">
        <v>0.67620000000000002</v>
      </c>
      <c r="C361" s="842">
        <v>0.67620000000000002</v>
      </c>
      <c r="D361" s="842">
        <v>0.64839999999999998</v>
      </c>
      <c r="E361" s="842">
        <v>0.64839999999999998</v>
      </c>
      <c r="F361" s="842">
        <v>0.64839999999999998</v>
      </c>
      <c r="G361" s="842">
        <v>0.5776</v>
      </c>
      <c r="H361" s="842">
        <v>0.5776</v>
      </c>
      <c r="I361" s="842">
        <v>0.50229999999999997</v>
      </c>
      <c r="J361" s="842">
        <v>0.50229999999999997</v>
      </c>
      <c r="K361" s="842">
        <v>0.50229999999999997</v>
      </c>
      <c r="L361" s="842">
        <v>0.50229999999999997</v>
      </c>
      <c r="M361" s="842">
        <v>0.50229999999999997</v>
      </c>
    </row>
    <row r="362" spans="1:13">
      <c r="A362" s="835">
        <v>5.4</v>
      </c>
      <c r="B362" s="842">
        <v>0.67500000000000004</v>
      </c>
      <c r="C362" s="842">
        <v>0.67500000000000004</v>
      </c>
      <c r="D362" s="842">
        <v>0.64670000000000005</v>
      </c>
      <c r="E362" s="842">
        <v>0.64670000000000005</v>
      </c>
      <c r="F362" s="842">
        <v>0.64670000000000005</v>
      </c>
      <c r="G362" s="842">
        <v>0.57579999999999998</v>
      </c>
      <c r="H362" s="842">
        <v>0.57579999999999998</v>
      </c>
      <c r="I362" s="842">
        <v>0.50039999999999996</v>
      </c>
      <c r="J362" s="842">
        <v>0.50039999999999996</v>
      </c>
      <c r="K362" s="842">
        <v>0.50039999999999996</v>
      </c>
      <c r="L362" s="842">
        <v>0.50039999999999996</v>
      </c>
      <c r="M362" s="842">
        <v>0.50039999999999996</v>
      </c>
    </row>
    <row r="363" spans="1:13">
      <c r="A363" s="835">
        <v>5.5</v>
      </c>
      <c r="B363" s="842">
        <v>0.67379999999999995</v>
      </c>
      <c r="C363" s="842">
        <v>0.67379999999999995</v>
      </c>
      <c r="D363" s="842">
        <v>0.64500000000000002</v>
      </c>
      <c r="E363" s="842">
        <v>0.64500000000000002</v>
      </c>
      <c r="F363" s="842">
        <v>0.64500000000000002</v>
      </c>
      <c r="G363" s="842">
        <v>0.57399999999999995</v>
      </c>
      <c r="H363" s="842">
        <v>0.57399999999999995</v>
      </c>
      <c r="I363" s="842">
        <v>0.49869999999999998</v>
      </c>
      <c r="J363" s="842">
        <v>0.49869999999999998</v>
      </c>
      <c r="K363" s="842">
        <v>0.49869999999999998</v>
      </c>
      <c r="L363" s="842">
        <v>0.49869999999999998</v>
      </c>
      <c r="M363" s="842">
        <v>0.49869999999999998</v>
      </c>
    </row>
    <row r="364" spans="1:13">
      <c r="A364" s="835">
        <v>5.6</v>
      </c>
      <c r="B364" s="842">
        <v>0.67259999999999998</v>
      </c>
      <c r="C364" s="842">
        <v>0.67259999999999998</v>
      </c>
      <c r="D364" s="842">
        <v>0.64339999999999997</v>
      </c>
      <c r="E364" s="842">
        <v>0.64339999999999997</v>
      </c>
      <c r="F364" s="842">
        <v>0.64339999999999997</v>
      </c>
      <c r="G364" s="842">
        <v>0.57240000000000002</v>
      </c>
      <c r="H364" s="842">
        <v>0.57240000000000002</v>
      </c>
      <c r="I364" s="842">
        <v>0.49690000000000001</v>
      </c>
      <c r="J364" s="842">
        <v>0.49690000000000001</v>
      </c>
      <c r="K364" s="842">
        <v>0.49690000000000001</v>
      </c>
      <c r="L364" s="842">
        <v>0.49690000000000001</v>
      </c>
      <c r="M364" s="842">
        <v>0.49690000000000001</v>
      </c>
    </row>
    <row r="365" spans="1:13">
      <c r="A365" s="850">
        <v>5.7</v>
      </c>
      <c r="B365" s="842">
        <v>0.6714</v>
      </c>
      <c r="C365" s="842">
        <v>0.6714</v>
      </c>
      <c r="D365" s="842">
        <v>0.64190000000000003</v>
      </c>
      <c r="E365" s="842">
        <v>0.64190000000000003</v>
      </c>
      <c r="F365" s="842">
        <v>0.64190000000000003</v>
      </c>
      <c r="G365" s="842">
        <v>0.57069999999999999</v>
      </c>
      <c r="H365" s="842">
        <v>0.57069999999999999</v>
      </c>
      <c r="I365" s="842">
        <v>0.49519999999999997</v>
      </c>
      <c r="J365" s="842">
        <v>0.49519999999999997</v>
      </c>
      <c r="K365" s="842">
        <v>0.49519999999999997</v>
      </c>
      <c r="L365" s="842">
        <v>0.49519999999999997</v>
      </c>
      <c r="M365" s="842">
        <v>0.49519999999999997</v>
      </c>
    </row>
    <row r="366" spans="1:13">
      <c r="A366" s="835">
        <v>5.8</v>
      </c>
      <c r="B366" s="842">
        <v>0.67020000000000002</v>
      </c>
      <c r="C366" s="842">
        <v>0.67020000000000002</v>
      </c>
      <c r="D366" s="842">
        <v>0.64039999999999997</v>
      </c>
      <c r="E366" s="842">
        <v>0.64039999999999997</v>
      </c>
      <c r="F366" s="842">
        <v>0.64039999999999997</v>
      </c>
      <c r="G366" s="842">
        <v>0.56910000000000005</v>
      </c>
      <c r="H366" s="842">
        <v>0.56910000000000005</v>
      </c>
      <c r="I366" s="842">
        <v>0.49359999999999998</v>
      </c>
      <c r="J366" s="842">
        <v>0.49359999999999998</v>
      </c>
      <c r="K366" s="842">
        <v>0.49359999999999998</v>
      </c>
      <c r="L366" s="842">
        <v>0.49359999999999998</v>
      </c>
      <c r="M366" s="842">
        <v>0.49359999999999998</v>
      </c>
    </row>
    <row r="367" spans="1:13">
      <c r="A367" s="835">
        <v>5.9</v>
      </c>
      <c r="B367" s="842">
        <v>0.66910000000000003</v>
      </c>
      <c r="C367" s="842">
        <v>0.66910000000000003</v>
      </c>
      <c r="D367" s="842">
        <v>0.63890000000000002</v>
      </c>
      <c r="E367" s="842">
        <v>0.63890000000000002</v>
      </c>
      <c r="F367" s="842">
        <v>0.63890000000000002</v>
      </c>
      <c r="G367" s="842">
        <v>0.5675</v>
      </c>
      <c r="H367" s="842">
        <v>0.5675</v>
      </c>
      <c r="I367" s="842">
        <v>0.4919</v>
      </c>
      <c r="J367" s="842">
        <v>0.4919</v>
      </c>
      <c r="K367" s="842">
        <v>0.4919</v>
      </c>
      <c r="L367" s="842">
        <v>0.4919</v>
      </c>
      <c r="M367" s="842">
        <v>0.4919</v>
      </c>
    </row>
    <row r="368" spans="1:13">
      <c r="A368" s="835">
        <v>6</v>
      </c>
      <c r="B368" s="842">
        <v>0.66800000000000004</v>
      </c>
      <c r="C368" s="842">
        <v>0.66800000000000004</v>
      </c>
      <c r="D368" s="842">
        <v>0.63739999999999997</v>
      </c>
      <c r="E368" s="842">
        <v>0.63739999999999997</v>
      </c>
      <c r="F368" s="842">
        <v>0.63739999999999997</v>
      </c>
      <c r="G368" s="842">
        <v>0.56589999999999996</v>
      </c>
      <c r="H368" s="842">
        <v>0.56589999999999996</v>
      </c>
      <c r="I368" s="842">
        <v>0.49020000000000002</v>
      </c>
      <c r="J368" s="842">
        <v>0.49020000000000002</v>
      </c>
      <c r="K368" s="842">
        <v>0.49020000000000002</v>
      </c>
      <c r="L368" s="842">
        <v>0.49020000000000002</v>
      </c>
      <c r="M368" s="842">
        <v>0.49020000000000002</v>
      </c>
    </row>
    <row r="369" spans="1:13">
      <c r="A369" s="835">
        <v>6.1</v>
      </c>
      <c r="B369" s="842">
        <v>0.66690000000000005</v>
      </c>
      <c r="C369" s="842">
        <v>0.66690000000000005</v>
      </c>
      <c r="D369" s="842">
        <v>0.63590000000000002</v>
      </c>
      <c r="E369" s="842">
        <v>0.63590000000000002</v>
      </c>
      <c r="F369" s="842">
        <v>0.63590000000000002</v>
      </c>
      <c r="G369" s="842">
        <v>0.56440000000000001</v>
      </c>
      <c r="H369" s="842">
        <v>0.56440000000000001</v>
      </c>
      <c r="I369" s="842">
        <v>0.48849999999999999</v>
      </c>
      <c r="J369" s="842">
        <v>0.48849999999999999</v>
      </c>
      <c r="K369" s="842">
        <v>0.48849999999999999</v>
      </c>
      <c r="L369" s="842">
        <v>0.48849999999999999</v>
      </c>
      <c r="M369" s="842">
        <v>0.48849999999999999</v>
      </c>
    </row>
    <row r="370" spans="1:13">
      <c r="A370" s="835">
        <v>6.2</v>
      </c>
      <c r="B370" s="842">
        <v>0.66579999999999995</v>
      </c>
      <c r="C370" s="842">
        <v>0.66579999999999995</v>
      </c>
      <c r="D370" s="842">
        <v>0.63439999999999996</v>
      </c>
      <c r="E370" s="842">
        <v>0.63439999999999996</v>
      </c>
      <c r="F370" s="842">
        <v>0.63439999999999996</v>
      </c>
      <c r="G370" s="842">
        <v>0.56289999999999996</v>
      </c>
      <c r="H370" s="842">
        <v>0.56289999999999996</v>
      </c>
      <c r="I370" s="842">
        <v>0.48680000000000001</v>
      </c>
      <c r="J370" s="842">
        <v>0.48680000000000001</v>
      </c>
      <c r="K370" s="842">
        <v>0.48680000000000001</v>
      </c>
      <c r="L370" s="842">
        <v>0.48680000000000001</v>
      </c>
      <c r="M370" s="842">
        <v>0.48680000000000001</v>
      </c>
    </row>
    <row r="371" spans="1:13">
      <c r="A371" s="835">
        <v>6.3</v>
      </c>
      <c r="B371" s="842">
        <v>0.66469999999999996</v>
      </c>
      <c r="C371" s="842">
        <v>0.66469999999999996</v>
      </c>
      <c r="D371" s="842">
        <v>0.63290000000000002</v>
      </c>
      <c r="E371" s="842">
        <v>0.63290000000000002</v>
      </c>
      <c r="F371" s="842">
        <v>0.63290000000000002</v>
      </c>
      <c r="G371" s="842">
        <v>0.56130000000000002</v>
      </c>
      <c r="H371" s="842">
        <v>0.56130000000000002</v>
      </c>
      <c r="I371" s="842">
        <v>0.48509999999999998</v>
      </c>
      <c r="J371" s="842">
        <v>0.48509999999999998</v>
      </c>
      <c r="K371" s="842">
        <v>0.48509999999999998</v>
      </c>
      <c r="L371" s="842">
        <v>0.48509999999999998</v>
      </c>
      <c r="M371" s="842">
        <v>0.48509999999999998</v>
      </c>
    </row>
    <row r="372" spans="1:13">
      <c r="A372" s="835">
        <v>6.4</v>
      </c>
      <c r="B372" s="842">
        <v>0.66359999999999997</v>
      </c>
      <c r="C372" s="842">
        <v>0.66359999999999997</v>
      </c>
      <c r="D372" s="842">
        <v>0.63139999999999996</v>
      </c>
      <c r="E372" s="842">
        <v>0.63139999999999996</v>
      </c>
      <c r="F372" s="842">
        <v>0.63139999999999996</v>
      </c>
      <c r="G372" s="842">
        <v>0.55979999999999996</v>
      </c>
      <c r="H372" s="842">
        <v>0.55979999999999996</v>
      </c>
      <c r="I372" s="842">
        <v>0.48349999999999999</v>
      </c>
      <c r="J372" s="842">
        <v>0.48349999999999999</v>
      </c>
      <c r="K372" s="842">
        <v>0.48349999999999999</v>
      </c>
      <c r="L372" s="842">
        <v>0.48349999999999999</v>
      </c>
      <c r="M372" s="842">
        <v>0.48349999999999999</v>
      </c>
    </row>
    <row r="373" spans="1:13">
      <c r="A373" s="835">
        <v>6.5</v>
      </c>
      <c r="B373" s="842">
        <v>0.66249999999999998</v>
      </c>
      <c r="C373" s="842">
        <v>0.66249999999999998</v>
      </c>
      <c r="D373" s="842">
        <v>0.63</v>
      </c>
      <c r="E373" s="842">
        <v>0.63</v>
      </c>
      <c r="F373" s="842">
        <v>0.63</v>
      </c>
      <c r="G373" s="842">
        <v>0.55820000000000003</v>
      </c>
      <c r="H373" s="842">
        <v>0.55820000000000003</v>
      </c>
      <c r="I373" s="842">
        <v>0.4819</v>
      </c>
      <c r="J373" s="842">
        <v>0.4819</v>
      </c>
      <c r="K373" s="842">
        <v>0.4819</v>
      </c>
      <c r="L373" s="842">
        <v>0.4819</v>
      </c>
      <c r="M373" s="842">
        <v>0.4819</v>
      </c>
    </row>
    <row r="374" spans="1:13">
      <c r="A374" s="835">
        <v>6.6</v>
      </c>
      <c r="B374" s="842">
        <v>0.66149999999999998</v>
      </c>
      <c r="C374" s="842">
        <v>0.66149999999999998</v>
      </c>
      <c r="D374" s="842">
        <v>0.62860000000000005</v>
      </c>
      <c r="E374" s="842">
        <v>0.62860000000000005</v>
      </c>
      <c r="F374" s="842">
        <v>0.62860000000000005</v>
      </c>
      <c r="G374" s="842">
        <v>0.55669999999999997</v>
      </c>
      <c r="H374" s="842">
        <v>0.55669999999999997</v>
      </c>
      <c r="I374" s="842">
        <v>0.4803</v>
      </c>
      <c r="J374" s="842">
        <v>0.4803</v>
      </c>
      <c r="K374" s="842">
        <v>0.4803</v>
      </c>
      <c r="L374" s="842">
        <v>0.4803</v>
      </c>
      <c r="M374" s="842">
        <v>0.4803</v>
      </c>
    </row>
    <row r="375" spans="1:13">
      <c r="A375" s="835">
        <v>6.7</v>
      </c>
      <c r="B375" s="842">
        <v>0.66049999999999998</v>
      </c>
      <c r="C375" s="842">
        <v>0.66049999999999998</v>
      </c>
      <c r="D375" s="842">
        <v>0.62719999999999998</v>
      </c>
      <c r="E375" s="842">
        <v>0.62719999999999998</v>
      </c>
      <c r="F375" s="842">
        <v>0.62719999999999998</v>
      </c>
      <c r="G375" s="842">
        <v>0.55520000000000003</v>
      </c>
      <c r="H375" s="842">
        <v>0.55520000000000003</v>
      </c>
      <c r="I375" s="842">
        <v>0.47870000000000001</v>
      </c>
      <c r="J375" s="842">
        <v>0.47870000000000001</v>
      </c>
      <c r="K375" s="842">
        <v>0.47870000000000001</v>
      </c>
      <c r="L375" s="842">
        <v>0.47870000000000001</v>
      </c>
      <c r="M375" s="842">
        <v>0.47870000000000001</v>
      </c>
    </row>
    <row r="376" spans="1:13">
      <c r="A376" s="835">
        <v>6.8</v>
      </c>
      <c r="B376" s="842">
        <v>0.65949999999999998</v>
      </c>
      <c r="C376" s="842">
        <v>0.65949999999999998</v>
      </c>
      <c r="D376" s="842">
        <v>0.62580000000000002</v>
      </c>
      <c r="E376" s="842">
        <v>0.62580000000000002</v>
      </c>
      <c r="F376" s="842">
        <v>0.62580000000000002</v>
      </c>
      <c r="G376" s="842">
        <v>0.55359999999999998</v>
      </c>
      <c r="H376" s="842">
        <v>0.55359999999999998</v>
      </c>
      <c r="I376" s="842">
        <v>0.47710000000000002</v>
      </c>
      <c r="J376" s="842">
        <v>0.47710000000000002</v>
      </c>
      <c r="K376" s="842">
        <v>0.47710000000000002</v>
      </c>
      <c r="L376" s="842">
        <v>0.47710000000000002</v>
      </c>
      <c r="M376" s="842">
        <v>0.47710000000000002</v>
      </c>
    </row>
    <row r="377" spans="1:13">
      <c r="A377" s="835">
        <v>6.9</v>
      </c>
      <c r="B377" s="842">
        <v>0.65849999999999997</v>
      </c>
      <c r="C377" s="842">
        <v>0.65849999999999997</v>
      </c>
      <c r="D377" s="842">
        <v>0.62439999999999996</v>
      </c>
      <c r="E377" s="842">
        <v>0.62439999999999996</v>
      </c>
      <c r="F377" s="842">
        <v>0.62439999999999996</v>
      </c>
      <c r="G377" s="842">
        <v>0.55220000000000002</v>
      </c>
      <c r="H377" s="842">
        <v>0.55220000000000002</v>
      </c>
      <c r="I377" s="842">
        <v>0.47549999999999998</v>
      </c>
      <c r="J377" s="842">
        <v>0.47549999999999998</v>
      </c>
      <c r="K377" s="842">
        <v>0.47549999999999998</v>
      </c>
      <c r="L377" s="842">
        <v>0.47549999999999998</v>
      </c>
      <c r="M377" s="842">
        <v>0.47549999999999998</v>
      </c>
    </row>
    <row r="378" spans="1:13">
      <c r="A378" s="835">
        <v>7</v>
      </c>
      <c r="B378" s="842">
        <v>0.65749999999999997</v>
      </c>
      <c r="C378" s="842">
        <v>0.65749999999999997</v>
      </c>
      <c r="D378" s="842">
        <v>0.623</v>
      </c>
      <c r="E378" s="842">
        <v>0.623</v>
      </c>
      <c r="F378" s="842">
        <v>0.623</v>
      </c>
      <c r="G378" s="842">
        <v>0.55069999999999997</v>
      </c>
      <c r="H378" s="842">
        <v>0.55069999999999997</v>
      </c>
      <c r="I378" s="842">
        <v>0.47389999999999999</v>
      </c>
      <c r="J378" s="842">
        <v>0.47389999999999999</v>
      </c>
      <c r="K378" s="842">
        <v>0.47389999999999999</v>
      </c>
      <c r="L378" s="842">
        <v>0.47389999999999999</v>
      </c>
      <c r="M378" s="842">
        <v>0.47389999999999999</v>
      </c>
    </row>
    <row r="379" spans="1:13">
      <c r="A379" s="835">
        <v>7.1</v>
      </c>
      <c r="B379" s="842">
        <v>0.65649999999999997</v>
      </c>
      <c r="C379" s="842">
        <v>0.65649999999999997</v>
      </c>
      <c r="D379" s="842">
        <v>0.62160000000000004</v>
      </c>
      <c r="E379" s="842">
        <v>0.62160000000000004</v>
      </c>
      <c r="F379" s="842">
        <v>0.62160000000000004</v>
      </c>
      <c r="G379" s="842">
        <v>0.54930000000000001</v>
      </c>
      <c r="H379" s="842">
        <v>0.54930000000000001</v>
      </c>
      <c r="I379" s="842">
        <v>0.47239999999999999</v>
      </c>
      <c r="J379" s="842">
        <v>0.47239999999999999</v>
      </c>
      <c r="K379" s="842">
        <v>0.47239999999999999</v>
      </c>
      <c r="L379" s="842">
        <v>0.47239999999999999</v>
      </c>
      <c r="M379" s="842">
        <v>0.47239999999999999</v>
      </c>
    </row>
    <row r="380" spans="1:13">
      <c r="A380" s="835">
        <v>7.2</v>
      </c>
      <c r="B380" s="842">
        <v>0.65549999999999997</v>
      </c>
      <c r="C380" s="842">
        <v>0.65549999999999997</v>
      </c>
      <c r="D380" s="842">
        <v>0.62019999999999997</v>
      </c>
      <c r="E380" s="842">
        <v>0.62019999999999997</v>
      </c>
      <c r="F380" s="842">
        <v>0.62019999999999997</v>
      </c>
      <c r="G380" s="842">
        <v>0.54779999999999995</v>
      </c>
      <c r="H380" s="842">
        <v>0.54779999999999995</v>
      </c>
      <c r="I380" s="842">
        <v>0.47089999999999999</v>
      </c>
      <c r="J380" s="842">
        <v>0.47089999999999999</v>
      </c>
      <c r="K380" s="842">
        <v>0.47089999999999999</v>
      </c>
      <c r="L380" s="842">
        <v>0.47089999999999999</v>
      </c>
      <c r="M380" s="842">
        <v>0.47089999999999999</v>
      </c>
    </row>
    <row r="381" spans="1:13">
      <c r="A381" s="835">
        <v>7.3</v>
      </c>
      <c r="B381" s="842">
        <v>0.65449999999999997</v>
      </c>
      <c r="C381" s="842">
        <v>0.65449999999999997</v>
      </c>
      <c r="D381" s="842">
        <v>0.61880000000000002</v>
      </c>
      <c r="E381" s="842">
        <v>0.61880000000000002</v>
      </c>
      <c r="F381" s="842">
        <v>0.61880000000000002</v>
      </c>
      <c r="G381" s="842">
        <v>0.5464</v>
      </c>
      <c r="H381" s="842">
        <v>0.5464</v>
      </c>
      <c r="I381" s="842">
        <v>0.46939999999999998</v>
      </c>
      <c r="J381" s="842">
        <v>0.46939999999999998</v>
      </c>
      <c r="K381" s="842">
        <v>0.46939999999999998</v>
      </c>
      <c r="L381" s="842">
        <v>0.46939999999999998</v>
      </c>
      <c r="M381" s="842">
        <v>0.46939999999999998</v>
      </c>
    </row>
    <row r="382" spans="1:13">
      <c r="A382" s="835">
        <v>7.4</v>
      </c>
      <c r="B382" s="842">
        <v>0.65349999999999997</v>
      </c>
      <c r="C382" s="842">
        <v>0.65349999999999997</v>
      </c>
      <c r="D382" s="842">
        <v>0.61750000000000005</v>
      </c>
      <c r="E382" s="842">
        <v>0.61750000000000005</v>
      </c>
      <c r="F382" s="842">
        <v>0.61750000000000005</v>
      </c>
      <c r="G382" s="842">
        <v>0.54490000000000005</v>
      </c>
      <c r="H382" s="842">
        <v>0.54490000000000005</v>
      </c>
      <c r="I382" s="842">
        <v>0.46779999999999999</v>
      </c>
      <c r="J382" s="842">
        <v>0.46779999999999999</v>
      </c>
      <c r="K382" s="842">
        <v>0.46779999999999999</v>
      </c>
      <c r="L382" s="842">
        <v>0.46779999999999999</v>
      </c>
      <c r="M382" s="842">
        <v>0.46779999999999999</v>
      </c>
    </row>
    <row r="383" spans="1:13">
      <c r="A383" s="835">
        <v>7.5</v>
      </c>
      <c r="B383" s="842">
        <v>0.65249999999999997</v>
      </c>
      <c r="C383" s="842">
        <v>0.65249999999999997</v>
      </c>
      <c r="D383" s="842">
        <v>0.61619999999999997</v>
      </c>
      <c r="E383" s="842">
        <v>0.61619999999999997</v>
      </c>
      <c r="F383" s="842">
        <v>0.61619999999999997</v>
      </c>
      <c r="G383" s="842">
        <v>0.54349999999999998</v>
      </c>
      <c r="H383" s="842">
        <v>0.54349999999999998</v>
      </c>
      <c r="I383" s="842">
        <v>0.46629999999999999</v>
      </c>
      <c r="J383" s="842">
        <v>0.46629999999999999</v>
      </c>
      <c r="K383" s="842">
        <v>0.46629999999999999</v>
      </c>
      <c r="L383" s="842">
        <v>0.46629999999999999</v>
      </c>
      <c r="M383" s="842">
        <v>0.46629999999999999</v>
      </c>
    </row>
    <row r="384" spans="1:13">
      <c r="A384" s="835">
        <v>7.6</v>
      </c>
      <c r="B384" s="842">
        <v>0.65149999999999997</v>
      </c>
      <c r="C384" s="842">
        <v>0.65149999999999997</v>
      </c>
      <c r="D384" s="842">
        <v>0.6149</v>
      </c>
      <c r="E384" s="842">
        <v>0.6149</v>
      </c>
      <c r="F384" s="842">
        <v>0.6149</v>
      </c>
      <c r="G384" s="842">
        <v>0.54200000000000004</v>
      </c>
      <c r="H384" s="842">
        <v>0.54200000000000004</v>
      </c>
      <c r="I384" s="842">
        <v>0.46479999999999999</v>
      </c>
      <c r="J384" s="842">
        <v>0.46479999999999999</v>
      </c>
      <c r="K384" s="842">
        <v>0.46479999999999999</v>
      </c>
      <c r="L384" s="842">
        <v>0.46479999999999999</v>
      </c>
      <c r="M384" s="842">
        <v>0.46479999999999999</v>
      </c>
    </row>
    <row r="385" spans="1:13">
      <c r="A385" s="835">
        <v>7.7</v>
      </c>
      <c r="B385" s="842">
        <v>0.65049999999999997</v>
      </c>
      <c r="C385" s="842">
        <v>0.65049999999999997</v>
      </c>
      <c r="D385" s="842">
        <v>0.61360000000000003</v>
      </c>
      <c r="E385" s="842">
        <v>0.61360000000000003</v>
      </c>
      <c r="F385" s="842">
        <v>0.61360000000000003</v>
      </c>
      <c r="G385" s="842">
        <v>0.54059999999999997</v>
      </c>
      <c r="H385" s="842">
        <v>0.54059999999999997</v>
      </c>
      <c r="I385" s="842">
        <v>0.46329999999999999</v>
      </c>
      <c r="J385" s="842">
        <v>0.46329999999999999</v>
      </c>
      <c r="K385" s="842">
        <v>0.46329999999999999</v>
      </c>
      <c r="L385" s="842">
        <v>0.46329999999999999</v>
      </c>
      <c r="M385" s="842">
        <v>0.46329999999999999</v>
      </c>
    </row>
    <row r="386" spans="1:13">
      <c r="A386" s="835">
        <v>7.8</v>
      </c>
      <c r="B386" s="842">
        <v>0.64949999999999997</v>
      </c>
      <c r="C386" s="842">
        <v>0.64949999999999997</v>
      </c>
      <c r="D386" s="842">
        <v>0.61229999999999996</v>
      </c>
      <c r="E386" s="842">
        <v>0.61229999999999996</v>
      </c>
      <c r="F386" s="842">
        <v>0.61229999999999996</v>
      </c>
      <c r="G386" s="842">
        <v>0.53910000000000002</v>
      </c>
      <c r="H386" s="842">
        <v>0.53910000000000002</v>
      </c>
      <c r="I386" s="842">
        <v>0.4617</v>
      </c>
      <c r="J386" s="842">
        <v>0.4617</v>
      </c>
      <c r="K386" s="842">
        <v>0.4617</v>
      </c>
      <c r="L386" s="842">
        <v>0.4617</v>
      </c>
      <c r="M386" s="842">
        <v>0.4617</v>
      </c>
    </row>
    <row r="387" spans="1:13">
      <c r="A387" s="835">
        <v>7.9</v>
      </c>
      <c r="B387" s="842">
        <v>0.64849999999999997</v>
      </c>
      <c r="C387" s="842">
        <v>0.64849999999999997</v>
      </c>
      <c r="D387" s="842">
        <v>0.61099999999999999</v>
      </c>
      <c r="E387" s="842">
        <v>0.61099999999999999</v>
      </c>
      <c r="F387" s="842">
        <v>0.61099999999999999</v>
      </c>
      <c r="G387" s="842">
        <v>0.53769999999999996</v>
      </c>
      <c r="H387" s="842">
        <v>0.53769999999999996</v>
      </c>
      <c r="I387" s="842">
        <v>0.4602</v>
      </c>
      <c r="J387" s="842">
        <v>0.4602</v>
      </c>
      <c r="K387" s="842">
        <v>0.4602</v>
      </c>
      <c r="L387" s="842">
        <v>0.4602</v>
      </c>
      <c r="M387" s="842">
        <v>0.4602</v>
      </c>
    </row>
    <row r="388" spans="1:13">
      <c r="A388" s="835">
        <v>8</v>
      </c>
      <c r="B388" s="842">
        <v>0.64749999999999996</v>
      </c>
      <c r="C388" s="842">
        <v>0.64749999999999996</v>
      </c>
      <c r="D388" s="842">
        <v>0.60970000000000002</v>
      </c>
      <c r="E388" s="842">
        <v>0.60970000000000002</v>
      </c>
      <c r="F388" s="842">
        <v>0.60970000000000002</v>
      </c>
      <c r="G388" s="842">
        <v>0.53620000000000001</v>
      </c>
      <c r="H388" s="842">
        <v>0.53620000000000001</v>
      </c>
      <c r="I388" s="842">
        <v>0.4587</v>
      </c>
      <c r="J388" s="842">
        <v>0.4587</v>
      </c>
      <c r="K388" s="842">
        <v>0.4587</v>
      </c>
      <c r="L388" s="842">
        <v>0.4587</v>
      </c>
      <c r="M388" s="842">
        <v>0.4587</v>
      </c>
    </row>
    <row r="389" spans="1:13">
      <c r="A389" s="835">
        <v>8.1</v>
      </c>
      <c r="B389" s="842">
        <v>0.64649999999999996</v>
      </c>
      <c r="C389" s="842">
        <v>0.64649999999999996</v>
      </c>
      <c r="D389" s="842">
        <v>0.60840000000000005</v>
      </c>
      <c r="E389" s="842">
        <v>0.60840000000000005</v>
      </c>
      <c r="F389" s="842">
        <v>0.60840000000000005</v>
      </c>
      <c r="G389" s="842">
        <v>0.53480000000000005</v>
      </c>
      <c r="H389" s="842">
        <v>0.53480000000000005</v>
      </c>
      <c r="I389" s="842">
        <v>0.4572</v>
      </c>
      <c r="J389" s="842">
        <v>0.4572</v>
      </c>
      <c r="K389" s="842">
        <v>0.4572</v>
      </c>
      <c r="L389" s="842">
        <v>0.4572</v>
      </c>
      <c r="M389" s="842">
        <v>0.4572</v>
      </c>
    </row>
    <row r="390" spans="1:13">
      <c r="A390" s="835">
        <v>8.1999999999999993</v>
      </c>
      <c r="B390" s="842">
        <v>0.64549999999999996</v>
      </c>
      <c r="C390" s="842">
        <v>0.64549999999999996</v>
      </c>
      <c r="D390" s="842">
        <v>0.60709999999999997</v>
      </c>
      <c r="E390" s="842">
        <v>0.60709999999999997</v>
      </c>
      <c r="F390" s="842">
        <v>0.60709999999999997</v>
      </c>
      <c r="G390" s="842">
        <v>0.5333</v>
      </c>
      <c r="H390" s="842">
        <v>0.5333</v>
      </c>
      <c r="I390" s="842">
        <v>0.45569999999999999</v>
      </c>
      <c r="J390" s="842">
        <v>0.45569999999999999</v>
      </c>
      <c r="K390" s="842">
        <v>0.45569999999999999</v>
      </c>
      <c r="L390" s="842">
        <v>0.45569999999999999</v>
      </c>
      <c r="M390" s="842">
        <v>0.45569999999999999</v>
      </c>
    </row>
    <row r="391" spans="1:13">
      <c r="A391" s="835">
        <v>8.3000000000000007</v>
      </c>
      <c r="B391" s="842">
        <v>0.64449999999999996</v>
      </c>
      <c r="C391" s="842">
        <v>0.64449999999999996</v>
      </c>
      <c r="D391" s="842">
        <v>0.60580000000000001</v>
      </c>
      <c r="E391" s="842">
        <v>0.60580000000000001</v>
      </c>
      <c r="F391" s="842">
        <v>0.60580000000000001</v>
      </c>
      <c r="G391" s="842">
        <v>0.53190000000000004</v>
      </c>
      <c r="H391" s="842">
        <v>0.53190000000000004</v>
      </c>
      <c r="I391" s="842">
        <v>0.45429999999999998</v>
      </c>
      <c r="J391" s="842">
        <v>0.45429999999999998</v>
      </c>
      <c r="K391" s="842">
        <v>0.45429999999999998</v>
      </c>
      <c r="L391" s="842">
        <v>0.45429999999999998</v>
      </c>
      <c r="M391" s="842">
        <v>0.45429999999999998</v>
      </c>
    </row>
    <row r="392" spans="1:13">
      <c r="A392" s="835">
        <v>8.4</v>
      </c>
      <c r="B392" s="842">
        <v>0.64349999999999996</v>
      </c>
      <c r="C392" s="842">
        <v>0.64349999999999996</v>
      </c>
      <c r="D392" s="842">
        <v>0.60450000000000004</v>
      </c>
      <c r="E392" s="842">
        <v>0.60450000000000004</v>
      </c>
      <c r="F392" s="842">
        <v>0.60450000000000004</v>
      </c>
      <c r="G392" s="842">
        <v>0.53039999999999998</v>
      </c>
      <c r="H392" s="842">
        <v>0.53039999999999998</v>
      </c>
      <c r="I392" s="842">
        <v>0.45290000000000002</v>
      </c>
      <c r="J392" s="842">
        <v>0.45290000000000002</v>
      </c>
      <c r="K392" s="842">
        <v>0.45290000000000002</v>
      </c>
      <c r="L392" s="842">
        <v>0.45290000000000002</v>
      </c>
      <c r="M392" s="842">
        <v>0.45290000000000002</v>
      </c>
    </row>
    <row r="393" spans="1:13">
      <c r="A393" s="835">
        <v>8.5</v>
      </c>
      <c r="B393" s="842">
        <v>0.64249999999999996</v>
      </c>
      <c r="C393" s="842">
        <v>0.64249999999999996</v>
      </c>
      <c r="D393" s="842">
        <v>0.60319999999999996</v>
      </c>
      <c r="E393" s="842">
        <v>0.60319999999999996</v>
      </c>
      <c r="F393" s="842">
        <v>0.60319999999999996</v>
      </c>
      <c r="G393" s="842">
        <v>0.52900000000000003</v>
      </c>
      <c r="H393" s="842">
        <v>0.52900000000000003</v>
      </c>
      <c r="I393" s="842">
        <v>0.45140000000000002</v>
      </c>
      <c r="J393" s="842">
        <v>0.45140000000000002</v>
      </c>
      <c r="K393" s="842">
        <v>0.45140000000000002</v>
      </c>
      <c r="L393" s="842">
        <v>0.45140000000000002</v>
      </c>
      <c r="M393" s="842">
        <v>0.45140000000000002</v>
      </c>
    </row>
    <row r="394" spans="1:13">
      <c r="A394" s="835">
        <v>8.6</v>
      </c>
      <c r="B394" s="842">
        <v>0.64149999999999996</v>
      </c>
      <c r="C394" s="842">
        <v>0.64149999999999996</v>
      </c>
      <c r="D394" s="842">
        <v>0.60189999999999999</v>
      </c>
      <c r="E394" s="842">
        <v>0.60189999999999999</v>
      </c>
      <c r="F394" s="842">
        <v>0.60189999999999999</v>
      </c>
      <c r="G394" s="842">
        <v>0.52749999999999997</v>
      </c>
      <c r="H394" s="842">
        <v>0.52749999999999997</v>
      </c>
      <c r="I394" s="842">
        <v>0.45</v>
      </c>
      <c r="J394" s="842">
        <v>0.45</v>
      </c>
      <c r="K394" s="842">
        <v>0.45</v>
      </c>
      <c r="L394" s="842">
        <v>0.45</v>
      </c>
      <c r="M394" s="842">
        <v>0.45</v>
      </c>
    </row>
    <row r="395" spans="1:13">
      <c r="A395" s="835">
        <v>8.6999999999999993</v>
      </c>
      <c r="B395" s="842">
        <v>0.64049999999999996</v>
      </c>
      <c r="C395" s="842">
        <v>0.64049999999999996</v>
      </c>
      <c r="D395" s="842">
        <v>0.60060000000000002</v>
      </c>
      <c r="E395" s="842">
        <v>0.60060000000000002</v>
      </c>
      <c r="F395" s="842">
        <v>0.60060000000000002</v>
      </c>
      <c r="G395" s="842">
        <v>0.52610000000000001</v>
      </c>
      <c r="H395" s="842">
        <v>0.52610000000000001</v>
      </c>
      <c r="I395" s="842">
        <v>0.44850000000000001</v>
      </c>
      <c r="J395" s="842">
        <v>0.44850000000000001</v>
      </c>
      <c r="K395" s="842">
        <v>0.44850000000000001</v>
      </c>
      <c r="L395" s="842">
        <v>0.44850000000000001</v>
      </c>
      <c r="M395" s="842">
        <v>0.44850000000000001</v>
      </c>
    </row>
    <row r="396" spans="1:13">
      <c r="A396" s="835">
        <v>8.8000000000000007</v>
      </c>
      <c r="B396" s="842">
        <v>0.63949999999999996</v>
      </c>
      <c r="C396" s="842">
        <v>0.63949999999999996</v>
      </c>
      <c r="D396" s="842">
        <v>0.59930000000000005</v>
      </c>
      <c r="E396" s="842">
        <v>0.59930000000000005</v>
      </c>
      <c r="F396" s="842">
        <v>0.59930000000000005</v>
      </c>
      <c r="G396" s="842">
        <v>0.52459999999999996</v>
      </c>
      <c r="H396" s="842">
        <v>0.52459999999999996</v>
      </c>
      <c r="I396" s="842">
        <v>0.4471</v>
      </c>
      <c r="J396" s="842">
        <v>0.4471</v>
      </c>
      <c r="K396" s="842">
        <v>0.4471</v>
      </c>
      <c r="L396" s="842">
        <v>0.4471</v>
      </c>
      <c r="M396" s="842">
        <v>0.4471</v>
      </c>
    </row>
    <row r="397" spans="1:13">
      <c r="A397" s="835">
        <v>8.9</v>
      </c>
      <c r="B397" s="842">
        <v>0.63849999999999996</v>
      </c>
      <c r="C397" s="842">
        <v>0.63849999999999996</v>
      </c>
      <c r="D397" s="842">
        <v>0.59799999999999998</v>
      </c>
      <c r="E397" s="842">
        <v>0.59799999999999998</v>
      </c>
      <c r="F397" s="842">
        <v>0.59799999999999998</v>
      </c>
      <c r="G397" s="842">
        <v>0.5232</v>
      </c>
      <c r="H397" s="842">
        <v>0.5232</v>
      </c>
      <c r="I397" s="842">
        <v>0.4456</v>
      </c>
      <c r="J397" s="842">
        <v>0.4456</v>
      </c>
      <c r="K397" s="842">
        <v>0.4456</v>
      </c>
      <c r="L397" s="842">
        <v>0.4456</v>
      </c>
      <c r="M397" s="842">
        <v>0.4456</v>
      </c>
    </row>
    <row r="398" spans="1:13">
      <c r="A398" s="850">
        <v>9</v>
      </c>
      <c r="B398" s="842">
        <v>0.63749999999999996</v>
      </c>
      <c r="C398" s="842">
        <v>0.63749999999999996</v>
      </c>
      <c r="D398" s="842">
        <v>0.59670000000000001</v>
      </c>
      <c r="E398" s="842">
        <v>0.59670000000000001</v>
      </c>
      <c r="F398" s="842">
        <v>0.59670000000000001</v>
      </c>
      <c r="G398" s="842">
        <v>0.52170000000000005</v>
      </c>
      <c r="H398" s="842">
        <v>0.52170000000000005</v>
      </c>
      <c r="I398" s="842">
        <v>0.44429999999999997</v>
      </c>
      <c r="J398" s="842">
        <v>0.44429999999999997</v>
      </c>
      <c r="K398" s="842">
        <v>0.44429999999999997</v>
      </c>
      <c r="L398" s="842">
        <v>0.44429999999999997</v>
      </c>
      <c r="M398" s="842">
        <v>0.44429999999999997</v>
      </c>
    </row>
    <row r="399" spans="1:13">
      <c r="A399" s="850">
        <v>9.1</v>
      </c>
      <c r="B399" s="842">
        <v>0.63649999999999995</v>
      </c>
      <c r="C399" s="842">
        <v>0.63649999999999995</v>
      </c>
      <c r="D399" s="842">
        <v>0.59540000000000004</v>
      </c>
      <c r="E399" s="842">
        <v>0.59540000000000004</v>
      </c>
      <c r="F399" s="842">
        <v>0.59540000000000004</v>
      </c>
      <c r="G399" s="842">
        <v>0.52029999999999998</v>
      </c>
      <c r="H399" s="842">
        <v>0.52029999999999998</v>
      </c>
      <c r="I399" s="842">
        <v>0.44290000000000002</v>
      </c>
      <c r="J399" s="842">
        <v>0.44290000000000002</v>
      </c>
      <c r="K399" s="842">
        <v>0.44290000000000002</v>
      </c>
      <c r="L399" s="842">
        <v>0.44290000000000002</v>
      </c>
      <c r="M399" s="842">
        <v>0.44290000000000002</v>
      </c>
    </row>
    <row r="400" spans="1:13">
      <c r="A400" s="850">
        <v>9.1999999999999993</v>
      </c>
      <c r="B400" s="842">
        <v>0.63549999999999995</v>
      </c>
      <c r="C400" s="842">
        <v>0.63549999999999995</v>
      </c>
      <c r="D400" s="842">
        <v>0.59409999999999996</v>
      </c>
      <c r="E400" s="842">
        <v>0.59409999999999996</v>
      </c>
      <c r="F400" s="842">
        <v>0.59409999999999996</v>
      </c>
      <c r="G400" s="842">
        <v>0.51880000000000004</v>
      </c>
      <c r="H400" s="842">
        <v>0.51880000000000004</v>
      </c>
      <c r="I400" s="842">
        <v>0.44159999999999999</v>
      </c>
      <c r="J400" s="842">
        <v>0.44159999999999999</v>
      </c>
      <c r="K400" s="842">
        <v>0.44159999999999999</v>
      </c>
      <c r="L400" s="842">
        <v>0.44159999999999999</v>
      </c>
      <c r="M400" s="842">
        <v>0.44159999999999999</v>
      </c>
    </row>
    <row r="401" spans="1:13">
      <c r="A401" s="850">
        <v>9.3000000000000007</v>
      </c>
      <c r="B401" s="842">
        <v>0.63449999999999995</v>
      </c>
      <c r="C401" s="842">
        <v>0.63449999999999995</v>
      </c>
      <c r="D401" s="842">
        <v>0.59279999999999999</v>
      </c>
      <c r="E401" s="842">
        <v>0.59279999999999999</v>
      </c>
      <c r="F401" s="842">
        <v>0.59279999999999999</v>
      </c>
      <c r="G401" s="842">
        <v>0.51739999999999997</v>
      </c>
      <c r="H401" s="842">
        <v>0.51739999999999997</v>
      </c>
      <c r="I401" s="842">
        <v>0.44019999999999998</v>
      </c>
      <c r="J401" s="842">
        <v>0.44019999999999998</v>
      </c>
      <c r="K401" s="842">
        <v>0.44019999999999998</v>
      </c>
      <c r="L401" s="842">
        <v>0.44019999999999998</v>
      </c>
      <c r="M401" s="842">
        <v>0.44019999999999998</v>
      </c>
    </row>
    <row r="402" spans="1:13">
      <c r="A402" s="850">
        <v>9.4</v>
      </c>
      <c r="B402" s="842">
        <v>0.63349999999999995</v>
      </c>
      <c r="C402" s="842">
        <v>0.63349999999999995</v>
      </c>
      <c r="D402" s="842">
        <v>0.59150000000000003</v>
      </c>
      <c r="E402" s="842">
        <v>0.59150000000000003</v>
      </c>
      <c r="F402" s="842">
        <v>0.59150000000000003</v>
      </c>
      <c r="G402" s="842">
        <v>0.51600000000000001</v>
      </c>
      <c r="H402" s="842">
        <v>0.51600000000000001</v>
      </c>
      <c r="I402" s="842">
        <v>0.43880000000000002</v>
      </c>
      <c r="J402" s="842">
        <v>0.43880000000000002</v>
      </c>
      <c r="K402" s="842">
        <v>0.43880000000000002</v>
      </c>
      <c r="L402" s="842">
        <v>0.43880000000000002</v>
      </c>
      <c r="M402" s="842">
        <v>0.43880000000000002</v>
      </c>
    </row>
    <row r="403" spans="1:13">
      <c r="A403" s="850">
        <v>9.5</v>
      </c>
      <c r="B403" s="842">
        <v>0.63249999999999995</v>
      </c>
      <c r="C403" s="842">
        <v>0.63249999999999995</v>
      </c>
      <c r="D403" s="842">
        <v>0.59030000000000005</v>
      </c>
      <c r="E403" s="842">
        <v>0.59030000000000005</v>
      </c>
      <c r="F403" s="842">
        <v>0.59030000000000005</v>
      </c>
      <c r="G403" s="842">
        <v>0.51470000000000005</v>
      </c>
      <c r="H403" s="842">
        <v>0.51470000000000005</v>
      </c>
      <c r="I403" s="842">
        <v>0.4375</v>
      </c>
      <c r="J403" s="842">
        <v>0.4375</v>
      </c>
      <c r="K403" s="842">
        <v>0.4375</v>
      </c>
      <c r="L403" s="842">
        <v>0.4375</v>
      </c>
      <c r="M403" s="842">
        <v>0.4375</v>
      </c>
    </row>
    <row r="404" spans="1:13">
      <c r="A404" s="850">
        <v>9.6</v>
      </c>
      <c r="B404" s="842">
        <v>0.63149999999999995</v>
      </c>
      <c r="C404" s="842">
        <v>0.63149999999999995</v>
      </c>
      <c r="D404" s="842">
        <v>0.58909999999999996</v>
      </c>
      <c r="E404" s="842">
        <v>0.58909999999999996</v>
      </c>
      <c r="F404" s="842">
        <v>0.58909999999999996</v>
      </c>
      <c r="G404" s="842">
        <v>0.51329999999999998</v>
      </c>
      <c r="H404" s="842">
        <v>0.51329999999999998</v>
      </c>
      <c r="I404" s="842">
        <v>0.43609999999999999</v>
      </c>
      <c r="J404" s="842">
        <v>0.43609999999999999</v>
      </c>
      <c r="K404" s="842">
        <v>0.43609999999999999</v>
      </c>
      <c r="L404" s="842">
        <v>0.43609999999999999</v>
      </c>
      <c r="M404" s="842">
        <v>0.43609999999999999</v>
      </c>
    </row>
    <row r="405" spans="1:13">
      <c r="A405" s="850">
        <v>9.6999999999999993</v>
      </c>
      <c r="B405" s="842">
        <v>0.63049999999999995</v>
      </c>
      <c r="C405" s="842">
        <v>0.63049999999999995</v>
      </c>
      <c r="D405" s="842">
        <v>0.58789999999999998</v>
      </c>
      <c r="E405" s="842">
        <v>0.58789999999999998</v>
      </c>
      <c r="F405" s="842">
        <v>0.58789999999999998</v>
      </c>
      <c r="G405" s="842">
        <v>0.51200000000000001</v>
      </c>
      <c r="H405" s="842">
        <v>0.51200000000000001</v>
      </c>
      <c r="I405" s="842">
        <v>0.43480000000000002</v>
      </c>
      <c r="J405" s="842">
        <v>0.43480000000000002</v>
      </c>
      <c r="K405" s="842">
        <v>0.43480000000000002</v>
      </c>
      <c r="L405" s="842">
        <v>0.43480000000000002</v>
      </c>
      <c r="M405" s="842">
        <v>0.43480000000000002</v>
      </c>
    </row>
    <row r="406" spans="1:13">
      <c r="A406" s="850">
        <v>9.8000000000000007</v>
      </c>
      <c r="B406" s="842">
        <v>0.62949999999999995</v>
      </c>
      <c r="C406" s="842">
        <v>0.62949999999999995</v>
      </c>
      <c r="D406" s="842">
        <v>0.5867</v>
      </c>
      <c r="E406" s="842">
        <v>0.5867</v>
      </c>
      <c r="F406" s="842">
        <v>0.5867</v>
      </c>
      <c r="G406" s="842">
        <v>0.51060000000000005</v>
      </c>
      <c r="H406" s="842">
        <v>0.51060000000000005</v>
      </c>
      <c r="I406" s="842">
        <v>0.43340000000000001</v>
      </c>
      <c r="J406" s="842">
        <v>0.43340000000000001</v>
      </c>
      <c r="K406" s="842">
        <v>0.43340000000000001</v>
      </c>
      <c r="L406" s="842">
        <v>0.43340000000000001</v>
      </c>
      <c r="M406" s="842">
        <v>0.43340000000000001</v>
      </c>
    </row>
    <row r="407" spans="1:13">
      <c r="A407" s="850">
        <v>9.9</v>
      </c>
      <c r="B407" s="842">
        <v>0.62849999999999995</v>
      </c>
      <c r="C407" s="842">
        <v>0.62849999999999995</v>
      </c>
      <c r="D407" s="842">
        <v>0.58550000000000002</v>
      </c>
      <c r="E407" s="842">
        <v>0.58550000000000002</v>
      </c>
      <c r="F407" s="842">
        <v>0.58550000000000002</v>
      </c>
      <c r="G407" s="842">
        <v>0.50919999999999999</v>
      </c>
      <c r="H407" s="842">
        <v>0.50919999999999999</v>
      </c>
      <c r="I407" s="842">
        <v>0.432</v>
      </c>
      <c r="J407" s="842">
        <v>0.432</v>
      </c>
      <c r="K407" s="842">
        <v>0.432</v>
      </c>
      <c r="L407" s="842">
        <v>0.432</v>
      </c>
      <c r="M407" s="842">
        <v>0.432</v>
      </c>
    </row>
    <row r="408" spans="1:13">
      <c r="A408" s="850">
        <v>10</v>
      </c>
      <c r="B408" s="842">
        <v>0.62749999999999995</v>
      </c>
      <c r="C408" s="842">
        <v>0.62749999999999995</v>
      </c>
      <c r="D408" s="842">
        <v>0.58430000000000004</v>
      </c>
      <c r="E408" s="842">
        <v>0.58430000000000004</v>
      </c>
      <c r="F408" s="842">
        <v>0.58430000000000004</v>
      </c>
      <c r="G408" s="842">
        <v>0.50790000000000002</v>
      </c>
      <c r="H408" s="842">
        <v>0.50790000000000002</v>
      </c>
      <c r="I408" s="842">
        <v>0.43070000000000003</v>
      </c>
      <c r="J408" s="842">
        <v>0.43070000000000003</v>
      </c>
      <c r="K408" s="842">
        <v>0.43070000000000003</v>
      </c>
      <c r="L408" s="842">
        <v>0.43070000000000003</v>
      </c>
      <c r="M408" s="842">
        <v>0.43070000000000003</v>
      </c>
    </row>
  </sheetData>
  <sheetProtection password="C66D" sheet="1" objects="1" scenarios="1" formatCells="0" formatColumns="0" formatRows="0"/>
  <phoneticPr fontId="78"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P21"/>
  <sheetViews>
    <sheetView view="pageBreakPreview" zoomScaleNormal="100" zoomScaleSheetLayoutView="100" workbookViewId="0">
      <selection activeCell="F7" sqref="C7:Q40"/>
    </sheetView>
  </sheetViews>
  <sheetFormatPr defaultColWidth="9" defaultRowHeight="14.25"/>
  <cols>
    <col min="1" max="1" width="23.375" style="1652" customWidth="1"/>
    <col min="2" max="2" width="12.5" style="1652" customWidth="1"/>
    <col min="3" max="3" width="12.125" style="1652" customWidth="1"/>
    <col min="4" max="4" width="14.125" style="1652" customWidth="1"/>
    <col min="5" max="5" width="12.5" style="1652" customWidth="1"/>
    <col min="6" max="16384" width="9" style="1652"/>
  </cols>
  <sheetData>
    <row r="1" spans="1:16" ht="21">
      <c r="A1" s="2040" t="s">
        <v>2806</v>
      </c>
      <c r="B1" s="2347"/>
      <c r="C1" s="2347"/>
      <c r="D1" s="2347"/>
      <c r="E1" s="2347"/>
      <c r="F1" s="3004"/>
      <c r="G1" s="3004"/>
      <c r="H1" s="3004"/>
      <c r="I1" s="3004"/>
      <c r="J1" s="3004"/>
      <c r="K1" s="3004"/>
      <c r="L1" s="3004"/>
      <c r="M1" s="3004"/>
      <c r="N1" s="3004"/>
      <c r="O1" s="3004"/>
      <c r="P1" s="3004"/>
    </row>
    <row r="2" spans="1:16" ht="15.75">
      <c r="A2" s="2345" t="s">
        <v>2798</v>
      </c>
      <c r="B2" s="2810" t="e">
        <f ca="1">SUMIF(B6:B13,"&lt;&gt;#ref!",B6:B13)</f>
        <v>#DIV/0!</v>
      </c>
      <c r="C2" s="2345" t="s">
        <v>2799</v>
      </c>
      <c r="D2" s="2345" t="s">
        <v>2800</v>
      </c>
      <c r="E2" s="2820">
        <f ca="1">SUMIF(E6:E13,"&lt;&gt;#ref!",E6:E13)</f>
        <v>29610.970000000008</v>
      </c>
      <c r="F2" s="3004"/>
      <c r="G2" s="3004"/>
      <c r="H2" s="3004"/>
      <c r="I2" s="3004"/>
      <c r="J2" s="3004"/>
      <c r="K2" s="3004"/>
      <c r="L2" s="3004"/>
      <c r="M2" s="3004"/>
      <c r="N2" s="3004"/>
      <c r="O2" s="3004"/>
      <c r="P2" s="3004"/>
    </row>
    <row r="3" spans="1:16" ht="15.75">
      <c r="A3" s="2345" t="s">
        <v>2801</v>
      </c>
      <c r="B3" s="2810" t="e">
        <f ca="1">ROUND(B2*10000/E2,0)</f>
        <v>#DIV/0!</v>
      </c>
      <c r="C3" s="2345" t="s">
        <v>2807</v>
      </c>
      <c r="D3" s="3004"/>
      <c r="E3" s="3004"/>
      <c r="F3" s="3004"/>
      <c r="G3" s="3004"/>
      <c r="H3" s="3004"/>
      <c r="I3" s="3004"/>
      <c r="J3" s="3004"/>
      <c r="K3" s="3004"/>
      <c r="L3" s="3004"/>
      <c r="M3" s="3004"/>
      <c r="N3" s="3004"/>
      <c r="O3" s="3004"/>
      <c r="P3" s="3004"/>
    </row>
    <row r="4" spans="1:16" ht="15.75">
      <c r="A4" s="3005"/>
      <c r="B4" s="3004"/>
      <c r="C4" s="3004"/>
      <c r="D4" s="3004"/>
      <c r="E4" s="3004"/>
      <c r="F4" s="3004"/>
      <c r="G4" s="3004"/>
      <c r="H4" s="3004"/>
      <c r="I4" s="3004"/>
      <c r="J4" s="3004"/>
      <c r="K4" s="3004"/>
      <c r="L4" s="3004"/>
      <c r="M4" s="3004"/>
      <c r="N4" s="3004"/>
      <c r="O4" s="3004"/>
      <c r="P4" s="3004"/>
    </row>
    <row r="5" spans="1:16" ht="28.5">
      <c r="A5" s="2816" t="s">
        <v>2802</v>
      </c>
      <c r="B5" s="2818" t="s">
        <v>2803</v>
      </c>
      <c r="C5" s="2346"/>
      <c r="D5" s="3004"/>
      <c r="E5" s="2819" t="s">
        <v>2804</v>
      </c>
      <c r="F5" s="3004"/>
      <c r="G5" s="3004"/>
      <c r="H5" s="3004"/>
      <c r="I5" s="3004"/>
      <c r="J5" s="3004"/>
      <c r="K5" s="3004"/>
      <c r="L5" s="3004"/>
      <c r="M5" s="3004"/>
      <c r="N5" s="3004"/>
      <c r="O5" s="3004"/>
      <c r="P5" s="3004"/>
    </row>
    <row r="6" spans="1:16" ht="15.75">
      <c r="A6" s="2817" t="s">
        <v>2805</v>
      </c>
      <c r="B6" s="2810" t="e">
        <f ca="1">SUMIF(INDIRECT("'"&amp;A6&amp;"'"&amp;"!A:A"),"总价",INDIRECT("'"&amp;A6&amp;"'"&amp;"!B:B"))</f>
        <v>#DIV/0!</v>
      </c>
      <c r="C6" s="2345" t="s">
        <v>2799</v>
      </c>
      <c r="D6" s="3004"/>
      <c r="E6" s="2820">
        <f ca="1">SUMIF(INDIRECT("'"&amp;A6&amp;"'"&amp;"!C:C"),"建筑面积",INDIRECT("'"&amp;A6&amp;"'"&amp;"!D:D"))</f>
        <v>29610.970000000008</v>
      </c>
      <c r="F6" s="3004"/>
      <c r="G6" s="3004"/>
      <c r="H6" s="3004"/>
      <c r="I6" s="3004"/>
      <c r="J6" s="3004"/>
      <c r="K6" s="3004"/>
      <c r="L6" s="3004"/>
      <c r="M6" s="3004"/>
      <c r="N6" s="3004"/>
      <c r="O6" s="3004"/>
      <c r="P6" s="3004"/>
    </row>
    <row r="7" spans="1:16" ht="15.75">
      <c r="A7" s="2817"/>
      <c r="B7" s="2810" t="e">
        <f ca="1">SUMIF(INDIRECT("'"&amp;A7&amp;"'"&amp;"!A:A"),"总价",INDIRECT("'"&amp;A7&amp;"'"&amp;"!B:B"))</f>
        <v>#REF!</v>
      </c>
      <c r="C7" s="2345" t="s">
        <v>2799</v>
      </c>
      <c r="D7" s="3004"/>
      <c r="E7" s="2820" t="e">
        <f t="shared" ref="E7:E13" ca="1" si="0">SUMIF(INDIRECT("'"&amp;A7&amp;"'"&amp;"!C:C"),"建筑面积",INDIRECT("'"&amp;A7&amp;"'"&amp;"!D:D"))</f>
        <v>#REF!</v>
      </c>
      <c r="F7" s="3004"/>
      <c r="G7" s="3004"/>
      <c r="H7" s="3004"/>
      <c r="I7" s="3004"/>
      <c r="J7" s="3004"/>
      <c r="K7" s="3004"/>
      <c r="L7" s="3004"/>
      <c r="M7" s="3004"/>
      <c r="N7" s="3004"/>
      <c r="O7" s="3004"/>
      <c r="P7" s="3004"/>
    </row>
    <row r="8" spans="1:16" ht="15.75">
      <c r="A8" s="2817"/>
      <c r="B8" s="2810" t="e">
        <f t="shared" ref="B8:B13" ca="1" si="1">SUMIF(INDIRECT("'"&amp;A8&amp;"'"&amp;"!A:A"),"总价",INDIRECT("'"&amp;A8&amp;"'"&amp;"!B:B"))</f>
        <v>#REF!</v>
      </c>
      <c r="C8" s="2345" t="s">
        <v>2799</v>
      </c>
      <c r="D8" s="3004"/>
      <c r="E8" s="2820" t="e">
        <f t="shared" ca="1" si="0"/>
        <v>#REF!</v>
      </c>
      <c r="F8" s="3004"/>
      <c r="G8" s="3004"/>
      <c r="H8" s="3004"/>
      <c r="I8" s="3004"/>
      <c r="J8" s="3004"/>
      <c r="K8" s="3004"/>
      <c r="L8" s="3004"/>
      <c r="M8" s="3004"/>
      <c r="N8" s="3004"/>
      <c r="O8" s="3004"/>
      <c r="P8" s="3004"/>
    </row>
    <row r="9" spans="1:16" ht="15.75">
      <c r="A9" s="2817"/>
      <c r="B9" s="2810" t="e">
        <f t="shared" ca="1" si="1"/>
        <v>#REF!</v>
      </c>
      <c r="C9" s="2345" t="s">
        <v>2799</v>
      </c>
      <c r="D9" s="3004"/>
      <c r="E9" s="2820" t="e">
        <f t="shared" ca="1" si="0"/>
        <v>#REF!</v>
      </c>
      <c r="F9" s="3004"/>
      <c r="G9" s="3004"/>
      <c r="H9" s="3004"/>
      <c r="I9" s="3004"/>
      <c r="J9" s="3004"/>
      <c r="K9" s="3004"/>
      <c r="L9" s="3004"/>
      <c r="M9" s="3004"/>
      <c r="N9" s="3004"/>
      <c r="O9" s="3004"/>
      <c r="P9" s="3004"/>
    </row>
    <row r="10" spans="1:16" ht="15.75">
      <c r="A10" s="2817"/>
      <c r="B10" s="2810" t="e">
        <f t="shared" ca="1" si="1"/>
        <v>#REF!</v>
      </c>
      <c r="C10" s="2345" t="s">
        <v>2799</v>
      </c>
      <c r="D10" s="3004"/>
      <c r="E10" s="2820" t="e">
        <f t="shared" ca="1" si="0"/>
        <v>#REF!</v>
      </c>
      <c r="F10" s="3004"/>
      <c r="G10" s="3004"/>
      <c r="H10" s="3004"/>
      <c r="I10" s="3004"/>
      <c r="J10" s="3004"/>
      <c r="K10" s="3004"/>
      <c r="L10" s="3004"/>
      <c r="M10" s="3004"/>
      <c r="N10" s="3004"/>
      <c r="O10" s="3004"/>
      <c r="P10" s="3004"/>
    </row>
    <row r="11" spans="1:16" ht="15.75">
      <c r="A11" s="2817"/>
      <c r="B11" s="2810" t="e">
        <f t="shared" ca="1" si="1"/>
        <v>#REF!</v>
      </c>
      <c r="C11" s="2345" t="s">
        <v>2799</v>
      </c>
      <c r="D11" s="3004"/>
      <c r="E11" s="2820" t="e">
        <f t="shared" ca="1" si="0"/>
        <v>#REF!</v>
      </c>
      <c r="F11" s="3004"/>
      <c r="G11" s="3004"/>
      <c r="H11" s="3004"/>
      <c r="I11" s="3004"/>
      <c r="J11" s="3004"/>
      <c r="K11" s="3004"/>
      <c r="L11" s="3004"/>
      <c r="M11" s="3004"/>
      <c r="N11" s="3004"/>
      <c r="O11" s="3004"/>
      <c r="P11" s="3004"/>
    </row>
    <row r="12" spans="1:16" ht="15.75">
      <c r="A12" s="2817"/>
      <c r="B12" s="2810" t="e">
        <f t="shared" ca="1" si="1"/>
        <v>#REF!</v>
      </c>
      <c r="C12" s="2345" t="s">
        <v>2799</v>
      </c>
      <c r="D12" s="3004"/>
      <c r="E12" s="2820" t="e">
        <f t="shared" ca="1" si="0"/>
        <v>#REF!</v>
      </c>
      <c r="F12" s="3004"/>
      <c r="G12" s="3004"/>
      <c r="H12" s="3004"/>
      <c r="I12" s="3004"/>
      <c r="J12" s="3004"/>
      <c r="K12" s="3004"/>
      <c r="L12" s="3004"/>
      <c r="M12" s="3004"/>
      <c r="N12" s="3004"/>
      <c r="O12" s="3004"/>
      <c r="P12" s="3004"/>
    </row>
    <row r="13" spans="1:16" ht="15.75">
      <c r="A13" s="2817"/>
      <c r="B13" s="2810" t="e">
        <f t="shared" ca="1" si="1"/>
        <v>#REF!</v>
      </c>
      <c r="C13" s="2345" t="s">
        <v>2799</v>
      </c>
      <c r="D13" s="3004"/>
      <c r="E13" s="2820" t="e">
        <f t="shared" ca="1" si="0"/>
        <v>#REF!</v>
      </c>
      <c r="F13" s="3004"/>
      <c r="G13" s="3004"/>
      <c r="H13" s="3004"/>
      <c r="I13" s="3004"/>
      <c r="J13" s="3004"/>
      <c r="K13" s="3004"/>
      <c r="L13" s="3004"/>
      <c r="M13" s="3004"/>
      <c r="N13" s="3004"/>
      <c r="O13" s="3004"/>
      <c r="P13" s="3004"/>
    </row>
    <row r="14" spans="1:16">
      <c r="A14" s="3004"/>
      <c r="B14" s="3004"/>
      <c r="C14" s="3004"/>
      <c r="D14" s="3004"/>
      <c r="E14" s="3004"/>
      <c r="F14" s="3004"/>
      <c r="G14" s="3004"/>
      <c r="H14" s="3004"/>
      <c r="I14" s="3004"/>
      <c r="J14" s="3004"/>
      <c r="K14" s="3004"/>
      <c r="L14" s="3004"/>
      <c r="M14" s="3004"/>
      <c r="N14" s="3004"/>
      <c r="O14" s="3004"/>
      <c r="P14" s="3004"/>
    </row>
    <row r="15" spans="1:16">
      <c r="A15" s="3004"/>
      <c r="B15" s="3004"/>
      <c r="C15" s="3004"/>
      <c r="D15" s="3004"/>
      <c r="E15" s="3004"/>
      <c r="F15" s="3004"/>
      <c r="G15" s="3004"/>
      <c r="H15" s="3004"/>
      <c r="I15" s="3004"/>
      <c r="J15" s="3004"/>
      <c r="K15" s="3004"/>
      <c r="L15" s="3004"/>
      <c r="M15" s="3004"/>
      <c r="N15" s="3004"/>
      <c r="O15" s="3004"/>
      <c r="P15" s="3004"/>
    </row>
    <row r="16" spans="1:16">
      <c r="A16" s="3004"/>
      <c r="B16" s="3004"/>
      <c r="C16" s="3004"/>
      <c r="D16" s="3004"/>
      <c r="E16" s="3004"/>
      <c r="F16" s="3004"/>
      <c r="G16" s="3004"/>
      <c r="H16" s="3004"/>
      <c r="I16" s="3004"/>
      <c r="J16" s="3004"/>
      <c r="K16" s="3004"/>
      <c r="L16" s="3004"/>
      <c r="M16" s="3004"/>
      <c r="N16" s="3004"/>
      <c r="O16" s="3004"/>
      <c r="P16" s="3004"/>
    </row>
    <row r="17" spans="1:16">
      <c r="A17" s="3004"/>
      <c r="B17" s="3004"/>
      <c r="C17" s="3004"/>
      <c r="D17" s="3004"/>
      <c r="E17" s="3004"/>
      <c r="F17" s="3004"/>
      <c r="G17" s="3004"/>
      <c r="H17" s="3004"/>
      <c r="I17" s="3004"/>
      <c r="J17" s="3004"/>
      <c r="K17" s="3004"/>
      <c r="L17" s="3004"/>
      <c r="M17" s="3004"/>
      <c r="N17" s="3004"/>
      <c r="O17" s="3004"/>
      <c r="P17" s="3004"/>
    </row>
    <row r="18" spans="1:16">
      <c r="A18" s="3004"/>
      <c r="B18" s="3004"/>
      <c r="C18" s="3004"/>
      <c r="D18" s="3004"/>
      <c r="E18" s="3004"/>
      <c r="F18" s="3004"/>
      <c r="G18" s="3004"/>
      <c r="H18" s="3004"/>
      <c r="I18" s="3004"/>
      <c r="J18" s="3004"/>
      <c r="K18" s="3004"/>
      <c r="L18" s="3004"/>
      <c r="M18" s="3004"/>
      <c r="N18" s="3004"/>
      <c r="O18" s="3004"/>
      <c r="P18" s="3004"/>
    </row>
    <row r="19" spans="1:16">
      <c r="A19" s="3004"/>
      <c r="B19" s="3004"/>
      <c r="C19" s="3004"/>
      <c r="D19" s="3004"/>
      <c r="E19" s="3004"/>
      <c r="F19" s="3004"/>
      <c r="G19" s="3004"/>
      <c r="H19" s="3004"/>
      <c r="I19" s="3004"/>
      <c r="J19" s="3004"/>
      <c r="K19" s="3004"/>
      <c r="L19" s="3004"/>
      <c r="M19" s="3004"/>
      <c r="N19" s="3004"/>
      <c r="O19" s="3004"/>
      <c r="P19" s="3004"/>
    </row>
    <row r="20" spans="1:16">
      <c r="A20" s="3004"/>
      <c r="B20" s="3004"/>
      <c r="C20" s="3004"/>
      <c r="D20" s="3004"/>
      <c r="E20" s="3004"/>
      <c r="F20" s="3004"/>
      <c r="G20" s="3004"/>
      <c r="H20" s="3004"/>
      <c r="I20" s="3004"/>
      <c r="J20" s="3004"/>
      <c r="K20" s="3004"/>
      <c r="L20" s="3004"/>
      <c r="M20" s="3004"/>
      <c r="N20" s="3004"/>
      <c r="O20" s="3004"/>
      <c r="P20" s="3004"/>
    </row>
    <row r="21" spans="1:16">
      <c r="A21" s="3004"/>
      <c r="B21" s="3004"/>
      <c r="C21" s="3004"/>
      <c r="D21" s="3004"/>
      <c r="E21" s="3004"/>
      <c r="F21" s="3004"/>
      <c r="G21" s="3004"/>
      <c r="H21" s="3004"/>
      <c r="I21" s="3004"/>
      <c r="J21" s="3004"/>
      <c r="K21" s="3004"/>
      <c r="L21" s="3004"/>
      <c r="M21" s="3004"/>
      <c r="N21" s="3004"/>
      <c r="O21" s="3004"/>
      <c r="P21" s="3004"/>
    </row>
  </sheetData>
  <sheetProtection password="CEE9" sheet="1" objects="1" scenarios="1" formatCells="0" formatColumns="0" formatRows="0"/>
  <phoneticPr fontId="140" type="noConversion"/>
  <dataValidations count="1">
    <dataValidation type="list" allowBlank="1" showInputMessage="1" showErrorMessage="1" sqref="A6:A13">
      <formula1>估价方法</formula1>
    </dataValidation>
  </dataValidations>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16"/>
  <sheetViews>
    <sheetView zoomScale="80" zoomScaleNormal="80" workbookViewId="0">
      <selection activeCell="K6" sqref="K6:K32"/>
    </sheetView>
  </sheetViews>
  <sheetFormatPr defaultColWidth="9" defaultRowHeight="12.75"/>
  <cols>
    <col min="1" max="1" width="9" style="2394"/>
    <col min="2" max="6" width="9" style="2394" customWidth="1"/>
    <col min="7" max="7" width="9" style="2432"/>
    <col min="8" max="8" width="9" style="2394"/>
    <col min="9" max="12" width="9" style="2394" customWidth="1"/>
    <col min="13" max="13" width="2.25" style="2394" customWidth="1"/>
    <col min="14" max="14" width="9" style="2432" customWidth="1"/>
    <col min="15" max="17" width="9" style="2394" customWidth="1"/>
    <col min="18" max="18" width="2.375" style="2394" customWidth="1"/>
    <col min="19" max="19" width="7.125" style="2432" customWidth="1"/>
    <col min="20" max="22" width="7.125" style="2394" customWidth="1"/>
    <col min="23" max="23" width="24.25" style="2394" customWidth="1"/>
    <col min="24" max="25" width="9" style="2394"/>
    <col min="26" max="27" width="11.625" style="2394" customWidth="1"/>
    <col min="28" max="28" width="9" style="2394"/>
    <col min="29" max="29" width="2" style="2394" customWidth="1"/>
    <col min="30" max="16384" width="9" style="2394"/>
  </cols>
  <sheetData>
    <row r="1" spans="1:34" s="2373" customFormat="1">
      <c r="B1" s="3490" t="s">
        <v>1117</v>
      </c>
      <c r="C1" s="3490"/>
      <c r="D1" s="3490"/>
      <c r="E1" s="3490"/>
      <c r="F1" s="3490"/>
      <c r="G1" s="3489" t="s">
        <v>1118</v>
      </c>
      <c r="H1" s="3489"/>
      <c r="I1" s="3489"/>
      <c r="J1" s="3489"/>
      <c r="K1" s="3489"/>
      <c r="L1" s="3489"/>
      <c r="N1" s="3489" t="s">
        <v>1119</v>
      </c>
      <c r="O1" s="3489"/>
      <c r="P1" s="3489"/>
      <c r="Q1" s="3489"/>
      <c r="S1" s="3489" t="s">
        <v>1120</v>
      </c>
      <c r="T1" s="3489"/>
      <c r="U1" s="3489"/>
      <c r="V1" s="3489"/>
      <c r="X1" s="3488" t="s">
        <v>1121</v>
      </c>
      <c r="Y1" s="3489"/>
      <c r="Z1" s="3489"/>
      <c r="AA1" s="3489"/>
      <c r="AB1" s="3489"/>
      <c r="AD1" s="3488" t="s">
        <v>1122</v>
      </c>
      <c r="AE1" s="3489"/>
      <c r="AF1" s="3489"/>
      <c r="AG1" s="3489"/>
      <c r="AH1" s="3489"/>
    </row>
    <row r="2" spans="1:34" s="2374" customFormat="1" ht="14.25" thickBot="1">
      <c r="B2" s="2375" t="s">
        <v>1123</v>
      </c>
      <c r="C2" s="2375" t="s">
        <v>1124</v>
      </c>
      <c r="D2" s="2376" t="s">
        <v>1125</v>
      </c>
      <c r="E2" s="2376" t="s">
        <v>1126</v>
      </c>
      <c r="F2" s="2375" t="s">
        <v>1127</v>
      </c>
      <c r="G2" s="2377"/>
      <c r="I2" s="2375" t="s">
        <v>1123</v>
      </c>
      <c r="J2" s="2376" t="s">
        <v>1350</v>
      </c>
      <c r="K2" s="2376" t="s">
        <v>751</v>
      </c>
      <c r="L2" s="2375" t="s">
        <v>1127</v>
      </c>
      <c r="N2" s="2375" t="s">
        <v>1123</v>
      </c>
      <c r="O2" s="2376" t="s">
        <v>1350</v>
      </c>
      <c r="P2" s="2376" t="s">
        <v>751</v>
      </c>
      <c r="Q2" s="2375" t="s">
        <v>1127</v>
      </c>
      <c r="S2" s="2375" t="s">
        <v>1123</v>
      </c>
      <c r="T2" s="2376" t="s">
        <v>1350</v>
      </c>
      <c r="U2" s="2376" t="s">
        <v>751</v>
      </c>
      <c r="V2" s="2375" t="s">
        <v>1127</v>
      </c>
      <c r="X2" s="2375" t="s">
        <v>1123</v>
      </c>
      <c r="Y2" s="2375" t="s">
        <v>1124</v>
      </c>
      <c r="Z2" s="2376" t="s">
        <v>1125</v>
      </c>
      <c r="AA2" s="2376" t="s">
        <v>1126</v>
      </c>
      <c r="AB2" s="2375" t="s">
        <v>1127</v>
      </c>
      <c r="AD2" s="2375" t="s">
        <v>1123</v>
      </c>
      <c r="AE2" s="2375" t="s">
        <v>1124</v>
      </c>
      <c r="AF2" s="2376" t="s">
        <v>1125</v>
      </c>
      <c r="AG2" s="2376" t="s">
        <v>1126</v>
      </c>
      <c r="AH2" s="2375" t="s">
        <v>1127</v>
      </c>
    </row>
    <row r="3" spans="1:34" s="2384" customFormat="1" ht="14.25">
      <c r="A3" s="2378" t="s">
        <v>2839</v>
      </c>
      <c r="B3" s="2379"/>
      <c r="C3" s="2379"/>
      <c r="D3" s="2380"/>
      <c r="E3" s="2380"/>
      <c r="F3" s="2379"/>
      <c r="G3" s="2381"/>
      <c r="H3" s="2382"/>
      <c r="I3" s="2383">
        <f>ROUND(AVERAGE($I4:$I33),2)</f>
        <v>1.75</v>
      </c>
      <c r="J3" s="2383">
        <f>ROUND(AVERAGE($J4:$J33),2)</f>
        <v>1.1200000000000001</v>
      </c>
      <c r="K3" s="2383">
        <f>ROUND(AVERAGE($K4:$K33),2)</f>
        <v>1.93</v>
      </c>
      <c r="L3" s="2383">
        <f>ROUND(AVERAGE($L4:$L33),2)</f>
        <v>1.28</v>
      </c>
      <c r="N3" s="2381"/>
      <c r="S3" s="2381"/>
      <c r="W3" s="2385"/>
      <c r="X3" s="2386">
        <f>ROUND(SUMPRODUCT(PRODUCT(1+N3:N$32)),4)</f>
        <v>1.6034999999999999</v>
      </c>
      <c r="Y3" s="2386">
        <f>ROUND(SUMPRODUCT(PRODUCT(1+O3:O$32)),4)</f>
        <v>1.3469</v>
      </c>
      <c r="Z3" s="2386">
        <f t="shared" ref="Z3:Z30" si="0">Y3</f>
        <v>1.3469</v>
      </c>
      <c r="AA3" s="2386">
        <f>ROUND(SUMPRODUCT(PRODUCT(1+P3:P$32)),4)</f>
        <v>1.6801999999999999</v>
      </c>
      <c r="AB3" s="2386">
        <f>ROUND(SUMPRODUCT(PRODUCT(1+Q3:Q$32)),4)</f>
        <v>1.4263999999999999</v>
      </c>
      <c r="AD3" s="2387">
        <f>ROUND(AVERAGE(I3:I$33)/100,4)</f>
        <v>1.7500000000000002E-2</v>
      </c>
      <c r="AE3" s="2387">
        <f>ROUND(AVERAGE(J3:J$33)/100,4)</f>
        <v>1.12E-2</v>
      </c>
      <c r="AF3" s="2387">
        <f t="shared" ref="AF3:AF31" si="1">AE3</f>
        <v>1.12E-2</v>
      </c>
      <c r="AG3" s="2387">
        <f>ROUND(AVERAGE(K3:K$33)/100,4)</f>
        <v>1.9300000000000001E-2</v>
      </c>
      <c r="AH3" s="2387">
        <f>ROUND(AVERAGE(L3:L$33)/100,4)</f>
        <v>1.2800000000000001E-2</v>
      </c>
    </row>
    <row r="4" spans="1:34" s="2388" customFormat="1" ht="14.25">
      <c r="B4" s="2389"/>
      <c r="C4" s="2389"/>
      <c r="D4" s="2390"/>
      <c r="E4" s="2390"/>
      <c r="F4" s="2389"/>
      <c r="G4" s="2391"/>
      <c r="H4" s="2392"/>
      <c r="I4" s="2393"/>
      <c r="J4" s="2393"/>
      <c r="K4" s="2393"/>
      <c r="L4" s="2393"/>
      <c r="N4" s="2391"/>
      <c r="S4" s="2391"/>
      <c r="X4" s="2394"/>
      <c r="Y4" s="2394"/>
      <c r="Z4" s="2394"/>
      <c r="AA4" s="2394"/>
      <c r="AB4" s="2394"/>
      <c r="AD4" s="2395"/>
      <c r="AE4" s="2395"/>
      <c r="AF4" s="2395"/>
      <c r="AG4" s="2395"/>
      <c r="AH4" s="2395"/>
    </row>
    <row r="5" spans="1:34" s="2401" customFormat="1">
      <c r="A5" s="2396" t="s">
        <v>3040</v>
      </c>
      <c r="B5" s="2397">
        <f t="shared" ref="B5" si="2">B6*(1+N5)</f>
        <v>493.14449689037161</v>
      </c>
      <c r="C5" s="2397">
        <f t="shared" ref="C5" si="3">C6*(1+O5)</f>
        <v>347.21619073020611</v>
      </c>
      <c r="D5" s="2397">
        <f t="shared" ref="D5" si="4">C5</f>
        <v>347.21619073020611</v>
      </c>
      <c r="E5" s="2397">
        <f t="shared" ref="E5" si="5">E6*(1+P5)</f>
        <v>710.55974278763904</v>
      </c>
      <c r="F5" s="2397">
        <f t="shared" ref="F5" si="6">F6*(1+Q5)</f>
        <v>327.94540235306141</v>
      </c>
      <c r="G5" s="3023">
        <v>2021</v>
      </c>
      <c r="H5" s="2399">
        <v>1</v>
      </c>
      <c r="I5" s="2400">
        <v>0</v>
      </c>
      <c r="J5" s="2400">
        <v>0</v>
      </c>
      <c r="K5" s="2400">
        <v>0</v>
      </c>
      <c r="L5" s="2400">
        <v>0</v>
      </c>
      <c r="N5" s="2402">
        <f t="shared" ref="N5" si="7">I5/100</f>
        <v>0</v>
      </c>
      <c r="O5" s="2402">
        <f t="shared" ref="O5" si="8">J5/100</f>
        <v>0</v>
      </c>
      <c r="P5" s="2402">
        <f t="shared" ref="P5" si="9">K5/100</f>
        <v>0</v>
      </c>
      <c r="Q5" s="2402">
        <f t="shared" ref="Q5" si="10">L5/100</f>
        <v>0</v>
      </c>
      <c r="S5" s="2403"/>
      <c r="W5" s="2404" t="s">
        <v>2840</v>
      </c>
      <c r="X5" s="2405">
        <f>ROUND(IF(项目基本情况!B5="出让",SUMPRODUCT(PRODUCT(1+N5:N$33)),SUMPRODUCT(PRODUCT(1+N5:N$32))),4)</f>
        <v>1.6034999999999999</v>
      </c>
      <c r="Y5" s="2405">
        <f>ROUND(IF(项目基本情况!B5="出让",SUMPRODUCT(PRODUCT(1+O5:O$33)),SUMPRODUCT(PRODUCT(1+O5:O$32))),4)</f>
        <v>1.3469</v>
      </c>
      <c r="Z5" s="2405">
        <f t="shared" ref="Z5" si="11">Y5</f>
        <v>1.3469</v>
      </c>
      <c r="AA5" s="2405">
        <f>ROUND(IF(项目基本情况!B5="出让",SUMPRODUCT(PRODUCT(1+P5:P$33)),SUMPRODUCT(PRODUCT(1+P5:P$32))),4)</f>
        <v>1.6801999999999999</v>
      </c>
      <c r="AB5" s="2405">
        <f>ROUND(IF(项目基本情况!B5="出让",SUMPRODUCT(PRODUCT(1+Q5:Q$33)),SUMPRODUCT(PRODUCT(1+Q5:Q$32))),4)</f>
        <v>1.4263999999999999</v>
      </c>
      <c r="AD5" s="2406">
        <f>ROUND(AVERAGE(I5:I$33)/100,4)</f>
        <v>1.7500000000000002E-2</v>
      </c>
      <c r="AE5" s="2406">
        <f>ROUND(AVERAGE(J5:J$33)/100,4)</f>
        <v>1.12E-2</v>
      </c>
      <c r="AF5" s="2406">
        <f t="shared" ref="AF5" si="12">AE5</f>
        <v>1.12E-2</v>
      </c>
      <c r="AG5" s="2406">
        <f>ROUND(AVERAGE(K5:K$33)/100,4)</f>
        <v>1.9300000000000001E-2</v>
      </c>
      <c r="AH5" s="2406">
        <f>ROUND(AVERAGE(L5:L$33)/100,4)</f>
        <v>1.2800000000000001E-2</v>
      </c>
    </row>
    <row r="6" spans="1:34" s="2414" customFormat="1">
      <c r="A6" s="2407" t="s">
        <v>3041</v>
      </c>
      <c r="B6" s="2408">
        <f t="shared" ref="B6" si="13">B7*(1+N6)</f>
        <v>493.14449689037161</v>
      </c>
      <c r="C6" s="2408">
        <f t="shared" ref="C6" si="14">C7*(1+O6)</f>
        <v>347.21619073020611</v>
      </c>
      <c r="D6" s="2408">
        <f t="shared" ref="D6" si="15">C6</f>
        <v>347.21619073020611</v>
      </c>
      <c r="E6" s="2408">
        <f t="shared" ref="E6" si="16">E7*(1+P6)</f>
        <v>710.55974278763904</v>
      </c>
      <c r="F6" s="2408">
        <f t="shared" ref="F6" si="17">F7*(1+Q6)</f>
        <v>327.94540235306141</v>
      </c>
      <c r="G6" s="3023">
        <v>2020</v>
      </c>
      <c r="H6" s="2409">
        <v>4</v>
      </c>
      <c r="I6" s="2371">
        <v>2.0699999999999998</v>
      </c>
      <c r="J6" s="2371">
        <v>0.37</v>
      </c>
      <c r="K6" s="2371">
        <v>2.35</v>
      </c>
      <c r="L6" s="2372">
        <v>2.69</v>
      </c>
      <c r="M6" s="2394"/>
      <c r="N6" s="2410">
        <f t="shared" ref="N6" si="18">I6/100</f>
        <v>2.07E-2</v>
      </c>
      <c r="O6" s="2395">
        <f t="shared" ref="O6" si="19">J6/100</f>
        <v>3.7000000000000002E-3</v>
      </c>
      <c r="P6" s="2395">
        <f t="shared" ref="P6" si="20">K6/100</f>
        <v>2.35E-2</v>
      </c>
      <c r="Q6" s="2395">
        <f t="shared" ref="Q6" si="21">L6/100</f>
        <v>2.69E-2</v>
      </c>
      <c r="R6" s="2411"/>
      <c r="S6" s="2410"/>
      <c r="T6" s="2395"/>
      <c r="U6" s="2395"/>
      <c r="V6" s="2395"/>
      <c r="W6" s="2412"/>
      <c r="X6" s="2412">
        <f>ROUND(IF(项目基本情况!B6="出让",SUMPRODUCT(PRODUCT(1+N6:N$33)),SUMPRODUCT(PRODUCT(1+N6:N$32))),4)</f>
        <v>1.6034999999999999</v>
      </c>
      <c r="Y6" s="2412">
        <f>ROUND(IF(项目基本情况!B6="出让",SUMPRODUCT(PRODUCT(1+O6:O$33)),SUMPRODUCT(PRODUCT(1+O6:O$32))),4)</f>
        <v>1.3469</v>
      </c>
      <c r="Z6" s="2412">
        <f t="shared" ref="Z6" si="22">Y6</f>
        <v>1.3469</v>
      </c>
      <c r="AA6" s="2412">
        <f>ROUND(IF(项目基本情况!B6="出让",SUMPRODUCT(PRODUCT(1+P6:P$33)),SUMPRODUCT(PRODUCT(1+P6:P$32))),4)</f>
        <v>1.6801999999999999</v>
      </c>
      <c r="AB6" s="2412">
        <f>ROUND(IF(项目基本情况!B6="出让",SUMPRODUCT(PRODUCT(1+Q6:Q$33)),SUMPRODUCT(PRODUCT(1+Q6:Q$32))),4)</f>
        <v>1.4263999999999999</v>
      </c>
      <c r="AC6" s="2412"/>
      <c r="AD6" s="2413">
        <f>ROUND(AVERAGE(I6:I$33)/100,4)</f>
        <v>1.8200000000000001E-2</v>
      </c>
      <c r="AE6" s="2413">
        <f>ROUND(AVERAGE(J6:J$33)/100,4)</f>
        <v>1.1599999999999999E-2</v>
      </c>
      <c r="AF6" s="2413">
        <f t="shared" ref="AF6" si="23">AE6</f>
        <v>1.1599999999999999E-2</v>
      </c>
      <c r="AG6" s="2413">
        <f>ROUND(AVERAGE(K6:K$33)/100,4)</f>
        <v>0.02</v>
      </c>
      <c r="AH6" s="2413">
        <f>ROUND(AVERAGE(L6:L$33)/100,4)</f>
        <v>1.3299999999999999E-2</v>
      </c>
    </row>
    <row r="7" spans="1:34" s="2414" customFormat="1">
      <c r="A7" s="2407" t="s">
        <v>3039</v>
      </c>
      <c r="B7" s="2408">
        <f t="shared" ref="B7" si="24">B8*(1+N7)</f>
        <v>483.1434279321756</v>
      </c>
      <c r="C7" s="2408">
        <f t="shared" ref="C7" si="25">C8*(1+O7)</f>
        <v>345.93622669144776</v>
      </c>
      <c r="D7" s="2408">
        <f t="shared" ref="D7" si="26">C7</f>
        <v>345.93622669144776</v>
      </c>
      <c r="E7" s="2408">
        <f t="shared" ref="E7" si="27">E8*(1+P7)</f>
        <v>694.24498562544113</v>
      </c>
      <c r="F7" s="2408">
        <f t="shared" ref="F7" si="28">F8*(1+Q7)</f>
        <v>319.35475932716082</v>
      </c>
      <c r="G7" s="3020">
        <v>2020</v>
      </c>
      <c r="H7" s="2409">
        <v>3</v>
      </c>
      <c r="I7" s="2371">
        <v>0.36</v>
      </c>
      <c r="J7" s="2371">
        <v>-0.39</v>
      </c>
      <c r="K7" s="2371">
        <v>0.49</v>
      </c>
      <c r="L7" s="2372">
        <v>7.0000000000000007E-2</v>
      </c>
      <c r="M7" s="2394"/>
      <c r="N7" s="2410">
        <f t="shared" ref="N7" si="29">I7/100</f>
        <v>3.5999999999999999E-3</v>
      </c>
      <c r="O7" s="2395">
        <f t="shared" ref="O7" si="30">J7/100</f>
        <v>-3.9000000000000003E-3</v>
      </c>
      <c r="P7" s="2395">
        <f t="shared" ref="P7" si="31">K7/100</f>
        <v>4.8999999999999998E-3</v>
      </c>
      <c r="Q7" s="2395">
        <f t="shared" ref="Q7" si="32">L7/100</f>
        <v>7.000000000000001E-4</v>
      </c>
      <c r="R7" s="2411"/>
      <c r="S7" s="2410"/>
      <c r="T7" s="2395"/>
      <c r="U7" s="2395"/>
      <c r="V7" s="2395"/>
      <c r="W7" s="2412"/>
      <c r="X7" s="2412">
        <f>ROUND(IF(项目基本情况!B7="出让",SUMPRODUCT(PRODUCT(1+N7:N$33)),SUMPRODUCT(PRODUCT(1+N7:N$32))),4)</f>
        <v>1.571</v>
      </c>
      <c r="Y7" s="2412">
        <f>ROUND(IF(项目基本情况!B7="出让",SUMPRODUCT(PRODUCT(1+O7:O$33)),SUMPRODUCT(PRODUCT(1+O7:O$32))),4)</f>
        <v>1.3420000000000001</v>
      </c>
      <c r="Z7" s="2412">
        <f t="shared" ref="Z7" si="33">Y7</f>
        <v>1.3420000000000001</v>
      </c>
      <c r="AA7" s="2412">
        <f>ROUND(IF(项目基本情况!B7="出让",SUMPRODUCT(PRODUCT(1+P7:P$33)),SUMPRODUCT(PRODUCT(1+P7:P$32))),4)</f>
        <v>1.6415999999999999</v>
      </c>
      <c r="AB7" s="2412">
        <f>ROUND(IF(项目基本情况!B7="出让",SUMPRODUCT(PRODUCT(1+Q7:Q$33)),SUMPRODUCT(PRODUCT(1+Q7:Q$32))),4)</f>
        <v>1.389</v>
      </c>
      <c r="AC7" s="2412"/>
      <c r="AD7" s="2413">
        <f>ROUND(AVERAGE(I7:I$33)/100,4)</f>
        <v>1.8100000000000002E-2</v>
      </c>
      <c r="AE7" s="2413">
        <f>ROUND(AVERAGE(J7:J$33)/100,4)</f>
        <v>1.1900000000000001E-2</v>
      </c>
      <c r="AF7" s="2413">
        <f t="shared" ref="AF7" si="34">AE7</f>
        <v>1.1900000000000001E-2</v>
      </c>
      <c r="AG7" s="2413">
        <f>ROUND(AVERAGE(K7:K$33)/100,4)</f>
        <v>1.9900000000000001E-2</v>
      </c>
      <c r="AH7" s="2413">
        <f>ROUND(AVERAGE(L7:L$33)/100,4)</f>
        <v>1.2800000000000001E-2</v>
      </c>
    </row>
    <row r="8" spans="1:34" s="2414" customFormat="1">
      <c r="A8" s="2407" t="s">
        <v>2856</v>
      </c>
      <c r="B8" s="2408">
        <f t="shared" ref="B8" si="35">B9*(1+N8)</f>
        <v>481.4103506697644</v>
      </c>
      <c r="C8" s="2408">
        <f t="shared" ref="C8" si="36">C9*(1+O8)</f>
        <v>347.29066026648707</v>
      </c>
      <c r="D8" s="2408">
        <f t="shared" ref="D8" si="37">C8</f>
        <v>347.29066026648707</v>
      </c>
      <c r="E8" s="2408">
        <f t="shared" ref="E8" si="38">E9*(1+P8)</f>
        <v>690.85977273901995</v>
      </c>
      <c r="F8" s="2408">
        <f t="shared" ref="F8" si="39">F9*(1+Q8)</f>
        <v>319.13136737000184</v>
      </c>
      <c r="G8" s="2398">
        <v>2020</v>
      </c>
      <c r="H8" s="2409">
        <v>2</v>
      </c>
      <c r="I8" s="2371">
        <v>0.31</v>
      </c>
      <c r="J8" s="2371">
        <v>-0.78</v>
      </c>
      <c r="K8" s="2371">
        <v>0.5</v>
      </c>
      <c r="L8" s="2372">
        <v>0.47</v>
      </c>
      <c r="M8" s="2394"/>
      <c r="N8" s="2410">
        <f t="shared" ref="N8" si="40">I8/100</f>
        <v>3.0999999999999999E-3</v>
      </c>
      <c r="O8" s="2395">
        <f t="shared" ref="O8" si="41">J8/100</f>
        <v>-7.8000000000000005E-3</v>
      </c>
      <c r="P8" s="2395">
        <f t="shared" ref="P8" si="42">K8/100</f>
        <v>5.0000000000000001E-3</v>
      </c>
      <c r="Q8" s="2395">
        <f t="shared" ref="Q8" si="43">L8/100</f>
        <v>4.6999999999999993E-3</v>
      </c>
      <c r="R8" s="2411"/>
      <c r="S8" s="2410"/>
      <c r="T8" s="2395"/>
      <c r="U8" s="2395"/>
      <c r="V8" s="2395"/>
      <c r="W8" s="2412"/>
      <c r="X8" s="2412">
        <f>ROUND(IF(项目基本情况!B8="出让",SUMPRODUCT(PRODUCT(1+N8:N$33)),SUMPRODUCT(PRODUCT(1+N8:N$32))),4)</f>
        <v>1.5652999999999999</v>
      </c>
      <c r="Y8" s="2412">
        <f>ROUND(IF(项目基本情况!B8="出让",SUMPRODUCT(PRODUCT(1+O8:O$33)),SUMPRODUCT(PRODUCT(1+O8:O$32))),4)</f>
        <v>1.3472</v>
      </c>
      <c r="Z8" s="2412">
        <f t="shared" ref="Z8" si="44">Y8</f>
        <v>1.3472</v>
      </c>
      <c r="AA8" s="2412">
        <f>ROUND(IF(项目基本情况!B8="出让",SUMPRODUCT(PRODUCT(1+P8:P$33)),SUMPRODUCT(PRODUCT(1+P8:P$32))),4)</f>
        <v>1.6335999999999999</v>
      </c>
      <c r="AB8" s="2412">
        <f>ROUND(IF(项目基本情况!B8="出让",SUMPRODUCT(PRODUCT(1+Q8:Q$33)),SUMPRODUCT(PRODUCT(1+Q8:Q$32))),4)</f>
        <v>1.3880999999999999</v>
      </c>
      <c r="AC8" s="2412"/>
      <c r="AD8" s="2413">
        <f>ROUND(AVERAGE(I8:I$33)/100,4)</f>
        <v>1.8599999999999998E-2</v>
      </c>
      <c r="AE8" s="2413">
        <f>ROUND(AVERAGE(J8:J$33)/100,4)</f>
        <v>1.2500000000000001E-2</v>
      </c>
      <c r="AF8" s="2413">
        <f t="shared" ref="AF8" si="45">AE8</f>
        <v>1.2500000000000001E-2</v>
      </c>
      <c r="AG8" s="2413">
        <f>ROUND(AVERAGE(K8:K$33)/100,4)</f>
        <v>2.0400000000000001E-2</v>
      </c>
      <c r="AH8" s="2413">
        <f>ROUND(AVERAGE(L8:L$33)/100,4)</f>
        <v>1.32E-2</v>
      </c>
    </row>
    <row r="9" spans="1:34" s="2414" customFormat="1">
      <c r="A9" s="2407" t="s">
        <v>2854</v>
      </c>
      <c r="B9" s="2408">
        <f t="shared" ref="B9" si="46">B10*(1+N9)</f>
        <v>479.92259063878413</v>
      </c>
      <c r="C9" s="2408">
        <f t="shared" ref="C9" si="47">C10*(1+O9)</f>
        <v>350.02082268341775</v>
      </c>
      <c r="D9" s="2408">
        <f t="shared" ref="D9" si="48">C9</f>
        <v>350.02082268341775</v>
      </c>
      <c r="E9" s="2408">
        <f t="shared" ref="E9" si="49">E10*(1+P9)</f>
        <v>687.42265944181099</v>
      </c>
      <c r="F9" s="2408">
        <f t="shared" ref="F9" si="50">F10*(1+Q9)</f>
        <v>317.63846657708956</v>
      </c>
      <c r="G9" s="2398">
        <v>2020</v>
      </c>
      <c r="H9" s="2409">
        <v>1</v>
      </c>
      <c r="I9" s="2371">
        <v>0.12</v>
      </c>
      <c r="J9" s="2371">
        <v>-0.4</v>
      </c>
      <c r="K9" s="2371">
        <v>0.21</v>
      </c>
      <c r="L9" s="2372">
        <v>0.27</v>
      </c>
      <c r="M9" s="2394"/>
      <c r="N9" s="2410">
        <f t="shared" ref="N9" si="51">I9/100</f>
        <v>1.1999999999999999E-3</v>
      </c>
      <c r="O9" s="2395">
        <f t="shared" ref="O9" si="52">J9/100</f>
        <v>-4.0000000000000001E-3</v>
      </c>
      <c r="P9" s="2395">
        <f t="shared" ref="P9" si="53">K9/100</f>
        <v>2.0999999999999999E-3</v>
      </c>
      <c r="Q9" s="2395">
        <f t="shared" ref="Q9" si="54">L9/100</f>
        <v>2.7000000000000001E-3</v>
      </c>
      <c r="R9" s="2411"/>
      <c r="S9" s="2410">
        <f>B9/B10-1</f>
        <v>1.2000000000000899E-3</v>
      </c>
      <c r="T9" s="2395">
        <f t="shared" ref="T9" si="55">C9/C10-1</f>
        <v>-4.0000000000000036E-3</v>
      </c>
      <c r="U9" s="2395">
        <f t="shared" ref="U9" si="56">D9/D10-1</f>
        <v>-4.0000000000000036E-3</v>
      </c>
      <c r="V9" s="2395">
        <f t="shared" ref="V9" si="57">E9/E10-1</f>
        <v>2.0999999999999908E-3</v>
      </c>
      <c r="W9" s="2412"/>
      <c r="X9" s="2412">
        <f>ROUND(IF(项目基本情况!B8="出让",SUMPRODUCT(PRODUCT(1+N9:N$33)),SUMPRODUCT(PRODUCT(1+N9:N$32))),4)</f>
        <v>1.5605</v>
      </c>
      <c r="Y9" s="2412">
        <f>ROUND(IF(项目基本情况!B8="出让",SUMPRODUCT(PRODUCT(1+O9:O$33)),SUMPRODUCT(PRODUCT(1+O9:O$32))),4)</f>
        <v>1.3577999999999999</v>
      </c>
      <c r="Z9" s="2412">
        <f t="shared" ref="Z9" si="58">Y9</f>
        <v>1.3577999999999999</v>
      </c>
      <c r="AA9" s="2412">
        <f>ROUND(IF(项目基本情况!B8="出让",SUMPRODUCT(PRODUCT(1+P9:P$33)),SUMPRODUCT(PRODUCT(1+P9:P$32))),4)</f>
        <v>1.6254999999999999</v>
      </c>
      <c r="AB9" s="2412">
        <f>ROUND(IF(项目基本情况!B8="出让",SUMPRODUCT(PRODUCT(1+Q9:Q$33)),SUMPRODUCT(PRODUCT(1+Q9:Q$32))),4)</f>
        <v>1.3815999999999999</v>
      </c>
      <c r="AC9" s="2412"/>
      <c r="AD9" s="2413">
        <f>ROUND(AVERAGE(I9:I$33)/100,4)</f>
        <v>1.9199999999999998E-2</v>
      </c>
      <c r="AE9" s="2413">
        <f>ROUND(AVERAGE(J9:J$33)/100,4)</f>
        <v>1.3299999999999999E-2</v>
      </c>
      <c r="AF9" s="2413">
        <f t="shared" ref="AF9" si="59">AE9</f>
        <v>1.3299999999999999E-2</v>
      </c>
      <c r="AG9" s="2413">
        <f>ROUND(AVERAGE(K9:K$33)/100,4)</f>
        <v>2.1100000000000001E-2</v>
      </c>
      <c r="AH9" s="2413">
        <f>ROUND(AVERAGE(L9:L$33)/100,4)</f>
        <v>1.3599999999999999E-2</v>
      </c>
    </row>
    <row r="10" spans="1:34" s="2414" customFormat="1">
      <c r="A10" s="2407" t="s">
        <v>2853</v>
      </c>
      <c r="B10" s="2408">
        <f t="shared" ref="B10" si="60">B11*(1+N10)</f>
        <v>479.34737379023579</v>
      </c>
      <c r="C10" s="2408">
        <f t="shared" ref="C10" si="61">C11*(1+O10)</f>
        <v>351.4265287986122</v>
      </c>
      <c r="D10" s="2408">
        <f t="shared" ref="D10" si="62">C10</f>
        <v>351.4265287986122</v>
      </c>
      <c r="E10" s="2408">
        <f t="shared" ref="E10" si="63">E11*(1+P10)</f>
        <v>685.98209703803116</v>
      </c>
      <c r="F10" s="2408">
        <f t="shared" ref="F10" si="64">F11*(1+Q10)</f>
        <v>316.78315206651001</v>
      </c>
      <c r="G10" s="2398">
        <v>2019</v>
      </c>
      <c r="H10" s="2409">
        <v>4</v>
      </c>
      <c r="I10" s="2409">
        <v>0.45</v>
      </c>
      <c r="J10" s="2409">
        <v>-0.12</v>
      </c>
      <c r="K10" s="2409">
        <v>0.54</v>
      </c>
      <c r="L10" s="2415">
        <v>0.48</v>
      </c>
      <c r="M10" s="2394"/>
      <c r="N10" s="2410">
        <f t="shared" ref="N10:N15" si="65">I10/100</f>
        <v>4.5000000000000005E-3</v>
      </c>
      <c r="O10" s="2395">
        <f t="shared" ref="O10" si="66">J10/100</f>
        <v>-1.1999999999999999E-3</v>
      </c>
      <c r="P10" s="2395">
        <f t="shared" ref="P10" si="67">K10/100</f>
        <v>5.4000000000000003E-3</v>
      </c>
      <c r="Q10" s="2395">
        <f t="shared" ref="Q10" si="68">L10/100</f>
        <v>4.7999999999999996E-3</v>
      </c>
      <c r="R10" s="2411"/>
      <c r="S10" s="2410"/>
      <c r="T10" s="2395"/>
      <c r="U10" s="2395"/>
      <c r="V10" s="2395"/>
      <c r="W10" s="2412"/>
      <c r="X10" s="2412">
        <f>ROUND(IF(项目基本情况!B8="出让",SUMPRODUCT(PRODUCT(1+N10:N$33)),SUMPRODUCT(PRODUCT(1+N10:N$32))),4)</f>
        <v>1.5586</v>
      </c>
      <c r="Y10" s="2412">
        <f>ROUND(IF(项目基本情况!B8="出让",SUMPRODUCT(PRODUCT(1+O10:O$33)),SUMPRODUCT(PRODUCT(1+O10:O$32))),4)</f>
        <v>1.3633</v>
      </c>
      <c r="Z10" s="2412">
        <f t="shared" ref="Z10" si="69">Y10</f>
        <v>1.3633</v>
      </c>
      <c r="AA10" s="2412">
        <f>ROUND(IF(项目基本情况!B8="出让",SUMPRODUCT(PRODUCT(1+P10:P$33)),SUMPRODUCT(PRODUCT(1+P10:P$32))),4)</f>
        <v>1.6221000000000001</v>
      </c>
      <c r="AB10" s="2412">
        <f>ROUND(IF(项目基本情况!B8="出让",SUMPRODUCT(PRODUCT(1+Q10:Q$33)),SUMPRODUCT(PRODUCT(1+Q10:Q$32))),4)</f>
        <v>1.3777999999999999</v>
      </c>
      <c r="AC10" s="2412"/>
      <c r="AD10" s="2413">
        <f>ROUND(AVERAGE(I10:I$33)/100,4)</f>
        <v>0.02</v>
      </c>
      <c r="AE10" s="2413">
        <f>ROUND(AVERAGE(J10:J$33)/100,4)</f>
        <v>1.4E-2</v>
      </c>
      <c r="AF10" s="2413">
        <f t="shared" ref="AF10" si="70">AE10</f>
        <v>1.4E-2</v>
      </c>
      <c r="AG10" s="2413">
        <f>ROUND(AVERAGE(K10:K$33)/100,4)</f>
        <v>2.1899999999999999E-2</v>
      </c>
      <c r="AH10" s="2413">
        <f>ROUND(AVERAGE(L10:L$33)/100,4)</f>
        <v>1.4E-2</v>
      </c>
    </row>
    <row r="11" spans="1:34" s="2414" customFormat="1" ht="13.5" thickBot="1">
      <c r="A11" s="2407" t="s">
        <v>2852</v>
      </c>
      <c r="B11" s="2408">
        <f t="shared" ref="B11" si="71">B12*(1+N11)</f>
        <v>477.19997390765138</v>
      </c>
      <c r="C11" s="2408">
        <f t="shared" ref="C11" si="72">C12*(1+O11)</f>
        <v>351.84874729536665</v>
      </c>
      <c r="D11" s="2408">
        <f t="shared" ref="D11" si="73">C11</f>
        <v>351.84874729536665</v>
      </c>
      <c r="E11" s="2408">
        <f t="shared" ref="E11" si="74">E12*(1+P11)</f>
        <v>682.29768951465201</v>
      </c>
      <c r="F11" s="2408">
        <f t="shared" ref="F11" si="75">F12*(1+Q11)</f>
        <v>315.26985675409043</v>
      </c>
      <c r="G11" s="2398">
        <v>2019</v>
      </c>
      <c r="H11" s="2409">
        <v>3</v>
      </c>
      <c r="I11" s="2409">
        <v>0.61</v>
      </c>
      <c r="J11" s="2409">
        <v>0.67</v>
      </c>
      <c r="K11" s="2409">
        <v>0.6</v>
      </c>
      <c r="L11" s="2415">
        <v>1.03</v>
      </c>
      <c r="M11" s="2394"/>
      <c r="N11" s="2410">
        <f t="shared" si="65"/>
        <v>6.0999999999999995E-3</v>
      </c>
      <c r="O11" s="2395">
        <f t="shared" ref="O11" si="76">J11/100</f>
        <v>6.7000000000000002E-3</v>
      </c>
      <c r="P11" s="2395">
        <f t="shared" ref="P11" si="77">K11/100</f>
        <v>6.0000000000000001E-3</v>
      </c>
      <c r="Q11" s="2395">
        <f t="shared" ref="Q11" si="78">L11/100</f>
        <v>1.03E-2</v>
      </c>
      <c r="R11" s="2411"/>
      <c r="S11" s="2410"/>
      <c r="T11" s="2395"/>
      <c r="U11" s="2395"/>
      <c r="V11" s="2395"/>
      <c r="W11" s="2412"/>
      <c r="X11" s="2412">
        <f>ROUND(IF(项目基本情况!B8="出让",SUMPRODUCT(PRODUCT(1+N11:N$33)),SUMPRODUCT(PRODUCT(1+N11:N$32))),4)</f>
        <v>1.5516000000000001</v>
      </c>
      <c r="Y11" s="2412">
        <f>ROUND(IF(项目基本情况!B8="出让",SUMPRODUCT(PRODUCT(1+O11:O$33)),SUMPRODUCT(PRODUCT(1+O11:O$32))),4)</f>
        <v>1.3649</v>
      </c>
      <c r="Z11" s="2412">
        <f t="shared" ref="Z11" si="79">Y11</f>
        <v>1.3649</v>
      </c>
      <c r="AA11" s="2412">
        <f>ROUND(IF(项目基本情况!B8="出让",SUMPRODUCT(PRODUCT(1+P11:P$33)),SUMPRODUCT(PRODUCT(1+P11:P$32))),4)</f>
        <v>1.6133999999999999</v>
      </c>
      <c r="AB11" s="2412">
        <f>ROUND(IF(项目基本情况!B8="出让",SUMPRODUCT(PRODUCT(1+Q11:Q$33)),SUMPRODUCT(PRODUCT(1+Q11:Q$32))),4)</f>
        <v>1.3713</v>
      </c>
      <c r="AC11" s="2412"/>
      <c r="AD11" s="2413">
        <f>ROUND(AVERAGE(I11:I$33)/100,4)</f>
        <v>2.07E-2</v>
      </c>
      <c r="AE11" s="2413">
        <f>ROUND(AVERAGE(J11:J$33)/100,4)</f>
        <v>1.47E-2</v>
      </c>
      <c r="AF11" s="2413">
        <f t="shared" ref="AF11" si="80">AE11</f>
        <v>1.47E-2</v>
      </c>
      <c r="AG11" s="2413">
        <f>ROUND(AVERAGE(K11:K$33)/100,4)</f>
        <v>2.2599999999999999E-2</v>
      </c>
      <c r="AH11" s="2413">
        <f>ROUND(AVERAGE(L11:L$33)/100,4)</f>
        <v>1.44E-2</v>
      </c>
    </row>
    <row r="12" spans="1:34" s="2414" customFormat="1">
      <c r="A12" s="2407" t="s">
        <v>2850</v>
      </c>
      <c r="B12" s="2408">
        <f t="shared" ref="B12" si="81">B13*(1+N12)</f>
        <v>474.30670301923408</v>
      </c>
      <c r="C12" s="2408">
        <f t="shared" ref="C12" si="82">C13*(1+O12)</f>
        <v>349.50705005996491</v>
      </c>
      <c r="D12" s="2408">
        <f t="shared" ref="D12" si="83">C12</f>
        <v>349.50705005996491</v>
      </c>
      <c r="E12" s="2408">
        <f t="shared" ref="E12" si="84">E13*(1+P12)</f>
        <v>678.22831959706957</v>
      </c>
      <c r="F12" s="2408">
        <f t="shared" ref="F12" si="85">F13*(1+Q12)</f>
        <v>312.0556832169558</v>
      </c>
      <c r="G12" s="2398">
        <v>2019</v>
      </c>
      <c r="H12" s="2416">
        <v>2</v>
      </c>
      <c r="I12" s="2416">
        <v>1.53</v>
      </c>
      <c r="J12" s="2416">
        <v>1.01</v>
      </c>
      <c r="K12" s="2416">
        <v>1.62</v>
      </c>
      <c r="L12" s="2417">
        <v>1.25</v>
      </c>
      <c r="M12" s="2394"/>
      <c r="N12" s="2410">
        <f t="shared" si="65"/>
        <v>1.5300000000000001E-2</v>
      </c>
      <c r="O12" s="2395">
        <f t="shared" ref="O12" si="86">J12/100</f>
        <v>1.01E-2</v>
      </c>
      <c r="P12" s="2395">
        <f t="shared" ref="P12" si="87">K12/100</f>
        <v>1.6200000000000003E-2</v>
      </c>
      <c r="Q12" s="2395">
        <f t="shared" ref="Q12" si="88">L12/100</f>
        <v>1.2500000000000001E-2</v>
      </c>
      <c r="R12" s="2411"/>
      <c r="S12" s="2410"/>
      <c r="T12" s="2395"/>
      <c r="U12" s="2395"/>
      <c r="V12" s="2395"/>
      <c r="W12" s="2412"/>
      <c r="X12" s="2412">
        <f>ROUND(IF(项目基本情况!B8="出让",SUMPRODUCT(PRODUCT(1+N12:N$33)),SUMPRODUCT(PRODUCT(1+N12:N$32))),4)</f>
        <v>1.5422</v>
      </c>
      <c r="Y12" s="2412">
        <f>ROUND(IF(项目基本情况!B8="出让",SUMPRODUCT(PRODUCT(1+O12:O$33)),SUMPRODUCT(PRODUCT(1+O12:O$32))),4)</f>
        <v>1.3557999999999999</v>
      </c>
      <c r="Z12" s="2412">
        <f t="shared" ref="Z12" si="89">Y12</f>
        <v>1.3557999999999999</v>
      </c>
      <c r="AA12" s="2412">
        <f>ROUND(IF(项目基本情况!B8="出让",SUMPRODUCT(PRODUCT(1+P12:P$33)),SUMPRODUCT(PRODUCT(1+P12:P$32))),4)</f>
        <v>1.6036999999999999</v>
      </c>
      <c r="AB12" s="2412">
        <f>ROUND(IF(项目基本情况!B8="出让",SUMPRODUCT(PRODUCT(1+Q12:Q$33)),SUMPRODUCT(PRODUCT(1+Q12:Q$32))),4)</f>
        <v>1.3573</v>
      </c>
      <c r="AC12" s="2412"/>
      <c r="AD12" s="2413">
        <f>ROUND(AVERAGE(I12:I$33)/100,4)</f>
        <v>2.1299999999999999E-2</v>
      </c>
      <c r="AE12" s="2413">
        <f>ROUND(AVERAGE(J12:J$33)/100,4)</f>
        <v>1.4999999999999999E-2</v>
      </c>
      <c r="AF12" s="2413">
        <f t="shared" ref="AF12" si="90">AE12</f>
        <v>1.4999999999999999E-2</v>
      </c>
      <c r="AG12" s="2413">
        <f>ROUND(AVERAGE(K12:K$33)/100,4)</f>
        <v>2.3300000000000001E-2</v>
      </c>
      <c r="AH12" s="2413">
        <f>ROUND(AVERAGE(L12:L$33)/100,4)</f>
        <v>1.46E-2</v>
      </c>
    </row>
    <row r="13" spans="1:34" s="2414" customFormat="1" ht="13.5" thickBot="1">
      <c r="A13" s="2407" t="s">
        <v>2848</v>
      </c>
      <c r="B13" s="2408">
        <f t="shared" ref="B13" si="91">B14*(1+N13)</f>
        <v>467.15916775261894</v>
      </c>
      <c r="C13" s="2408">
        <f t="shared" ref="C13" si="92">C14*(1+O13)</f>
        <v>346.01232557169084</v>
      </c>
      <c r="D13" s="2408">
        <f t="shared" ref="D13" si="93">C13</f>
        <v>346.01232557169084</v>
      </c>
      <c r="E13" s="2408">
        <f t="shared" ref="E13" si="94">E14*(1+P13)</f>
        <v>667.41617752122568</v>
      </c>
      <c r="F13" s="2408">
        <f t="shared" ref="F13" si="95">F14*(1+Q13)</f>
        <v>308.20314391798104</v>
      </c>
      <c r="G13" s="2398">
        <v>2019</v>
      </c>
      <c r="H13" s="2409">
        <v>1</v>
      </c>
      <c r="I13" s="2409">
        <v>0.6</v>
      </c>
      <c r="J13" s="2409">
        <v>0.37</v>
      </c>
      <c r="K13" s="2409">
        <v>0.63</v>
      </c>
      <c r="L13" s="2415">
        <v>1.1299999999999999</v>
      </c>
      <c r="M13" s="2394"/>
      <c r="N13" s="2410">
        <f t="shared" si="65"/>
        <v>6.0000000000000001E-3</v>
      </c>
      <c r="O13" s="2395">
        <f t="shared" ref="O13" si="96">J13/100</f>
        <v>3.7000000000000002E-3</v>
      </c>
      <c r="P13" s="2395">
        <f t="shared" ref="P13" si="97">K13/100</f>
        <v>6.3E-3</v>
      </c>
      <c r="Q13" s="2395">
        <f t="shared" ref="Q13" si="98">L13/100</f>
        <v>1.1299999999999999E-2</v>
      </c>
      <c r="R13" s="2411"/>
      <c r="S13" s="2410">
        <f>B13/B14-1</f>
        <v>6.0000000000000053E-3</v>
      </c>
      <c r="T13" s="2395">
        <f t="shared" ref="T13" si="99">C13/C14-1</f>
        <v>3.7000000000000366E-3</v>
      </c>
      <c r="U13" s="2395">
        <f t="shared" ref="U13" si="100">D13/D14-1</f>
        <v>3.7000000000000366E-3</v>
      </c>
      <c r="V13" s="2395">
        <f t="shared" ref="V13" si="101">E13/E14-1</f>
        <v>6.2999999999999723E-3</v>
      </c>
      <c r="W13" s="2412"/>
      <c r="X13" s="2412">
        <f>ROUND(IF(项目基本情况!B8="出让",SUMPRODUCT(PRODUCT(1+N13:N$33)),SUMPRODUCT(PRODUCT(1+N13:N$32))),4)</f>
        <v>1.5189999999999999</v>
      </c>
      <c r="Y13" s="2412">
        <f>ROUND(IF(项目基本情况!B8="出让",SUMPRODUCT(PRODUCT(1+O13:O$33)),SUMPRODUCT(PRODUCT(1+O13:O$32))),4)</f>
        <v>1.3423</v>
      </c>
      <c r="Z13" s="2412">
        <f t="shared" ref="Z13" si="102">Y13</f>
        <v>1.3423</v>
      </c>
      <c r="AA13" s="2412">
        <f>ROUND(IF(项目基本情况!B8="出让",SUMPRODUCT(PRODUCT(1+P13:P$33)),SUMPRODUCT(PRODUCT(1+P13:P$32))),4)</f>
        <v>1.5782</v>
      </c>
      <c r="AB13" s="2412">
        <f>ROUND(IF(项目基本情况!B8="出让",SUMPRODUCT(PRODUCT(1+Q13:Q$33)),SUMPRODUCT(PRODUCT(1+Q13:Q$32))),4)</f>
        <v>1.3405</v>
      </c>
      <c r="AC13" s="2412"/>
      <c r="AD13" s="2413">
        <f>ROUND(AVERAGE(I13:I$33)/100,4)</f>
        <v>2.1600000000000001E-2</v>
      </c>
      <c r="AE13" s="2413">
        <f>ROUND(AVERAGE(J13:J$33)/100,4)</f>
        <v>1.5299999999999999E-2</v>
      </c>
      <c r="AF13" s="2413">
        <f t="shared" ref="AF13" si="103">AE13</f>
        <v>1.5299999999999999E-2</v>
      </c>
      <c r="AG13" s="2413">
        <f>ROUND(AVERAGE(K13:K$33)/100,4)</f>
        <v>2.3699999999999999E-2</v>
      </c>
      <c r="AH13" s="2413">
        <f>ROUND(AVERAGE(L13:L$33)/100,4)</f>
        <v>1.47E-2</v>
      </c>
    </row>
    <row r="14" spans="1:34" s="2414" customFormat="1">
      <c r="A14" s="2407" t="s">
        <v>2851</v>
      </c>
      <c r="B14" s="2418">
        <f t="shared" ref="B14" si="104">B15*(1+N14)</f>
        <v>464.37293017158942</v>
      </c>
      <c r="C14" s="2418">
        <f t="shared" ref="C14" si="105">C15*(1+O14)</f>
        <v>344.73679941385956</v>
      </c>
      <c r="D14" s="2418">
        <f t="shared" ref="D14" si="106">C14</f>
        <v>344.73679941385956</v>
      </c>
      <c r="E14" s="2418">
        <f t="shared" ref="E14" si="107">E15*(1+P14)</f>
        <v>663.2377795103107</v>
      </c>
      <c r="F14" s="2419">
        <f t="shared" ref="F14" si="108">F15*(1+Q14)</f>
        <v>304.75936311478398</v>
      </c>
      <c r="G14" s="3486">
        <v>2018</v>
      </c>
      <c r="H14" s="2416">
        <v>4</v>
      </c>
      <c r="I14" s="2416">
        <v>0.96</v>
      </c>
      <c r="J14" s="2416">
        <v>1.03</v>
      </c>
      <c r="K14" s="2416">
        <v>0.92</v>
      </c>
      <c r="L14" s="2417">
        <v>1.29</v>
      </c>
      <c r="M14" s="2394"/>
      <c r="N14" s="2410">
        <f t="shared" si="65"/>
        <v>9.5999999999999992E-3</v>
      </c>
      <c r="O14" s="2395">
        <f t="shared" ref="O14" si="109">J14/100</f>
        <v>1.03E-2</v>
      </c>
      <c r="P14" s="2395">
        <f t="shared" ref="P14" si="110">K14/100</f>
        <v>9.1999999999999998E-3</v>
      </c>
      <c r="Q14" s="2395">
        <f t="shared" ref="Q14" si="111">L14/100</f>
        <v>1.29E-2</v>
      </c>
      <c r="R14" s="2411"/>
      <c r="S14" s="2410"/>
      <c r="T14" s="2395"/>
      <c r="U14" s="2395"/>
      <c r="V14" s="2395"/>
      <c r="W14" s="2412"/>
      <c r="X14" s="2412">
        <f>ROUND(SUMPRODUCT(PRODUCT(1+N14:N$32)),4)</f>
        <v>1.5099</v>
      </c>
      <c r="Y14" s="2412">
        <f>ROUND(SUMPRODUCT(PRODUCT(1+O14:O$32)),4)</f>
        <v>1.3372999999999999</v>
      </c>
      <c r="Z14" s="2412">
        <f t="shared" ref="Z14" si="112">Y14</f>
        <v>1.3372999999999999</v>
      </c>
      <c r="AA14" s="2412">
        <f>ROUND(SUMPRODUCT(PRODUCT(1+P14:P$32)),4)</f>
        <v>1.5683</v>
      </c>
      <c r="AB14" s="2412">
        <f>ROUND(SUMPRODUCT(PRODUCT(1+Q14:Q$32)),4)</f>
        <v>1.3255999999999999</v>
      </c>
      <c r="AC14" s="2412"/>
      <c r="AD14" s="2413">
        <f>ROUND(AVERAGE(I14:I$33)/100,4)</f>
        <v>2.24E-2</v>
      </c>
      <c r="AE14" s="2413">
        <f>ROUND(AVERAGE(J14:J$33)/100,4)</f>
        <v>1.5800000000000002E-2</v>
      </c>
      <c r="AF14" s="2413">
        <f t="shared" ref="AF14" si="113">AE14</f>
        <v>1.5800000000000002E-2</v>
      </c>
      <c r="AG14" s="2413">
        <f>ROUND(AVERAGE(K14:K$33)/100,4)</f>
        <v>2.4500000000000001E-2</v>
      </c>
      <c r="AH14" s="2413">
        <f>ROUND(AVERAGE(L14:L$33)/100,4)</f>
        <v>1.49E-2</v>
      </c>
    </row>
    <row r="15" spans="1:34" s="2414" customFormat="1" ht="14.45" customHeight="1">
      <c r="A15" s="2407" t="s">
        <v>2846</v>
      </c>
      <c r="B15" s="2408">
        <f t="shared" ref="B15" si="114">B16*(1+N15)</f>
        <v>459.95733971036987</v>
      </c>
      <c r="C15" s="2408">
        <f t="shared" ref="C15" si="115">C16*(1+O15)</f>
        <v>341.22221064422405</v>
      </c>
      <c r="D15" s="2408">
        <f t="shared" ref="D15" si="116">C15</f>
        <v>341.22221064422405</v>
      </c>
      <c r="E15" s="2408">
        <f t="shared" ref="E15" si="117">E16*(1+P15)</f>
        <v>657.19161663724799</v>
      </c>
      <c r="F15" s="2408">
        <f t="shared" ref="F15" si="118">F16*(1+Q15)</f>
        <v>300.87803644464805</v>
      </c>
      <c r="G15" s="3486"/>
      <c r="H15" s="2409">
        <v>3</v>
      </c>
      <c r="I15" s="2409">
        <v>1.51</v>
      </c>
      <c r="J15" s="2409">
        <v>1.41</v>
      </c>
      <c r="K15" s="2409">
        <v>1.52</v>
      </c>
      <c r="L15" s="2415">
        <v>1.74</v>
      </c>
      <c r="M15" s="2394"/>
      <c r="N15" s="2410">
        <f t="shared" si="65"/>
        <v>1.5100000000000001E-2</v>
      </c>
      <c r="O15" s="2395">
        <f t="shared" ref="O15" si="119">J15/100</f>
        <v>1.41E-2</v>
      </c>
      <c r="P15" s="2395">
        <f t="shared" ref="P15" si="120">K15/100</f>
        <v>1.52E-2</v>
      </c>
      <c r="Q15" s="2395">
        <f t="shared" ref="Q15" si="121">L15/100</f>
        <v>1.7399999999999999E-2</v>
      </c>
      <c r="R15" s="2411"/>
      <c r="S15" s="2410"/>
      <c r="T15" s="2395"/>
      <c r="U15" s="2395"/>
      <c r="V15" s="2395"/>
      <c r="W15" s="2412"/>
      <c r="X15" s="2412">
        <f>ROUND(SUMPRODUCT(PRODUCT(1+N15:N$32)),4)</f>
        <v>1.4956</v>
      </c>
      <c r="Y15" s="2412">
        <f>ROUND(SUMPRODUCT(PRODUCT(1+O15:O$32)),4)</f>
        <v>1.3237000000000001</v>
      </c>
      <c r="Z15" s="2412">
        <f t="shared" ref="Z15" si="122">Y15</f>
        <v>1.3237000000000001</v>
      </c>
      <c r="AA15" s="2412">
        <f>ROUND(SUMPRODUCT(PRODUCT(1+P15:P$32)),4)</f>
        <v>1.554</v>
      </c>
      <c r="AB15" s="2412">
        <f>ROUND(SUMPRODUCT(PRODUCT(1+Q15:Q$32)),4)</f>
        <v>1.3087</v>
      </c>
      <c r="AC15" s="2412"/>
      <c r="AD15" s="2413">
        <f>ROUND(AVERAGE(I15:I$33)/100,4)</f>
        <v>2.3099999999999999E-2</v>
      </c>
      <c r="AE15" s="2413">
        <f>ROUND(AVERAGE(J15:J$33)/100,4)</f>
        <v>1.61E-2</v>
      </c>
      <c r="AF15" s="2413">
        <f t="shared" ref="AF15" si="123">AE15</f>
        <v>1.61E-2</v>
      </c>
      <c r="AG15" s="2413">
        <f>ROUND(AVERAGE(K15:K$33)/100,4)</f>
        <v>2.53E-2</v>
      </c>
      <c r="AH15" s="2413">
        <f>ROUND(AVERAGE(L15:L$33)/100,4)</f>
        <v>1.4999999999999999E-2</v>
      </c>
    </row>
    <row r="16" spans="1:34" s="2414" customFormat="1" ht="14.45" customHeight="1">
      <c r="A16" s="2407" t="s">
        <v>2845</v>
      </c>
      <c r="B16" s="2408">
        <f t="shared" ref="B16" si="124">B17*(1+N16)</f>
        <v>453.11529869999993</v>
      </c>
      <c r="C16" s="2408">
        <f t="shared" ref="C16" si="125">C17*(1+O16)</f>
        <v>336.47787264000004</v>
      </c>
      <c r="D16" s="2408">
        <f t="shared" ref="D16" si="126">C16</f>
        <v>336.47787264000004</v>
      </c>
      <c r="E16" s="2408">
        <f t="shared" ref="E16" si="127">E17*(1+P16)</f>
        <v>647.35186823999993</v>
      </c>
      <c r="F16" s="2408">
        <f t="shared" ref="F16" si="128">F17*(1+Q16)</f>
        <v>295.73229452000004</v>
      </c>
      <c r="G16" s="3486"/>
      <c r="H16" s="2420">
        <v>2</v>
      </c>
      <c r="I16" s="2420">
        <v>1.49</v>
      </c>
      <c r="J16" s="2420">
        <v>0.96</v>
      </c>
      <c r="K16" s="2420">
        <v>1.58</v>
      </c>
      <c r="L16" s="2421">
        <v>2.44</v>
      </c>
      <c r="M16" s="2394"/>
      <c r="N16" s="2410">
        <f t="shared" ref="N16" si="129">I16/100</f>
        <v>1.49E-2</v>
      </c>
      <c r="O16" s="2395">
        <f t="shared" ref="O16" si="130">J16/100</f>
        <v>9.5999999999999992E-3</v>
      </c>
      <c r="P16" s="2395">
        <f t="shared" ref="P16" si="131">K16/100</f>
        <v>1.5800000000000002E-2</v>
      </c>
      <c r="Q16" s="2395">
        <f t="shared" ref="Q16" si="132">L16/100</f>
        <v>2.4399999999999998E-2</v>
      </c>
      <c r="R16" s="2411"/>
      <c r="S16" s="2410"/>
      <c r="T16" s="2395"/>
      <c r="U16" s="2395"/>
      <c r="V16" s="2395"/>
      <c r="W16" s="2412"/>
      <c r="X16" s="2412">
        <f>ROUND(SUMPRODUCT(PRODUCT(1+N16:N$32)),4)</f>
        <v>1.4733000000000001</v>
      </c>
      <c r="Y16" s="2412">
        <f>ROUND(SUMPRODUCT(PRODUCT(1+O16:O$32)),4)</f>
        <v>1.3052999999999999</v>
      </c>
      <c r="Z16" s="2412">
        <f t="shared" ref="Z16" si="133">Y16</f>
        <v>1.3052999999999999</v>
      </c>
      <c r="AA16" s="2412">
        <f>ROUND(SUMPRODUCT(PRODUCT(1+P16:P$32)),4)</f>
        <v>1.5306999999999999</v>
      </c>
      <c r="AB16" s="2412">
        <f>ROUND(SUMPRODUCT(PRODUCT(1+Q16:Q$32)),4)</f>
        <v>1.2863</v>
      </c>
      <c r="AC16" s="2412"/>
      <c r="AD16" s="2413">
        <f>ROUND(AVERAGE(I16:I$33)/100,4)</f>
        <v>2.35E-2</v>
      </c>
      <c r="AE16" s="2413">
        <f>ROUND(AVERAGE(J16:J$33)/100,4)</f>
        <v>1.6199999999999999E-2</v>
      </c>
      <c r="AF16" s="2413">
        <f t="shared" ref="AF16" si="134">AE16</f>
        <v>1.6199999999999999E-2</v>
      </c>
      <c r="AG16" s="2413">
        <f>ROUND(AVERAGE(K16:K$33)/100,4)</f>
        <v>2.5899999999999999E-2</v>
      </c>
      <c r="AH16" s="2413">
        <f>ROUND(AVERAGE(L16:L$33)/100,4)</f>
        <v>1.49E-2</v>
      </c>
    </row>
    <row r="17" spans="1:34" s="2414" customFormat="1" ht="15" customHeight="1" thickBot="1">
      <c r="A17" s="2407" t="s">
        <v>2838</v>
      </c>
      <c r="B17" s="2408">
        <f t="shared" ref="B17" si="135">B18*(1+N17)</f>
        <v>446.46299999999997</v>
      </c>
      <c r="C17" s="2408">
        <f t="shared" ref="C17" si="136">C18*(1+O17)</f>
        <v>333.27840000000003</v>
      </c>
      <c r="D17" s="2408">
        <f t="shared" ref="D17" si="137">C17</f>
        <v>333.27840000000003</v>
      </c>
      <c r="E17" s="2408">
        <f t="shared" ref="E17" si="138">E18*(1+P17)</f>
        <v>637.28279999999995</v>
      </c>
      <c r="F17" s="2408">
        <f t="shared" ref="F17" si="139">F18*(1+Q17)</f>
        <v>288.68830000000003</v>
      </c>
      <c r="G17" s="3495"/>
      <c r="H17" s="2409">
        <v>1</v>
      </c>
      <c r="I17" s="2409">
        <v>1.7</v>
      </c>
      <c r="J17" s="2409">
        <v>1.92</v>
      </c>
      <c r="K17" s="2409">
        <v>1.64</v>
      </c>
      <c r="L17" s="2415">
        <v>2.0099999999999998</v>
      </c>
      <c r="M17" s="2394"/>
      <c r="N17" s="2410">
        <f t="shared" ref="N17:N22" si="140">I17/100</f>
        <v>1.7000000000000001E-2</v>
      </c>
      <c r="O17" s="2395">
        <f t="shared" ref="O17" si="141">J17/100</f>
        <v>1.9199999999999998E-2</v>
      </c>
      <c r="P17" s="2395">
        <f t="shared" ref="P17" si="142">K17/100</f>
        <v>1.6399999999999998E-2</v>
      </c>
      <c r="Q17" s="2395">
        <f t="shared" ref="Q17" si="143">L17/100</f>
        <v>2.0099999999999996E-2</v>
      </c>
      <c r="R17" s="2411"/>
      <c r="S17" s="2410">
        <f>B17/B18-1</f>
        <v>1.6999999999999904E-2</v>
      </c>
      <c r="T17" s="2395">
        <f t="shared" ref="T17" si="144">C17/C18-1</f>
        <v>1.9200000000000106E-2</v>
      </c>
      <c r="U17" s="2395">
        <f t="shared" ref="U17" si="145">D17/D18-1</f>
        <v>1.9200000000000106E-2</v>
      </c>
      <c r="V17" s="2395">
        <f t="shared" ref="V17" si="146">E17/E18-1</f>
        <v>1.639999999999997E-2</v>
      </c>
      <c r="W17" s="2412"/>
      <c r="X17" s="2412">
        <f>ROUND(SUMPRODUCT(PRODUCT(1+N17:N$32)),4)</f>
        <v>1.4517</v>
      </c>
      <c r="Y17" s="2412">
        <f>ROUND(SUMPRODUCT(PRODUCT(1+O17:O$32)),4)</f>
        <v>1.2928999999999999</v>
      </c>
      <c r="Z17" s="2412">
        <f t="shared" ref="Z17" si="147">Y17</f>
        <v>1.2928999999999999</v>
      </c>
      <c r="AA17" s="2412">
        <f>ROUND(SUMPRODUCT(PRODUCT(1+P17:P$32)),4)</f>
        <v>1.5068999999999999</v>
      </c>
      <c r="AB17" s="2412">
        <f>ROUND(SUMPRODUCT(PRODUCT(1+Q17:Q$32)),4)</f>
        <v>1.2557</v>
      </c>
      <c r="AC17" s="2412"/>
      <c r="AD17" s="2413">
        <f>ROUND(AVERAGE(I17:I$33)/100,4)</f>
        <v>2.4E-2</v>
      </c>
      <c r="AE17" s="2413">
        <f>ROUND(AVERAGE(J17:J$33)/100,4)</f>
        <v>1.66E-2</v>
      </c>
      <c r="AF17" s="2413">
        <f t="shared" ref="AF17" si="148">AE17</f>
        <v>1.66E-2</v>
      </c>
      <c r="AG17" s="2413">
        <f>ROUND(AVERAGE(K17:K$33)/100,4)</f>
        <v>2.6499999999999999E-2</v>
      </c>
      <c r="AH17" s="2413">
        <f>ROUND(AVERAGE(L17:L$33)/100,4)</f>
        <v>1.43E-2</v>
      </c>
    </row>
    <row r="18" spans="1:34">
      <c r="A18" s="2407" t="s">
        <v>2836</v>
      </c>
      <c r="B18" s="2422">
        <v>439</v>
      </c>
      <c r="C18" s="2422">
        <v>327</v>
      </c>
      <c r="D18" s="2422">
        <f>C18</f>
        <v>327</v>
      </c>
      <c r="E18" s="2422">
        <v>627</v>
      </c>
      <c r="F18" s="2423">
        <v>283</v>
      </c>
      <c r="G18" s="3491">
        <v>2017</v>
      </c>
      <c r="H18" s="2416">
        <v>4</v>
      </c>
      <c r="I18" s="2416">
        <v>1.71</v>
      </c>
      <c r="J18" s="2416">
        <v>1.78</v>
      </c>
      <c r="K18" s="2416">
        <v>1.71</v>
      </c>
      <c r="L18" s="2417">
        <v>1.43</v>
      </c>
      <c r="N18" s="2410">
        <f t="shared" si="140"/>
        <v>1.7100000000000001E-2</v>
      </c>
      <c r="O18" s="2395">
        <f t="shared" ref="O18" si="149">J18/100</f>
        <v>1.78E-2</v>
      </c>
      <c r="P18" s="2395">
        <f t="shared" ref="P18" si="150">K18/100</f>
        <v>1.7100000000000001E-2</v>
      </c>
      <c r="Q18" s="2395">
        <f t="shared" ref="Q18" si="151">L18/100</f>
        <v>1.43E-2</v>
      </c>
      <c r="R18" s="2411"/>
      <c r="S18" s="2424"/>
      <c r="T18" s="2425"/>
      <c r="U18" s="2425"/>
      <c r="V18" s="2425"/>
      <c r="X18" s="2394">
        <f>ROUND(SUMPRODUCT(PRODUCT(1+N18:N$32)),4)</f>
        <v>1.4274</v>
      </c>
      <c r="Y18" s="2394">
        <f>ROUND(SUMPRODUCT(PRODUCT(1+O18:O$32)),4)</f>
        <v>1.2685</v>
      </c>
      <c r="Z18" s="2394">
        <f t="shared" si="0"/>
        <v>1.2685</v>
      </c>
      <c r="AA18" s="2394">
        <f>ROUND(SUMPRODUCT(PRODUCT(1+P18:P$32)),4)</f>
        <v>1.4825999999999999</v>
      </c>
      <c r="AB18" s="2394">
        <f>ROUND(SUMPRODUCT(PRODUCT(1+Q18:Q$32)),4)</f>
        <v>1.2309000000000001</v>
      </c>
      <c r="AD18" s="2395">
        <f>ROUND(AVERAGE(I18:I$33)/100,4)</f>
        <v>2.4500000000000001E-2</v>
      </c>
      <c r="AE18" s="2395">
        <f>ROUND(AVERAGE(J18:J$33)/100,4)</f>
        <v>1.6500000000000001E-2</v>
      </c>
      <c r="AF18" s="2395">
        <f t="shared" si="1"/>
        <v>1.6500000000000001E-2</v>
      </c>
      <c r="AG18" s="2395">
        <f>ROUND(AVERAGE(K18:K$33)/100,4)</f>
        <v>2.7099999999999999E-2</v>
      </c>
      <c r="AH18" s="2395">
        <f>ROUND(AVERAGE(L18:L$33)/100,4)</f>
        <v>1.3899999999999999E-2</v>
      </c>
    </row>
    <row r="19" spans="1:34" s="2414" customFormat="1" ht="14.45" customHeight="1">
      <c r="A19" s="2407" t="s">
        <v>2837</v>
      </c>
      <c r="B19" s="2408">
        <f t="shared" ref="B19:B20" si="152">B20*(1+N19)</f>
        <v>431.80730811680002</v>
      </c>
      <c r="C19" s="2408">
        <f t="shared" ref="C19:C20" si="153">C20*(1+O19)</f>
        <v>320.57880516480003</v>
      </c>
      <c r="D19" s="2408">
        <f t="shared" ref="D19:D20" si="154">C19</f>
        <v>320.57880516480003</v>
      </c>
      <c r="E19" s="2408">
        <f t="shared" ref="E19:E20" si="155">E20*(1+P19)</f>
        <v>615.96110553196797</v>
      </c>
      <c r="F19" s="2408">
        <f t="shared" ref="F19:F20" si="156">F20*(1+Q19)</f>
        <v>279.46777300108801</v>
      </c>
      <c r="G19" s="3486"/>
      <c r="H19" s="2409">
        <v>3</v>
      </c>
      <c r="I19" s="2409">
        <v>2.98</v>
      </c>
      <c r="J19" s="2409">
        <v>2.11</v>
      </c>
      <c r="K19" s="2409">
        <v>3.24</v>
      </c>
      <c r="L19" s="2415">
        <v>1.72</v>
      </c>
      <c r="M19" s="2394"/>
      <c r="N19" s="2410">
        <f t="shared" si="140"/>
        <v>2.98E-2</v>
      </c>
      <c r="O19" s="2395">
        <f t="shared" ref="O19" si="157">J19/100</f>
        <v>2.1099999999999997E-2</v>
      </c>
      <c r="P19" s="2395">
        <f t="shared" ref="P19" si="158">K19/100</f>
        <v>3.2400000000000005E-2</v>
      </c>
      <c r="Q19" s="2395">
        <f t="shared" ref="Q19" si="159">L19/100</f>
        <v>1.72E-2</v>
      </c>
      <c r="R19" s="2411"/>
      <c r="S19" s="2410"/>
      <c r="T19" s="2395"/>
      <c r="U19" s="2395"/>
      <c r="V19" s="2395"/>
      <c r="W19" s="2412"/>
      <c r="X19" s="2412">
        <f>ROUND(SUMPRODUCT(PRODUCT(1+N19:N$32)),4)</f>
        <v>1.4034</v>
      </c>
      <c r="Y19" s="2412">
        <f>ROUND(SUMPRODUCT(PRODUCT(1+O19:O$32)),4)</f>
        <v>1.2463</v>
      </c>
      <c r="Z19" s="2412">
        <f t="shared" si="0"/>
        <v>1.2463</v>
      </c>
      <c r="AA19" s="2412">
        <f>ROUND(SUMPRODUCT(PRODUCT(1+P19:P$32)),4)</f>
        <v>1.4577</v>
      </c>
      <c r="AB19" s="2412">
        <f>ROUND(SUMPRODUCT(PRODUCT(1+Q19:Q$32)),4)</f>
        <v>1.2136</v>
      </c>
      <c r="AC19" s="2412"/>
      <c r="AD19" s="2413">
        <f>ROUND(AVERAGE(I19:I$33)/100,4)</f>
        <v>2.4899999999999999E-2</v>
      </c>
      <c r="AE19" s="2413">
        <f>ROUND(AVERAGE(J19:J$33)/100,4)</f>
        <v>1.6400000000000001E-2</v>
      </c>
      <c r="AF19" s="2413">
        <f t="shared" si="1"/>
        <v>1.6400000000000001E-2</v>
      </c>
      <c r="AG19" s="2413">
        <f>ROUND(AVERAGE(K19:K$33)/100,4)</f>
        <v>2.7799999999999998E-2</v>
      </c>
      <c r="AH19" s="2413">
        <f>ROUND(AVERAGE(L19:L$33)/100,4)</f>
        <v>1.3899999999999999E-2</v>
      </c>
    </row>
    <row r="20" spans="1:34" s="2401" customFormat="1" ht="14.45" customHeight="1">
      <c r="A20" s="2407" t="s">
        <v>1351</v>
      </c>
      <c r="B20" s="2408">
        <f t="shared" si="152"/>
        <v>419.31181600000002</v>
      </c>
      <c r="C20" s="2408">
        <f t="shared" si="153"/>
        <v>313.95436800000004</v>
      </c>
      <c r="D20" s="2408">
        <f t="shared" si="154"/>
        <v>313.95436800000004</v>
      </c>
      <c r="E20" s="2408">
        <f t="shared" si="155"/>
        <v>596.63028431999999</v>
      </c>
      <c r="F20" s="2408">
        <f t="shared" si="156"/>
        <v>274.74220703999998</v>
      </c>
      <c r="G20" s="3486"/>
      <c r="H20" s="2420">
        <v>2</v>
      </c>
      <c r="I20" s="2420">
        <v>3.4</v>
      </c>
      <c r="J20" s="2420">
        <v>2</v>
      </c>
      <c r="K20" s="2420">
        <v>3.82</v>
      </c>
      <c r="L20" s="2421">
        <v>1.68</v>
      </c>
      <c r="M20" s="2394"/>
      <c r="N20" s="2410">
        <f t="shared" si="140"/>
        <v>3.4000000000000002E-2</v>
      </c>
      <c r="O20" s="2395">
        <f t="shared" ref="O20" si="160">J20/100</f>
        <v>0.02</v>
      </c>
      <c r="P20" s="2395">
        <f t="shared" ref="P20" si="161">K20/100</f>
        <v>3.8199999999999998E-2</v>
      </c>
      <c r="Q20" s="2395">
        <f t="shared" ref="Q20" si="162">L20/100</f>
        <v>1.6799999999999999E-2</v>
      </c>
      <c r="R20" s="2411"/>
      <c r="S20" s="2424"/>
      <c r="T20" s="2425"/>
      <c r="U20" s="2425"/>
      <c r="V20" s="2425"/>
      <c r="W20" s="2388"/>
      <c r="X20" s="2412">
        <f>ROUND(SUMPRODUCT(PRODUCT(1+N20:N$32)),4)</f>
        <v>1.3628</v>
      </c>
      <c r="Y20" s="2412">
        <f>ROUND(SUMPRODUCT(PRODUCT(1+O20:O$32)),4)</f>
        <v>1.2205999999999999</v>
      </c>
      <c r="Z20" s="2412">
        <f t="shared" si="0"/>
        <v>1.2205999999999999</v>
      </c>
      <c r="AA20" s="2412">
        <f>ROUND(SUMPRODUCT(PRODUCT(1+P20:P$32)),4)</f>
        <v>1.4118999999999999</v>
      </c>
      <c r="AB20" s="2412">
        <f>ROUND(SUMPRODUCT(PRODUCT(1+Q20:Q$32)),4)</f>
        <v>1.1930000000000001</v>
      </c>
      <c r="AC20" s="2388"/>
      <c r="AD20" s="2413">
        <f>ROUND(AVERAGE(I20:I$33)/100,4)</f>
        <v>2.46E-2</v>
      </c>
      <c r="AE20" s="2413">
        <f>ROUND(AVERAGE(J20:J$33)/100,4)</f>
        <v>1.6E-2</v>
      </c>
      <c r="AF20" s="2413">
        <f t="shared" si="1"/>
        <v>1.6E-2</v>
      </c>
      <c r="AG20" s="2413">
        <f>ROUND(AVERAGE(K20:K$33)/100,4)</f>
        <v>2.75E-2</v>
      </c>
      <c r="AH20" s="2413">
        <f>ROUND(AVERAGE(L20:L$33)/100,4)</f>
        <v>1.37E-2</v>
      </c>
    </row>
    <row r="21" spans="1:34" s="2414" customFormat="1" ht="15" customHeight="1" thickBot="1">
      <c r="A21" s="2407" t="s">
        <v>1128</v>
      </c>
      <c r="B21" s="2408">
        <f>B22*(1+N21)</f>
        <v>405.524</v>
      </c>
      <c r="C21" s="2408">
        <f>C22*(1+O21)</f>
        <v>307.79840000000002</v>
      </c>
      <c r="D21" s="2408">
        <f>C21</f>
        <v>307.79840000000002</v>
      </c>
      <c r="E21" s="2408">
        <f>E22*(1+P21)</f>
        <v>574.67759999999998</v>
      </c>
      <c r="F21" s="2408">
        <f>F22*(1+Q21)</f>
        <v>270.20280000000002</v>
      </c>
      <c r="G21" s="3495"/>
      <c r="H21" s="2409">
        <v>1</v>
      </c>
      <c r="I21" s="2409">
        <v>3.45</v>
      </c>
      <c r="J21" s="2409">
        <v>1.92</v>
      </c>
      <c r="K21" s="2409">
        <v>3.92</v>
      </c>
      <c r="L21" s="2415">
        <v>1.58</v>
      </c>
      <c r="M21" s="2394"/>
      <c r="N21" s="2410">
        <f t="shared" si="140"/>
        <v>3.4500000000000003E-2</v>
      </c>
      <c r="O21" s="2395">
        <f t="shared" ref="O21:Q36" si="163">J21/100</f>
        <v>1.9199999999999998E-2</v>
      </c>
      <c r="P21" s="2395">
        <f t="shared" si="163"/>
        <v>3.9199999999999999E-2</v>
      </c>
      <c r="Q21" s="2395">
        <f t="shared" si="163"/>
        <v>1.5800000000000002E-2</v>
      </c>
      <c r="R21" s="2411"/>
      <c r="S21" s="2410">
        <f>B21/B22-1</f>
        <v>3.4499999999999975E-2</v>
      </c>
      <c r="T21" s="2395">
        <f t="shared" ref="T21:V21" si="164">C21/C22-1</f>
        <v>1.9200000000000106E-2</v>
      </c>
      <c r="U21" s="2395">
        <f t="shared" si="164"/>
        <v>1.9200000000000106E-2</v>
      </c>
      <c r="V21" s="2395">
        <f t="shared" si="164"/>
        <v>3.9199999999999902E-2</v>
      </c>
      <c r="W21" s="2412"/>
      <c r="X21" s="2412">
        <f>ROUND(SUMPRODUCT(PRODUCT(1+N21:N$32)),4)</f>
        <v>1.3180000000000001</v>
      </c>
      <c r="Y21" s="2412">
        <f>ROUND(SUMPRODUCT(PRODUCT(1+O21:O$32)),4)</f>
        <v>1.1966000000000001</v>
      </c>
      <c r="Z21" s="2412">
        <f t="shared" si="0"/>
        <v>1.1966000000000001</v>
      </c>
      <c r="AA21" s="2412">
        <f>ROUND(SUMPRODUCT(PRODUCT(1+P21:P$32)),4)</f>
        <v>1.36</v>
      </c>
      <c r="AB21" s="2412">
        <f>ROUND(SUMPRODUCT(PRODUCT(1+Q21:Q$32)),4)</f>
        <v>1.1733</v>
      </c>
      <c r="AC21" s="2412"/>
      <c r="AD21" s="2413">
        <f>ROUND(AVERAGE(I21:I$33)/100,4)</f>
        <v>2.3900000000000001E-2</v>
      </c>
      <c r="AE21" s="2413">
        <f>ROUND(AVERAGE(J21:J$33)/100,4)</f>
        <v>1.5699999999999999E-2</v>
      </c>
      <c r="AF21" s="2413">
        <f t="shared" si="1"/>
        <v>1.5699999999999999E-2</v>
      </c>
      <c r="AG21" s="2413">
        <f>ROUND(AVERAGE(K21:K$33)/100,4)</f>
        <v>2.6599999999999999E-2</v>
      </c>
      <c r="AH21" s="2413">
        <f>ROUND(AVERAGE(L21:L$33)/100,4)</f>
        <v>1.34E-2</v>
      </c>
    </row>
    <row r="22" spans="1:34">
      <c r="A22" s="2407" t="s">
        <v>154</v>
      </c>
      <c r="B22" s="2422">
        <v>392</v>
      </c>
      <c r="C22" s="2422">
        <v>302</v>
      </c>
      <c r="D22" s="2422">
        <f>C22</f>
        <v>302</v>
      </c>
      <c r="E22" s="2422">
        <v>553</v>
      </c>
      <c r="F22" s="2423">
        <v>266</v>
      </c>
      <c r="G22" s="3491">
        <v>2016</v>
      </c>
      <c r="H22" s="2416">
        <v>4</v>
      </c>
      <c r="I22" s="2416">
        <v>4.5599999999999996</v>
      </c>
      <c r="J22" s="2416">
        <v>2.15</v>
      </c>
      <c r="K22" s="2416">
        <v>5.32</v>
      </c>
      <c r="L22" s="2417">
        <v>1.57</v>
      </c>
      <c r="N22" s="2410">
        <f t="shared" si="140"/>
        <v>4.5599999999999995E-2</v>
      </c>
      <c r="O22" s="2395">
        <f t="shared" si="163"/>
        <v>2.1499999999999998E-2</v>
      </c>
      <c r="P22" s="2395">
        <f t="shared" si="163"/>
        <v>5.3200000000000004E-2</v>
      </c>
      <c r="Q22" s="2395">
        <f t="shared" si="163"/>
        <v>1.5700000000000002E-2</v>
      </c>
      <c r="R22" s="2411"/>
      <c r="S22" s="2424"/>
      <c r="T22" s="2425"/>
      <c r="U22" s="2425"/>
      <c r="V22" s="2425"/>
      <c r="X22" s="2394">
        <f>ROUND(SUMPRODUCT(PRODUCT(1+N22:N$32)),4)</f>
        <v>1.274</v>
      </c>
      <c r="Y22" s="2394">
        <f>ROUND(SUMPRODUCT(PRODUCT(1+O22:O$32)),4)</f>
        <v>1.1740999999999999</v>
      </c>
      <c r="Z22" s="2394">
        <f t="shared" si="0"/>
        <v>1.1740999999999999</v>
      </c>
      <c r="AA22" s="2394">
        <f>ROUND(SUMPRODUCT(PRODUCT(1+P22:P$32)),4)</f>
        <v>1.3087</v>
      </c>
      <c r="AB22" s="2394">
        <f>ROUND(SUMPRODUCT(PRODUCT(1+Q22:Q$32)),4)</f>
        <v>1.1551</v>
      </c>
      <c r="AD22" s="2395">
        <f>ROUND(AVERAGE(I22:I$33)/100,4)</f>
        <v>2.3E-2</v>
      </c>
      <c r="AE22" s="2395">
        <f>ROUND(AVERAGE(J22:J$33)/100,4)</f>
        <v>1.55E-2</v>
      </c>
      <c r="AF22" s="2395">
        <f t="shared" si="1"/>
        <v>1.55E-2</v>
      </c>
      <c r="AG22" s="2395">
        <f>ROUND(AVERAGE(K22:K$33)/100,4)</f>
        <v>2.5600000000000001E-2</v>
      </c>
      <c r="AH22" s="2395">
        <f>ROUND(AVERAGE(L22:L$33)/100,4)</f>
        <v>1.32E-2</v>
      </c>
    </row>
    <row r="23" spans="1:34">
      <c r="A23" s="2407" t="s">
        <v>153</v>
      </c>
      <c r="B23" s="2408">
        <f t="shared" ref="B23:C25" si="165">B22/(1+N22)</f>
        <v>374.90436113236416</v>
      </c>
      <c r="C23" s="2408">
        <f t="shared" si="165"/>
        <v>295.64366128242779</v>
      </c>
      <c r="D23" s="2408">
        <f t="shared" ref="D23:D82" si="166">C23</f>
        <v>295.64366128242779</v>
      </c>
      <c r="E23" s="2408">
        <f t="shared" ref="E23:F25" si="167">E22/(1+P22)</f>
        <v>525.06646410938095</v>
      </c>
      <c r="F23" s="2408">
        <f t="shared" si="167"/>
        <v>261.88835286009646</v>
      </c>
      <c r="G23" s="3486"/>
      <c r="H23" s="2409">
        <v>3</v>
      </c>
      <c r="I23" s="2409">
        <v>4.12</v>
      </c>
      <c r="J23" s="2409">
        <v>2</v>
      </c>
      <c r="K23" s="2409">
        <v>4.79</v>
      </c>
      <c r="L23" s="2415">
        <v>1.97</v>
      </c>
      <c r="N23" s="2410">
        <f t="shared" ref="N23:Q57" si="168">I23/100</f>
        <v>4.1200000000000001E-2</v>
      </c>
      <c r="O23" s="2395">
        <f t="shared" si="163"/>
        <v>0.02</v>
      </c>
      <c r="P23" s="2395">
        <f t="shared" si="163"/>
        <v>4.7899999999999998E-2</v>
      </c>
      <c r="Q23" s="2395">
        <f t="shared" si="163"/>
        <v>1.9699999999999999E-2</v>
      </c>
      <c r="R23" s="2411"/>
      <c r="S23" s="2410"/>
      <c r="T23" s="2395"/>
      <c r="U23" s="2395"/>
      <c r="V23" s="2395"/>
      <c r="X23" s="2394">
        <f>ROUND(SUMPRODUCT(PRODUCT(1+N23:N$32)),4)</f>
        <v>1.2184999999999999</v>
      </c>
      <c r="Y23" s="2394">
        <f>ROUND(SUMPRODUCT(PRODUCT(1+O23:O$32)),4)</f>
        <v>1.1494</v>
      </c>
      <c r="Z23" s="2394">
        <f t="shared" si="0"/>
        <v>1.1494</v>
      </c>
      <c r="AA23" s="2394">
        <f>ROUND(SUMPRODUCT(PRODUCT(1+P23:P$32)),4)</f>
        <v>1.2425999999999999</v>
      </c>
      <c r="AB23" s="2394">
        <f>ROUND(SUMPRODUCT(PRODUCT(1+Q23:Q$32)),4)</f>
        <v>1.1372</v>
      </c>
      <c r="AD23" s="2395">
        <f>ROUND(AVERAGE(I23:I$33)/100,4)</f>
        <v>2.0899999999999998E-2</v>
      </c>
      <c r="AE23" s="2395">
        <f>ROUND(AVERAGE(J23:J$33)/100,4)</f>
        <v>1.49E-2</v>
      </c>
      <c r="AF23" s="2395">
        <f t="shared" si="1"/>
        <v>1.49E-2</v>
      </c>
      <c r="AG23" s="2395">
        <f>ROUND(AVERAGE(K23:K$33)/100,4)</f>
        <v>2.3099999999999999E-2</v>
      </c>
      <c r="AH23" s="2395">
        <f>ROUND(AVERAGE(L23:L$33)/100,4)</f>
        <v>1.2999999999999999E-2</v>
      </c>
    </row>
    <row r="24" spans="1:34">
      <c r="A24" s="2407" t="s">
        <v>143</v>
      </c>
      <c r="B24" s="2408">
        <f t="shared" si="165"/>
        <v>360.06949782209392</v>
      </c>
      <c r="C24" s="2408">
        <f t="shared" si="165"/>
        <v>289.84672674747821</v>
      </c>
      <c r="D24" s="2408">
        <f t="shared" si="166"/>
        <v>289.84672674747821</v>
      </c>
      <c r="E24" s="2408">
        <f t="shared" si="167"/>
        <v>501.06543001181495</v>
      </c>
      <c r="F24" s="2408">
        <f t="shared" si="167"/>
        <v>256.82882500744967</v>
      </c>
      <c r="G24" s="3486"/>
      <c r="H24" s="2420">
        <v>2</v>
      </c>
      <c r="I24" s="2420">
        <v>3.85</v>
      </c>
      <c r="J24" s="2420">
        <v>1.95</v>
      </c>
      <c r="K24" s="2420">
        <v>4.4800000000000004</v>
      </c>
      <c r="L24" s="2421">
        <v>1.41</v>
      </c>
      <c r="N24" s="2410">
        <f t="shared" si="168"/>
        <v>3.85E-2</v>
      </c>
      <c r="O24" s="2395">
        <f t="shared" si="163"/>
        <v>1.95E-2</v>
      </c>
      <c r="P24" s="2395">
        <f t="shared" si="163"/>
        <v>4.4800000000000006E-2</v>
      </c>
      <c r="Q24" s="2395">
        <f t="shared" si="163"/>
        <v>1.41E-2</v>
      </c>
      <c r="R24" s="2411"/>
      <c r="S24" s="2410"/>
      <c r="T24" s="2395"/>
      <c r="U24" s="2395"/>
      <c r="V24" s="2395"/>
      <c r="X24" s="2394">
        <f>ROUND(SUMPRODUCT(PRODUCT(1+N24:N$32)),4)</f>
        <v>1.1702999999999999</v>
      </c>
      <c r="Y24" s="2394">
        <f>ROUND(SUMPRODUCT(PRODUCT(1+O24:O$32)),4)</f>
        <v>1.1269</v>
      </c>
      <c r="Z24" s="2394">
        <f t="shared" si="0"/>
        <v>1.1269</v>
      </c>
      <c r="AA24" s="2394">
        <f>ROUND(SUMPRODUCT(PRODUCT(1+P24:P$32)),4)</f>
        <v>1.1858</v>
      </c>
      <c r="AB24" s="2394">
        <f>ROUND(SUMPRODUCT(PRODUCT(1+Q24:Q$32)),4)</f>
        <v>1.1152</v>
      </c>
      <c r="AD24" s="2395">
        <f>ROUND(AVERAGE(I24:I$33)/100,4)</f>
        <v>1.89E-2</v>
      </c>
      <c r="AE24" s="2395">
        <f>ROUND(AVERAGE(J24:J$33)/100,4)</f>
        <v>1.44E-2</v>
      </c>
      <c r="AF24" s="2395">
        <f t="shared" si="1"/>
        <v>1.44E-2</v>
      </c>
      <c r="AG24" s="2395">
        <f>ROUND(AVERAGE(K24:K$33)/100,4)</f>
        <v>2.06E-2</v>
      </c>
      <c r="AH24" s="2395">
        <f>ROUND(AVERAGE(L24:L$33)/100,4)</f>
        <v>1.23E-2</v>
      </c>
    </row>
    <row r="25" spans="1:34" ht="13.5" thickBot="1">
      <c r="A25" s="2407" t="s">
        <v>152</v>
      </c>
      <c r="B25" s="2408">
        <f t="shared" si="165"/>
        <v>346.720748986128</v>
      </c>
      <c r="C25" s="2408">
        <f t="shared" si="165"/>
        <v>284.30282172386285</v>
      </c>
      <c r="D25" s="2408">
        <f t="shared" si="166"/>
        <v>284.30282172386285</v>
      </c>
      <c r="E25" s="2408">
        <f t="shared" si="167"/>
        <v>479.58023546306947</v>
      </c>
      <c r="F25" s="2408">
        <f t="shared" si="167"/>
        <v>253.25788877571213</v>
      </c>
      <c r="G25" s="3487"/>
      <c r="H25" s="2409">
        <v>1</v>
      </c>
      <c r="I25" s="2409">
        <v>4.09</v>
      </c>
      <c r="J25" s="2409">
        <v>2.93</v>
      </c>
      <c r="K25" s="2409">
        <v>4.54</v>
      </c>
      <c r="L25" s="2415">
        <v>1.48</v>
      </c>
      <c r="N25" s="2410">
        <f t="shared" si="168"/>
        <v>4.0899999999999999E-2</v>
      </c>
      <c r="O25" s="2395">
        <f t="shared" si="163"/>
        <v>2.9300000000000003E-2</v>
      </c>
      <c r="P25" s="2395">
        <f t="shared" si="163"/>
        <v>4.5400000000000003E-2</v>
      </c>
      <c r="Q25" s="2395">
        <f t="shared" si="163"/>
        <v>1.4800000000000001E-2</v>
      </c>
      <c r="R25" s="2411"/>
      <c r="S25" s="2426">
        <f>B25/B26-1</f>
        <v>4.1203450408792808E-2</v>
      </c>
      <c r="T25" s="2427">
        <f>C25/C26-1</f>
        <v>2.6363977342465095E-2</v>
      </c>
      <c r="U25" s="2427">
        <f>E25/E26-1</f>
        <v>4.4837114298626357E-2</v>
      </c>
      <c r="V25" s="2427">
        <f>F25/F26-1</f>
        <v>1.7099954922538574E-2</v>
      </c>
      <c r="X25" s="2394">
        <f>ROUND(SUMPRODUCT(PRODUCT(1+N25:N$32)),4)</f>
        <v>1.1269</v>
      </c>
      <c r="Y25" s="2394">
        <f>ROUND(SUMPRODUCT(PRODUCT(1+O25:O$32)),4)</f>
        <v>1.1052999999999999</v>
      </c>
      <c r="Z25" s="2394">
        <f t="shared" si="0"/>
        <v>1.1052999999999999</v>
      </c>
      <c r="AA25" s="2394">
        <f>ROUND(SUMPRODUCT(PRODUCT(1+P25:P$32)),4)</f>
        <v>1.1349</v>
      </c>
      <c r="AB25" s="2394">
        <f>ROUND(SUMPRODUCT(PRODUCT(1+Q25:Q$32)),4)</f>
        <v>1.0996999999999999</v>
      </c>
      <c r="AD25" s="2395">
        <f>ROUND(AVERAGE(I25:I$33)/100,4)</f>
        <v>1.67E-2</v>
      </c>
      <c r="AE25" s="2395">
        <f>ROUND(AVERAGE(J25:J$33)/100,4)</f>
        <v>1.38E-2</v>
      </c>
      <c r="AF25" s="2395">
        <f t="shared" si="1"/>
        <v>1.38E-2</v>
      </c>
      <c r="AG25" s="2395">
        <f>ROUND(AVERAGE(K25:K$33)/100,4)</f>
        <v>1.7899999999999999E-2</v>
      </c>
      <c r="AH25" s="2395">
        <f>ROUND(AVERAGE(L25:L$33)/100,4)</f>
        <v>1.21E-2</v>
      </c>
    </row>
    <row r="26" spans="1:34" ht="13.5" thickBot="1">
      <c r="A26" s="2407" t="s">
        <v>151</v>
      </c>
      <c r="B26" s="2422">
        <v>333</v>
      </c>
      <c r="C26" s="2422">
        <v>277</v>
      </c>
      <c r="D26" s="2422">
        <f t="shared" si="166"/>
        <v>277</v>
      </c>
      <c r="E26" s="2422">
        <v>459</v>
      </c>
      <c r="F26" s="2423">
        <v>249</v>
      </c>
      <c r="G26" s="3485">
        <v>2015</v>
      </c>
      <c r="H26" s="2428">
        <v>4</v>
      </c>
      <c r="I26" s="2428">
        <v>1.63</v>
      </c>
      <c r="J26" s="2428">
        <v>1.1100000000000001</v>
      </c>
      <c r="K26" s="2428">
        <v>1.77</v>
      </c>
      <c r="L26" s="2429">
        <v>1.89</v>
      </c>
      <c r="N26" s="2430">
        <f t="shared" si="168"/>
        <v>1.6299999999999999E-2</v>
      </c>
      <c r="O26" s="2431">
        <f t="shared" si="163"/>
        <v>1.11E-2</v>
      </c>
      <c r="P26" s="2431">
        <f t="shared" si="163"/>
        <v>1.77E-2</v>
      </c>
      <c r="Q26" s="2431">
        <f t="shared" si="163"/>
        <v>1.89E-2</v>
      </c>
      <c r="R26" s="2411"/>
      <c r="X26" s="2394">
        <f>ROUND(SUMPRODUCT(PRODUCT(1+N26:N$32)),4)</f>
        <v>1.0826</v>
      </c>
      <c r="Y26" s="2394">
        <f>ROUND(SUMPRODUCT(PRODUCT(1+O26:O$32)),4)</f>
        <v>1.0738000000000001</v>
      </c>
      <c r="Z26" s="2394">
        <f t="shared" si="0"/>
        <v>1.0738000000000001</v>
      </c>
      <c r="AA26" s="2394">
        <f>ROUND(SUMPRODUCT(PRODUCT(1+P26:P$32)),4)</f>
        <v>1.0855999999999999</v>
      </c>
      <c r="AB26" s="2394">
        <f>ROUND(SUMPRODUCT(PRODUCT(1+Q26:Q$32)),4)</f>
        <v>1.0837000000000001</v>
      </c>
      <c r="AD26" s="2395">
        <f>ROUND(AVERAGE(I26:I$33)/100,4)</f>
        <v>1.37E-2</v>
      </c>
      <c r="AE26" s="2395">
        <f>ROUND(AVERAGE(J26:J$33)/100,4)</f>
        <v>1.1900000000000001E-2</v>
      </c>
      <c r="AF26" s="2395">
        <f t="shared" si="1"/>
        <v>1.1900000000000001E-2</v>
      </c>
      <c r="AG26" s="2395">
        <f>ROUND(AVERAGE(K26:K$33)/100,4)</f>
        <v>1.4500000000000001E-2</v>
      </c>
      <c r="AH26" s="2395">
        <f>ROUND(AVERAGE(L26:L$33)/100,4)</f>
        <v>1.18E-2</v>
      </c>
    </row>
    <row r="27" spans="1:34">
      <c r="A27" s="2407" t="s">
        <v>150</v>
      </c>
      <c r="B27" s="2408">
        <f t="shared" ref="B27:C29" si="169">B26/(1+N26)</f>
        <v>327.65915576109415</v>
      </c>
      <c r="C27" s="2408">
        <f t="shared" si="169"/>
        <v>273.95905449510434</v>
      </c>
      <c r="D27" s="2408">
        <f t="shared" si="166"/>
        <v>273.95905449510434</v>
      </c>
      <c r="E27" s="2408">
        <f t="shared" ref="E27:F29" si="170">E26/(1+P26)</f>
        <v>451.01699911565294</v>
      </c>
      <c r="F27" s="2408">
        <f t="shared" si="170"/>
        <v>244.38119540681129</v>
      </c>
      <c r="G27" s="3486"/>
      <c r="H27" s="2433">
        <v>3</v>
      </c>
      <c r="I27" s="2433">
        <v>1.65</v>
      </c>
      <c r="J27" s="2433">
        <v>0.92</v>
      </c>
      <c r="K27" s="2433">
        <v>1.88</v>
      </c>
      <c r="L27" s="2434">
        <v>1.26</v>
      </c>
      <c r="N27" s="2410">
        <f t="shared" si="168"/>
        <v>1.6500000000000001E-2</v>
      </c>
      <c r="O27" s="2435">
        <f t="shared" si="163"/>
        <v>9.1999999999999998E-3</v>
      </c>
      <c r="P27" s="2435">
        <f t="shared" si="163"/>
        <v>1.8799999999999997E-2</v>
      </c>
      <c r="Q27" s="2435">
        <f t="shared" si="163"/>
        <v>1.26E-2</v>
      </c>
      <c r="R27" s="2411"/>
      <c r="S27" s="2410"/>
      <c r="T27" s="2395"/>
      <c r="U27" s="2395"/>
      <c r="V27" s="2395"/>
      <c r="X27" s="2394">
        <f>ROUND(SUMPRODUCT(PRODUCT(1+N27:N$32)),4)</f>
        <v>1.0651999999999999</v>
      </c>
      <c r="Y27" s="2394">
        <f>ROUND(SUMPRODUCT(PRODUCT(1+O27:O$32)),4)</f>
        <v>1.0621</v>
      </c>
      <c r="Z27" s="2394">
        <f t="shared" si="0"/>
        <v>1.0621</v>
      </c>
      <c r="AA27" s="2394">
        <f>ROUND(SUMPRODUCT(PRODUCT(1+P27:P$32)),4)</f>
        <v>1.0668</v>
      </c>
      <c r="AB27" s="2394">
        <f>ROUND(SUMPRODUCT(PRODUCT(1+Q27:Q$32)),4)</f>
        <v>1.0636000000000001</v>
      </c>
      <c r="AD27" s="2395">
        <f>ROUND(AVERAGE(I27:I$33)/100,4)</f>
        <v>1.3299999999999999E-2</v>
      </c>
      <c r="AE27" s="2395">
        <f>ROUND(AVERAGE(J27:J$33)/100,4)</f>
        <v>1.2E-2</v>
      </c>
      <c r="AF27" s="2395">
        <f t="shared" si="1"/>
        <v>1.2E-2</v>
      </c>
      <c r="AG27" s="2395">
        <f>ROUND(AVERAGE(K27:K$33)/100,4)</f>
        <v>1.4E-2</v>
      </c>
      <c r="AH27" s="2395">
        <f>ROUND(AVERAGE(L27:L$33)/100,4)</f>
        <v>1.0800000000000001E-2</v>
      </c>
    </row>
    <row r="28" spans="1:34">
      <c r="A28" s="2407" t="s">
        <v>149</v>
      </c>
      <c r="B28" s="2408">
        <f t="shared" si="169"/>
        <v>322.34053690220776</v>
      </c>
      <c r="C28" s="2408">
        <f t="shared" si="169"/>
        <v>271.46160770422546</v>
      </c>
      <c r="D28" s="2408">
        <f t="shared" si="166"/>
        <v>271.46160770422546</v>
      </c>
      <c r="E28" s="2408">
        <f t="shared" si="170"/>
        <v>442.69434542172456</v>
      </c>
      <c r="F28" s="2408">
        <f t="shared" si="170"/>
        <v>241.34030753190925</v>
      </c>
      <c r="G28" s="3486"/>
      <c r="H28" s="2420">
        <v>2</v>
      </c>
      <c r="I28" s="2420">
        <v>0.77</v>
      </c>
      <c r="J28" s="2420">
        <v>0.69</v>
      </c>
      <c r="K28" s="2420">
        <v>0.8</v>
      </c>
      <c r="L28" s="2421">
        <v>0.88</v>
      </c>
      <c r="N28" s="2410">
        <f t="shared" si="168"/>
        <v>7.7000000000000002E-3</v>
      </c>
      <c r="O28" s="2435">
        <f t="shared" si="163"/>
        <v>6.8999999999999999E-3</v>
      </c>
      <c r="P28" s="2435">
        <f t="shared" si="163"/>
        <v>8.0000000000000002E-3</v>
      </c>
      <c r="Q28" s="2435">
        <f t="shared" si="163"/>
        <v>8.8000000000000005E-3</v>
      </c>
      <c r="R28" s="2411"/>
      <c r="S28" s="2410"/>
      <c r="T28" s="2395"/>
      <c r="U28" s="2395"/>
      <c r="V28" s="2395"/>
      <c r="X28" s="2394">
        <f>ROUND(SUMPRODUCT(PRODUCT(1+N28:N$32)),4)</f>
        <v>1.048</v>
      </c>
      <c r="Y28" s="2394">
        <f>ROUND(SUMPRODUCT(PRODUCT(1+O28:O$32)),4)</f>
        <v>1.0524</v>
      </c>
      <c r="Z28" s="2394">
        <f t="shared" si="0"/>
        <v>1.0524</v>
      </c>
      <c r="AA28" s="2394">
        <f>ROUND(SUMPRODUCT(PRODUCT(1+P28:P$32)),4)</f>
        <v>1.0470999999999999</v>
      </c>
      <c r="AB28" s="2394">
        <f>ROUND(SUMPRODUCT(PRODUCT(1+Q28:Q$32)),4)</f>
        <v>1.0504</v>
      </c>
      <c r="AD28" s="2395">
        <f>ROUND(AVERAGE(I28:I$33)/100,4)</f>
        <v>1.2800000000000001E-2</v>
      </c>
      <c r="AE28" s="2395">
        <f>ROUND(AVERAGE(J28:J$33)/100,4)</f>
        <v>1.2500000000000001E-2</v>
      </c>
      <c r="AF28" s="2395">
        <f t="shared" si="1"/>
        <v>1.2500000000000001E-2</v>
      </c>
      <c r="AG28" s="2395">
        <f>ROUND(AVERAGE(K28:K$33)/100,4)</f>
        <v>1.32E-2</v>
      </c>
      <c r="AH28" s="2395">
        <f>ROUND(AVERAGE(L28:L$33)/100,4)</f>
        <v>1.0500000000000001E-2</v>
      </c>
    </row>
    <row r="29" spans="1:34">
      <c r="A29" s="2407" t="s">
        <v>148</v>
      </c>
      <c r="B29" s="2408">
        <f t="shared" si="169"/>
        <v>319.87748030386797</v>
      </c>
      <c r="C29" s="2408">
        <f t="shared" si="169"/>
        <v>269.60135833173649</v>
      </c>
      <c r="D29" s="2408">
        <f t="shared" si="166"/>
        <v>269.60135833173649</v>
      </c>
      <c r="E29" s="2408">
        <f t="shared" si="170"/>
        <v>439.18089823583784</v>
      </c>
      <c r="F29" s="2408">
        <f t="shared" si="170"/>
        <v>239.23503918706311</v>
      </c>
      <c r="G29" s="3487"/>
      <c r="H29" s="2409">
        <v>1</v>
      </c>
      <c r="I29" s="2409">
        <v>0.51</v>
      </c>
      <c r="J29" s="2409">
        <v>0.54</v>
      </c>
      <c r="K29" s="2409">
        <v>0.48</v>
      </c>
      <c r="L29" s="2415">
        <v>0.93</v>
      </c>
      <c r="N29" s="2426">
        <f t="shared" si="168"/>
        <v>5.1000000000000004E-3</v>
      </c>
      <c r="O29" s="2427">
        <f t="shared" si="163"/>
        <v>5.4000000000000003E-3</v>
      </c>
      <c r="P29" s="2427">
        <f t="shared" si="163"/>
        <v>4.7999999999999996E-3</v>
      </c>
      <c r="Q29" s="2427">
        <f t="shared" si="163"/>
        <v>9.300000000000001E-3</v>
      </c>
      <c r="R29" s="2411"/>
      <c r="S29" s="2426">
        <f>B29/B30-1</f>
        <v>5.9040261127922822E-3</v>
      </c>
      <c r="T29" s="2427">
        <f>C29/C30-1</f>
        <v>5.9752176557332781E-3</v>
      </c>
      <c r="U29" s="2427">
        <f>E29/E30-1</f>
        <v>4.9906138119859556E-3</v>
      </c>
      <c r="V29" s="2427">
        <f>F29/F30-1</f>
        <v>9.4305450930933787E-3</v>
      </c>
      <c r="X29" s="2394">
        <f>ROUND(SUMPRODUCT(PRODUCT(1+N29:N$32)),4)</f>
        <v>1.0399</v>
      </c>
      <c r="Y29" s="2394">
        <f>ROUND(SUMPRODUCT(PRODUCT(1+O29:O$32)),4)</f>
        <v>1.0451999999999999</v>
      </c>
      <c r="Z29" s="2394">
        <f t="shared" si="0"/>
        <v>1.0451999999999999</v>
      </c>
      <c r="AA29" s="2394">
        <f>ROUND(SUMPRODUCT(PRODUCT(1+P29:P$32)),4)</f>
        <v>1.0387999999999999</v>
      </c>
      <c r="AB29" s="2394">
        <f>ROUND(SUMPRODUCT(PRODUCT(1+Q29:Q$32)),4)</f>
        <v>1.0411999999999999</v>
      </c>
      <c r="AD29" s="2395">
        <f>ROUND(AVERAGE(I29:I$33)/100,4)</f>
        <v>1.38E-2</v>
      </c>
      <c r="AE29" s="2395">
        <f>ROUND(AVERAGE(J29:J$33)/100,4)</f>
        <v>1.3599999999999999E-2</v>
      </c>
      <c r="AF29" s="2395">
        <f t="shared" si="1"/>
        <v>1.3599999999999999E-2</v>
      </c>
      <c r="AG29" s="2395">
        <f>ROUND(AVERAGE(K29:K$33)/100,4)</f>
        <v>1.4200000000000001E-2</v>
      </c>
      <c r="AH29" s="2395">
        <f>ROUND(AVERAGE(L29:L$33)/100,4)</f>
        <v>1.0800000000000001E-2</v>
      </c>
    </row>
    <row r="30" spans="1:34" ht="13.5" thickBot="1">
      <c r="A30" s="2407" t="s">
        <v>147</v>
      </c>
      <c r="B30" s="2436">
        <v>318</v>
      </c>
      <c r="C30" s="2436">
        <v>268</v>
      </c>
      <c r="D30" s="2436">
        <f t="shared" si="166"/>
        <v>268</v>
      </c>
      <c r="E30" s="2436">
        <v>437</v>
      </c>
      <c r="F30" s="2437">
        <v>237</v>
      </c>
      <c r="G30" s="3485">
        <v>2014</v>
      </c>
      <c r="H30" s="2428">
        <v>4</v>
      </c>
      <c r="I30" s="2428">
        <v>0.21</v>
      </c>
      <c r="J30" s="2428">
        <v>0.41</v>
      </c>
      <c r="K30" s="2428">
        <v>0.12</v>
      </c>
      <c r="L30" s="2429">
        <v>0.89</v>
      </c>
      <c r="N30" s="2410">
        <f t="shared" si="168"/>
        <v>2.0999999999999999E-3</v>
      </c>
      <c r="O30" s="2395">
        <f t="shared" si="163"/>
        <v>4.0999999999999995E-3</v>
      </c>
      <c r="P30" s="2395">
        <f t="shared" si="163"/>
        <v>1.1999999999999999E-3</v>
      </c>
      <c r="Q30" s="2395">
        <f t="shared" si="163"/>
        <v>8.8999999999999999E-3</v>
      </c>
      <c r="R30" s="2411"/>
      <c r="S30" s="2424"/>
      <c r="T30" s="2425"/>
      <c r="U30" s="2425"/>
      <c r="V30" s="2425"/>
      <c r="X30" s="2394">
        <f>ROUND(SUMPRODUCT(PRODUCT(1+N30:N$32)),4)</f>
        <v>1.0347</v>
      </c>
      <c r="Y30" s="2394">
        <f>ROUND(SUMPRODUCT(PRODUCT(1+O30:O$32)),4)</f>
        <v>1.0395000000000001</v>
      </c>
      <c r="Z30" s="2394">
        <f t="shared" si="0"/>
        <v>1.0395000000000001</v>
      </c>
      <c r="AA30" s="2394">
        <f>ROUND(SUMPRODUCT(PRODUCT(1+P30:P$32)),4)</f>
        <v>1.0338000000000001</v>
      </c>
      <c r="AB30" s="2394">
        <f>ROUND(SUMPRODUCT(PRODUCT(1+Q30:Q$32)),4)</f>
        <v>1.0316000000000001</v>
      </c>
      <c r="AD30" s="2395">
        <f>ROUND(AVERAGE(I30:I$33)/100,4)</f>
        <v>1.6E-2</v>
      </c>
      <c r="AE30" s="2395">
        <f>ROUND(AVERAGE(J30:J$33)/100,4)</f>
        <v>1.5599999999999999E-2</v>
      </c>
      <c r="AF30" s="2395">
        <f t="shared" si="1"/>
        <v>1.5599999999999999E-2</v>
      </c>
      <c r="AG30" s="2395">
        <f>ROUND(AVERAGE(K30:K$33)/100,4)</f>
        <v>1.66E-2</v>
      </c>
      <c r="AH30" s="2395">
        <f>ROUND(AVERAGE(L30:L$33)/100,4)</f>
        <v>1.12E-2</v>
      </c>
    </row>
    <row r="31" spans="1:34">
      <c r="A31" s="2407" t="s">
        <v>146</v>
      </c>
      <c r="B31" s="2408">
        <f t="shared" ref="B31:C33" si="171">B30/(1+N30)</f>
        <v>317.33359944117353</v>
      </c>
      <c r="C31" s="2408">
        <f t="shared" si="171"/>
        <v>266.90568668459315</v>
      </c>
      <c r="D31" s="2408">
        <f t="shared" si="166"/>
        <v>266.90568668459315</v>
      </c>
      <c r="E31" s="2408">
        <f t="shared" ref="E31:F33" si="172">E30/(1+P30)</f>
        <v>436.47622852576905</v>
      </c>
      <c r="F31" s="2408">
        <f t="shared" si="172"/>
        <v>234.90930716622066</v>
      </c>
      <c r="G31" s="3486"/>
      <c r="H31" s="2438">
        <v>3</v>
      </c>
      <c r="I31" s="2438">
        <v>0.83</v>
      </c>
      <c r="J31" s="2438">
        <v>1.47</v>
      </c>
      <c r="K31" s="2438">
        <v>0.65</v>
      </c>
      <c r="L31" s="2439">
        <v>0.72</v>
      </c>
      <c r="N31" s="2410">
        <f t="shared" si="168"/>
        <v>8.3000000000000001E-3</v>
      </c>
      <c r="O31" s="2395">
        <f t="shared" si="163"/>
        <v>1.47E-2</v>
      </c>
      <c r="P31" s="2395">
        <f t="shared" si="163"/>
        <v>6.5000000000000006E-3</v>
      </c>
      <c r="Q31" s="2395">
        <f t="shared" si="163"/>
        <v>7.1999999999999998E-3</v>
      </c>
      <c r="R31" s="2411"/>
      <c r="S31" s="2410"/>
      <c r="T31" s="2395"/>
      <c r="U31" s="2395"/>
      <c r="V31" s="2395"/>
      <c r="X31" s="2394">
        <f>ROUND(SUMPRODUCT(PRODUCT(1+N31:N$32)),4)</f>
        <v>1.0325</v>
      </c>
      <c r="Y31" s="2394">
        <f>ROUND(SUMPRODUCT(PRODUCT(1+O31:O$32)),4)</f>
        <v>1.0353000000000001</v>
      </c>
      <c r="Z31" s="2394">
        <f t="shared" ref="Z31:Z32" si="173">Y31</f>
        <v>1.0353000000000001</v>
      </c>
      <c r="AA31" s="2394">
        <f>ROUND(SUMPRODUCT(PRODUCT(1+P31:P$32)),4)</f>
        <v>1.0326</v>
      </c>
      <c r="AB31" s="2394">
        <f>ROUND(SUMPRODUCT(PRODUCT(1+Q31:Q$32)),4)</f>
        <v>1.0225</v>
      </c>
      <c r="AD31" s="2395">
        <f>ROUND(AVERAGE(I31:I$33)/100,4)</f>
        <v>2.07E-2</v>
      </c>
      <c r="AE31" s="2395">
        <f>ROUND(AVERAGE(J31:J$33)/100,4)</f>
        <v>1.95E-2</v>
      </c>
      <c r="AF31" s="2395">
        <f t="shared" si="1"/>
        <v>1.95E-2</v>
      </c>
      <c r="AG31" s="2395">
        <f>ROUND(AVERAGE(K31:K$33)/100,4)</f>
        <v>2.1700000000000001E-2</v>
      </c>
      <c r="AH31" s="2395">
        <f>ROUND(AVERAGE(L31:L$33)/100,4)</f>
        <v>1.2E-2</v>
      </c>
    </row>
    <row r="32" spans="1:34" ht="13.5" thickBot="1">
      <c r="A32" s="2407" t="s">
        <v>145</v>
      </c>
      <c r="B32" s="2408">
        <f t="shared" si="171"/>
        <v>314.72141172386546</v>
      </c>
      <c r="C32" s="2408">
        <f t="shared" si="171"/>
        <v>263.03901319069001</v>
      </c>
      <c r="D32" s="2408">
        <f t="shared" si="166"/>
        <v>263.03901319069001</v>
      </c>
      <c r="E32" s="2408">
        <f t="shared" si="172"/>
        <v>433.65745506782821</v>
      </c>
      <c r="F32" s="2408">
        <f t="shared" si="172"/>
        <v>233.23005080045735</v>
      </c>
      <c r="G32" s="3486"/>
      <c r="H32" s="2428">
        <v>2</v>
      </c>
      <c r="I32" s="2428">
        <v>2.4</v>
      </c>
      <c r="J32" s="2428">
        <v>2.0299999999999998</v>
      </c>
      <c r="K32" s="2428">
        <v>2.59</v>
      </c>
      <c r="L32" s="2429">
        <v>1.52</v>
      </c>
      <c r="N32" s="2410">
        <f t="shared" si="168"/>
        <v>2.4E-2</v>
      </c>
      <c r="O32" s="2395">
        <f t="shared" si="163"/>
        <v>2.0299999999999999E-2</v>
      </c>
      <c r="P32" s="2395">
        <f t="shared" si="163"/>
        <v>2.5899999999999999E-2</v>
      </c>
      <c r="Q32" s="2395">
        <f t="shared" si="163"/>
        <v>1.52E-2</v>
      </c>
      <c r="R32" s="2411"/>
      <c r="S32" s="2410"/>
      <c r="T32" s="2395"/>
      <c r="U32" s="2395"/>
      <c r="V32" s="2395"/>
      <c r="X32" s="2394">
        <f>1+N32</f>
        <v>1.024</v>
      </c>
      <c r="Y32" s="2394">
        <f>1+O32</f>
        <v>1.0203</v>
      </c>
      <c r="Z32" s="2394">
        <f t="shared" si="173"/>
        <v>1.0203</v>
      </c>
      <c r="AA32" s="2394">
        <f>1+P32</f>
        <v>1.0259</v>
      </c>
      <c r="AB32" s="2394">
        <f>1+Q32</f>
        <v>1.0152000000000001</v>
      </c>
      <c r="AD32" s="2395">
        <f>ROUND(AVERAGE(I32:I$33)/100,4)</f>
        <v>2.69E-2</v>
      </c>
      <c r="AE32" s="2395">
        <f>ROUND(AVERAGE(J32:J$33)/100,4)</f>
        <v>2.1899999999999999E-2</v>
      </c>
      <c r="AF32" s="2395">
        <f t="shared" ref="AF32" si="174">AE32</f>
        <v>2.1899999999999999E-2</v>
      </c>
      <c r="AG32" s="2395">
        <f>ROUND(AVERAGE(K32:K$33)/100,4)</f>
        <v>2.9399999999999999E-2</v>
      </c>
      <c r="AH32" s="2395">
        <f>ROUND(AVERAGE(L32:L$33)/100,4)</f>
        <v>1.44E-2</v>
      </c>
    </row>
    <row r="33" spans="1:34" s="2444" customFormat="1" ht="13.5" thickBot="1">
      <c r="A33" s="2440" t="s">
        <v>144</v>
      </c>
      <c r="B33" s="2441">
        <f t="shared" si="171"/>
        <v>307.34512863658733</v>
      </c>
      <c r="C33" s="2441">
        <f t="shared" si="171"/>
        <v>257.80556031626975</v>
      </c>
      <c r="D33" s="2441">
        <f t="shared" si="166"/>
        <v>257.80556031626975</v>
      </c>
      <c r="E33" s="2441">
        <f t="shared" si="172"/>
        <v>422.70928459677179</v>
      </c>
      <c r="F33" s="2441">
        <f t="shared" si="172"/>
        <v>229.73803270336617</v>
      </c>
      <c r="G33" s="3487"/>
      <c r="H33" s="2442">
        <v>1</v>
      </c>
      <c r="I33" s="2442">
        <v>2.97</v>
      </c>
      <c r="J33" s="2442">
        <v>2.34</v>
      </c>
      <c r="K33" s="2442">
        <v>3.28</v>
      </c>
      <c r="L33" s="2443">
        <v>1.36</v>
      </c>
      <c r="N33" s="2445">
        <f t="shared" si="168"/>
        <v>2.9700000000000001E-2</v>
      </c>
      <c r="O33" s="2446">
        <f t="shared" si="163"/>
        <v>2.3399999999999997E-2</v>
      </c>
      <c r="P33" s="2446">
        <f t="shared" si="163"/>
        <v>3.2799999999999996E-2</v>
      </c>
      <c r="Q33" s="2446">
        <f t="shared" si="163"/>
        <v>1.3600000000000001E-2</v>
      </c>
      <c r="R33" s="2447"/>
      <c r="S33" s="2448">
        <f>B33/B34-1</f>
        <v>2.7910129219355539E-2</v>
      </c>
      <c r="T33" s="2449">
        <f>C33/C34-1</f>
        <v>2.3037937762975247E-2</v>
      </c>
      <c r="U33" s="2449">
        <f>E33/E34-1</f>
        <v>3.3519033243940788E-2</v>
      </c>
      <c r="V33" s="2449">
        <f>F33/F34-1</f>
        <v>1.2061818076502862E-2</v>
      </c>
      <c r="W33" s="2450" t="s">
        <v>1129</v>
      </c>
      <c r="X33" s="2451">
        <v>1</v>
      </c>
      <c r="Y33" s="2451">
        <v>1</v>
      </c>
      <c r="Z33" s="2451">
        <v>1</v>
      </c>
      <c r="AA33" s="2451">
        <v>1</v>
      </c>
      <c r="AB33" s="2451">
        <v>1</v>
      </c>
      <c r="AD33" s="2446">
        <f>I33/100</f>
        <v>2.9700000000000001E-2</v>
      </c>
      <c r="AE33" s="2446">
        <f>J33/100</f>
        <v>2.3399999999999997E-2</v>
      </c>
      <c r="AF33" s="2446">
        <f>AE33</f>
        <v>2.3399999999999997E-2</v>
      </c>
      <c r="AG33" s="2446">
        <f>K33/100</f>
        <v>3.2799999999999996E-2</v>
      </c>
      <c r="AH33" s="2446">
        <f>L33/100</f>
        <v>1.3600000000000001E-2</v>
      </c>
    </row>
    <row r="34" spans="1:34" ht="13.5" thickBot="1">
      <c r="A34" s="2407" t="s">
        <v>1130</v>
      </c>
      <c r="B34" s="2422">
        <v>299</v>
      </c>
      <c r="C34" s="2422">
        <v>252</v>
      </c>
      <c r="D34" s="2422">
        <f t="shared" si="166"/>
        <v>252</v>
      </c>
      <c r="E34" s="2422">
        <v>409</v>
      </c>
      <c r="F34" s="2423">
        <v>227</v>
      </c>
      <c r="G34" s="3492">
        <v>2013</v>
      </c>
      <c r="H34" s="2452">
        <v>4</v>
      </c>
      <c r="I34" s="2452">
        <v>1.83</v>
      </c>
      <c r="J34" s="2452">
        <v>1.68</v>
      </c>
      <c r="K34" s="2452">
        <v>1.97</v>
      </c>
      <c r="L34" s="2453">
        <v>0.87</v>
      </c>
      <c r="N34" s="2430">
        <f t="shared" si="168"/>
        <v>1.83E-2</v>
      </c>
      <c r="O34" s="2431">
        <f t="shared" si="163"/>
        <v>1.6799999999999999E-2</v>
      </c>
      <c r="P34" s="2431">
        <f t="shared" si="163"/>
        <v>1.9699999999999999E-2</v>
      </c>
      <c r="Q34" s="2431">
        <f t="shared" si="163"/>
        <v>8.6999999999999994E-3</v>
      </c>
      <c r="R34" s="2411"/>
      <c r="S34" s="2424"/>
      <c r="T34" s="2425"/>
      <c r="U34" s="2425"/>
      <c r="V34" s="2425"/>
      <c r="X34" s="2425"/>
      <c r="Y34" s="2425"/>
      <c r="Z34" s="2425"/>
    </row>
    <row r="35" spans="1:34">
      <c r="A35" s="2407" t="s">
        <v>1131</v>
      </c>
      <c r="B35" s="2408">
        <f t="shared" ref="B35:C37" si="175">B34/(1+N34)</f>
        <v>293.62663262299913</v>
      </c>
      <c r="C35" s="2408">
        <f t="shared" si="175"/>
        <v>247.83634933123525</v>
      </c>
      <c r="D35" s="2408">
        <f t="shared" si="166"/>
        <v>247.83634933123525</v>
      </c>
      <c r="E35" s="2408">
        <f t="shared" ref="E35:F37" si="176">E34/(1+P34)</f>
        <v>401.09836226341076</v>
      </c>
      <c r="F35" s="2408">
        <f t="shared" si="176"/>
        <v>225.04213343908003</v>
      </c>
      <c r="G35" s="3493"/>
      <c r="H35" s="2433">
        <v>3</v>
      </c>
      <c r="I35" s="2433">
        <v>1.86</v>
      </c>
      <c r="J35" s="2433">
        <v>1.72</v>
      </c>
      <c r="K35" s="2433">
        <v>1.98</v>
      </c>
      <c r="L35" s="2434">
        <v>0.88</v>
      </c>
      <c r="N35" s="2410">
        <f t="shared" si="168"/>
        <v>1.8600000000000002E-2</v>
      </c>
      <c r="O35" s="2435">
        <f t="shared" si="163"/>
        <v>1.72E-2</v>
      </c>
      <c r="P35" s="2435">
        <f t="shared" si="163"/>
        <v>1.9799999999999998E-2</v>
      </c>
      <c r="Q35" s="2435">
        <f t="shared" si="163"/>
        <v>8.8000000000000005E-3</v>
      </c>
      <c r="R35" s="2411"/>
      <c r="S35" s="2410"/>
      <c r="T35" s="2395"/>
      <c r="U35" s="2395"/>
      <c r="V35" s="2395"/>
    </row>
    <row r="36" spans="1:34">
      <c r="A36" s="2407" t="s">
        <v>1132</v>
      </c>
      <c r="B36" s="2408">
        <f t="shared" si="175"/>
        <v>288.2649053828776</v>
      </c>
      <c r="C36" s="2408">
        <f t="shared" si="175"/>
        <v>243.64564425013293</v>
      </c>
      <c r="D36" s="2408">
        <f t="shared" si="166"/>
        <v>243.64564425013293</v>
      </c>
      <c r="E36" s="2408">
        <f t="shared" si="176"/>
        <v>393.31080825986544</v>
      </c>
      <c r="F36" s="2408">
        <f t="shared" si="176"/>
        <v>223.07903790551154</v>
      </c>
      <c r="G36" s="3493"/>
      <c r="H36" s="2420">
        <v>2</v>
      </c>
      <c r="I36" s="2420">
        <v>2.04</v>
      </c>
      <c r="J36" s="2420">
        <v>2.33</v>
      </c>
      <c r="K36" s="2420">
        <v>2.0699999999999998</v>
      </c>
      <c r="L36" s="2421">
        <v>0.69</v>
      </c>
      <c r="N36" s="2410">
        <f t="shared" si="168"/>
        <v>2.0400000000000001E-2</v>
      </c>
      <c r="O36" s="2435">
        <f t="shared" si="163"/>
        <v>2.3300000000000001E-2</v>
      </c>
      <c r="P36" s="2435">
        <f t="shared" si="163"/>
        <v>2.07E-2</v>
      </c>
      <c r="Q36" s="2435">
        <f t="shared" si="163"/>
        <v>6.8999999999999999E-3</v>
      </c>
      <c r="R36" s="2411"/>
      <c r="S36" s="2410"/>
      <c r="T36" s="2395"/>
      <c r="U36" s="2395"/>
      <c r="V36" s="2395"/>
      <c r="X36" s="2454"/>
      <c r="Y36" s="2455"/>
    </row>
    <row r="37" spans="1:34">
      <c r="A37" s="2407" t="s">
        <v>1133</v>
      </c>
      <c r="B37" s="2408">
        <f t="shared" si="175"/>
        <v>282.50186729015837</v>
      </c>
      <c r="C37" s="2408">
        <f t="shared" si="175"/>
        <v>238.09796174155468</v>
      </c>
      <c r="D37" s="2408">
        <f t="shared" si="166"/>
        <v>238.09796174155468</v>
      </c>
      <c r="E37" s="2408">
        <f t="shared" si="176"/>
        <v>385.33438646014054</v>
      </c>
      <c r="F37" s="2408">
        <f t="shared" si="176"/>
        <v>221.55034055567739</v>
      </c>
      <c r="G37" s="3494"/>
      <c r="H37" s="2409">
        <v>1</v>
      </c>
      <c r="I37" s="2409">
        <v>1.67</v>
      </c>
      <c r="J37" s="2409">
        <v>1.31</v>
      </c>
      <c r="K37" s="2409">
        <v>1.85</v>
      </c>
      <c r="L37" s="2415">
        <v>0.96</v>
      </c>
      <c r="N37" s="2426">
        <f t="shared" si="168"/>
        <v>1.67E-2</v>
      </c>
      <c r="O37" s="2427">
        <f t="shared" si="168"/>
        <v>1.3100000000000001E-2</v>
      </c>
      <c r="P37" s="2427">
        <f t="shared" si="168"/>
        <v>1.8500000000000003E-2</v>
      </c>
      <c r="Q37" s="2427">
        <f t="shared" si="168"/>
        <v>9.5999999999999992E-3</v>
      </c>
      <c r="R37" s="2411"/>
      <c r="S37" s="2426">
        <f>B37/B38-1</f>
        <v>1.6193767230785472E-2</v>
      </c>
      <c r="T37" s="2427">
        <f>C37/C38-1</f>
        <v>1.7512657015190891E-2</v>
      </c>
      <c r="U37" s="2427">
        <f>E37/E38-1</f>
        <v>1.6713420739157048E-2</v>
      </c>
      <c r="V37" s="2427">
        <f>F37/F38-1</f>
        <v>7.0470025258062563E-3</v>
      </c>
      <c r="X37" s="2456"/>
      <c r="Y37" s="2395"/>
      <c r="Z37" s="2395"/>
    </row>
    <row r="38" spans="1:34" ht="13.5" thickBot="1">
      <c r="A38" s="2407" t="s">
        <v>1134</v>
      </c>
      <c r="B38" s="2457">
        <v>278</v>
      </c>
      <c r="C38" s="2457">
        <v>234</v>
      </c>
      <c r="D38" s="2457">
        <f t="shared" si="166"/>
        <v>234</v>
      </c>
      <c r="E38" s="2457">
        <v>379</v>
      </c>
      <c r="F38" s="2458">
        <v>220</v>
      </c>
      <c r="G38" s="3485">
        <v>2012</v>
      </c>
      <c r="H38" s="2428">
        <v>4</v>
      </c>
      <c r="I38" s="2428">
        <v>0.91</v>
      </c>
      <c r="J38" s="2428">
        <v>0.68</v>
      </c>
      <c r="K38" s="2428">
        <v>0.98</v>
      </c>
      <c r="L38" s="2429">
        <v>0.9</v>
      </c>
      <c r="N38" s="2410">
        <f t="shared" si="168"/>
        <v>9.1000000000000004E-3</v>
      </c>
      <c r="O38" s="2395">
        <f t="shared" si="168"/>
        <v>6.8000000000000005E-3</v>
      </c>
      <c r="P38" s="2395">
        <f t="shared" si="168"/>
        <v>9.7999999999999997E-3</v>
      </c>
      <c r="Q38" s="2395">
        <f t="shared" si="168"/>
        <v>9.0000000000000011E-3</v>
      </c>
      <c r="R38" s="2411"/>
      <c r="S38" s="2424"/>
      <c r="T38" s="2425"/>
      <c r="U38" s="2425"/>
      <c r="V38" s="2425"/>
      <c r="X38" s="2425"/>
      <c r="Y38" s="2425"/>
      <c r="Z38" s="2425"/>
    </row>
    <row r="39" spans="1:34">
      <c r="A39" s="2407" t="s">
        <v>1135</v>
      </c>
      <c r="B39" s="2408">
        <f>B38/(1+N38)</f>
        <v>275.49301357645425</v>
      </c>
      <c r="C39" s="2408">
        <f>C38/(1+O38)</f>
        <v>232.41954707985698</v>
      </c>
      <c r="D39" s="2408">
        <f t="shared" si="166"/>
        <v>232.41954707985698</v>
      </c>
      <c r="E39" s="2408">
        <f t="shared" ref="E39:F41" si="177">E38/(1+P38)</f>
        <v>375.32184591008121</v>
      </c>
      <c r="F39" s="2408">
        <f t="shared" si="177"/>
        <v>218.03766105054513</v>
      </c>
      <c r="G39" s="3486"/>
      <c r="H39" s="2433">
        <v>3</v>
      </c>
      <c r="I39" s="2433">
        <v>0.09</v>
      </c>
      <c r="J39" s="2433">
        <v>0.28999999999999998</v>
      </c>
      <c r="K39" s="2433">
        <v>-0.01</v>
      </c>
      <c r="L39" s="2434">
        <v>0.57999999999999996</v>
      </c>
      <c r="N39" s="2410">
        <f t="shared" si="168"/>
        <v>8.9999999999999998E-4</v>
      </c>
      <c r="O39" s="2395">
        <f t="shared" si="168"/>
        <v>2.8999999999999998E-3</v>
      </c>
      <c r="P39" s="2395">
        <f t="shared" si="168"/>
        <v>-1E-4</v>
      </c>
      <c r="Q39" s="2395">
        <f t="shared" si="168"/>
        <v>5.7999999999999996E-3</v>
      </c>
      <c r="R39" s="2411"/>
      <c r="S39" s="2410"/>
      <c r="T39" s="2395"/>
      <c r="U39" s="2395"/>
      <c r="V39" s="2395"/>
    </row>
    <row r="40" spans="1:34">
      <c r="A40" s="2407" t="s">
        <v>1136</v>
      </c>
      <c r="B40" s="2408">
        <f>B39/(1+N39)</f>
        <v>275.24529281292263</v>
      </c>
      <c r="C40" s="2408">
        <f>C39/(1+O39)</f>
        <v>231.74747938962707</v>
      </c>
      <c r="D40" s="2408">
        <f t="shared" si="166"/>
        <v>231.74747938962707</v>
      </c>
      <c r="E40" s="2408">
        <f t="shared" si="177"/>
        <v>375.35938184826603</v>
      </c>
      <c r="F40" s="2408">
        <f t="shared" si="177"/>
        <v>216.78033510692495</v>
      </c>
      <c r="G40" s="3486"/>
      <c r="H40" s="2420">
        <v>2</v>
      </c>
      <c r="I40" s="2420">
        <v>0.02</v>
      </c>
      <c r="J40" s="2420">
        <v>0.12</v>
      </c>
      <c r="K40" s="2420">
        <v>-0.08</v>
      </c>
      <c r="L40" s="2421">
        <v>1.24</v>
      </c>
      <c r="N40" s="2410">
        <f t="shared" si="168"/>
        <v>2.0000000000000001E-4</v>
      </c>
      <c r="O40" s="2395">
        <f t="shared" si="168"/>
        <v>1.1999999999999999E-3</v>
      </c>
      <c r="P40" s="2395">
        <f t="shared" si="168"/>
        <v>-8.0000000000000004E-4</v>
      </c>
      <c r="Q40" s="2395">
        <f t="shared" si="168"/>
        <v>1.24E-2</v>
      </c>
      <c r="R40" s="2411"/>
      <c r="S40" s="2410"/>
      <c r="T40" s="2395"/>
      <c r="U40" s="2395"/>
      <c r="V40" s="2395"/>
    </row>
    <row r="41" spans="1:34" ht="13.5" thickBot="1">
      <c r="A41" s="2407" t="s">
        <v>1137</v>
      </c>
      <c r="B41" s="2408">
        <f>B40/(1+N40)</f>
        <v>275.19025476197027</v>
      </c>
      <c r="C41" s="2459">
        <v>232</v>
      </c>
      <c r="D41" s="2459">
        <f t="shared" si="166"/>
        <v>232</v>
      </c>
      <c r="E41" s="2408">
        <f t="shared" si="177"/>
        <v>375.65990977608692</v>
      </c>
      <c r="F41" s="2408">
        <f t="shared" si="177"/>
        <v>214.12518283971252</v>
      </c>
      <c r="G41" s="3487"/>
      <c r="H41" s="2409">
        <v>1</v>
      </c>
      <c r="I41" s="2409">
        <v>0.02</v>
      </c>
      <c r="J41" s="2409">
        <v>0.13</v>
      </c>
      <c r="K41" s="2409">
        <v>-0.04</v>
      </c>
      <c r="L41" s="2415">
        <v>0.46</v>
      </c>
      <c r="N41" s="2410">
        <f t="shared" si="168"/>
        <v>2.0000000000000001E-4</v>
      </c>
      <c r="O41" s="2395">
        <f t="shared" si="168"/>
        <v>1.2999999999999999E-3</v>
      </c>
      <c r="P41" s="2395">
        <f t="shared" si="168"/>
        <v>-4.0000000000000002E-4</v>
      </c>
      <c r="Q41" s="2395">
        <f t="shared" si="168"/>
        <v>4.5999999999999999E-3</v>
      </c>
      <c r="R41" s="2411"/>
      <c r="S41" s="2426">
        <f>B41/B42-1</f>
        <v>6.9183549807361189E-4</v>
      </c>
      <c r="T41" s="2427">
        <f>C41/C42-1</f>
        <v>0</v>
      </c>
      <c r="U41" s="2427">
        <f>E41/E42-1</f>
        <v>-9.0449527636460303E-4</v>
      </c>
      <c r="V41" s="2427">
        <f>F41/F42-1</f>
        <v>5.2825485432512753E-3</v>
      </c>
      <c r="X41" s="2395"/>
      <c r="Y41" s="2395"/>
      <c r="Z41" s="2395"/>
    </row>
    <row r="42" spans="1:34" ht="13.5" thickBot="1">
      <c r="A42" s="2407" t="s">
        <v>1138</v>
      </c>
      <c r="B42" s="2422">
        <v>275</v>
      </c>
      <c r="C42" s="2422">
        <v>232</v>
      </c>
      <c r="D42" s="2422">
        <f t="shared" si="166"/>
        <v>232</v>
      </c>
      <c r="E42" s="2422">
        <v>376</v>
      </c>
      <c r="F42" s="2423">
        <v>213</v>
      </c>
      <c r="G42" s="3485">
        <v>2011</v>
      </c>
      <c r="H42" s="2428">
        <v>4</v>
      </c>
      <c r="I42" s="2428">
        <v>-0.2</v>
      </c>
      <c r="J42" s="2428">
        <v>0.04</v>
      </c>
      <c r="K42" s="2428">
        <v>-0.34</v>
      </c>
      <c r="L42" s="2429">
        <v>0.46</v>
      </c>
      <c r="N42" s="2430">
        <f t="shared" si="168"/>
        <v>-2E-3</v>
      </c>
      <c r="O42" s="2431">
        <f t="shared" si="168"/>
        <v>4.0000000000000002E-4</v>
      </c>
      <c r="P42" s="2431">
        <f t="shared" si="168"/>
        <v>-3.4000000000000002E-3</v>
      </c>
      <c r="Q42" s="2431">
        <f t="shared" si="168"/>
        <v>4.5999999999999999E-3</v>
      </c>
      <c r="R42" s="2411"/>
      <c r="S42" s="2424"/>
      <c r="T42" s="2425"/>
      <c r="U42" s="2425"/>
      <c r="V42" s="2425"/>
      <c r="X42" s="2425"/>
      <c r="Y42" s="2425"/>
      <c r="Z42" s="2425"/>
    </row>
    <row r="43" spans="1:34">
      <c r="A43" s="2407" t="s">
        <v>1139</v>
      </c>
      <c r="B43" s="2408">
        <f t="shared" ref="B43:C45" si="178">B42/(1+N42)</f>
        <v>275.55110220440883</v>
      </c>
      <c r="C43" s="2408">
        <f t="shared" si="178"/>
        <v>231.90723710515795</v>
      </c>
      <c r="D43" s="2408">
        <f t="shared" si="166"/>
        <v>231.90723710515795</v>
      </c>
      <c r="E43" s="2408">
        <f t="shared" ref="E43:F45" si="179">E42/(1+P42)</f>
        <v>377.28276138872161</v>
      </c>
      <c r="F43" s="2408">
        <f t="shared" si="179"/>
        <v>212.02468644236512</v>
      </c>
      <c r="G43" s="3486">
        <v>2011</v>
      </c>
      <c r="H43" s="2433">
        <v>3</v>
      </c>
      <c r="I43" s="2433">
        <v>0.13</v>
      </c>
      <c r="J43" s="2433">
        <v>0.75</v>
      </c>
      <c r="K43" s="2433">
        <v>-0.08</v>
      </c>
      <c r="L43" s="2434">
        <v>0.53</v>
      </c>
      <c r="N43" s="2410">
        <f t="shared" si="168"/>
        <v>1.2999999999999999E-3</v>
      </c>
      <c r="O43" s="2435">
        <f t="shared" si="168"/>
        <v>7.4999999999999997E-3</v>
      </c>
      <c r="P43" s="2435">
        <f t="shared" si="168"/>
        <v>-8.0000000000000004E-4</v>
      </c>
      <c r="Q43" s="2435">
        <f t="shared" si="168"/>
        <v>5.3E-3</v>
      </c>
      <c r="R43" s="2411"/>
      <c r="S43" s="2410"/>
      <c r="T43" s="2395"/>
      <c r="U43" s="2395"/>
      <c r="V43" s="2395"/>
    </row>
    <row r="44" spans="1:34">
      <c r="A44" s="2407" t="s">
        <v>1140</v>
      </c>
      <c r="B44" s="2408">
        <f t="shared" si="178"/>
        <v>275.19335084830601</v>
      </c>
      <c r="C44" s="2408">
        <f t="shared" si="178"/>
        <v>230.18088050139744</v>
      </c>
      <c r="D44" s="2408">
        <f t="shared" si="166"/>
        <v>230.18088050139744</v>
      </c>
      <c r="E44" s="2408">
        <f t="shared" si="179"/>
        <v>377.58482925212331</v>
      </c>
      <c r="F44" s="2408">
        <f t="shared" si="179"/>
        <v>210.90687997847917</v>
      </c>
      <c r="G44" s="3486">
        <v>2011</v>
      </c>
      <c r="H44" s="2420">
        <v>2</v>
      </c>
      <c r="I44" s="2420">
        <v>-0.4</v>
      </c>
      <c r="J44" s="2420">
        <v>0.17</v>
      </c>
      <c r="K44" s="2420">
        <v>-0.57999999999999996</v>
      </c>
      <c r="L44" s="2421">
        <v>-0.2</v>
      </c>
      <c r="N44" s="2410">
        <f t="shared" si="168"/>
        <v>-4.0000000000000001E-3</v>
      </c>
      <c r="O44" s="2435">
        <f t="shared" si="168"/>
        <v>1.7000000000000001E-3</v>
      </c>
      <c r="P44" s="2435">
        <f t="shared" si="168"/>
        <v>-5.7999999999999996E-3</v>
      </c>
      <c r="Q44" s="2435">
        <f t="shared" si="168"/>
        <v>-2E-3</v>
      </c>
      <c r="R44" s="2411"/>
      <c r="S44" s="2410"/>
      <c r="T44" s="2395"/>
      <c r="U44" s="2395"/>
      <c r="V44" s="2395"/>
    </row>
    <row r="45" spans="1:34" ht="13.5" thickBot="1">
      <c r="A45" s="2407" t="s">
        <v>1141</v>
      </c>
      <c r="B45" s="2408">
        <f t="shared" si="178"/>
        <v>276.29854502841971</v>
      </c>
      <c r="C45" s="2408">
        <f t="shared" si="178"/>
        <v>229.79023709833027</v>
      </c>
      <c r="D45" s="2408">
        <f t="shared" si="166"/>
        <v>229.79023709833027</v>
      </c>
      <c r="E45" s="2408">
        <f t="shared" si="179"/>
        <v>379.78759731655936</v>
      </c>
      <c r="F45" s="2408">
        <f t="shared" si="179"/>
        <v>211.32953905659235</v>
      </c>
      <c r="G45" s="3487">
        <v>2011</v>
      </c>
      <c r="H45" s="2409">
        <v>1</v>
      </c>
      <c r="I45" s="2409">
        <v>2.65</v>
      </c>
      <c r="J45" s="2409">
        <v>3.76</v>
      </c>
      <c r="K45" s="2409">
        <v>1.89</v>
      </c>
      <c r="L45" s="2415">
        <v>7.95</v>
      </c>
      <c r="N45" s="2426">
        <f t="shared" si="168"/>
        <v>2.6499999999999999E-2</v>
      </c>
      <c r="O45" s="2427">
        <f t="shared" si="168"/>
        <v>3.7599999999999995E-2</v>
      </c>
      <c r="P45" s="2427">
        <f t="shared" si="168"/>
        <v>1.89E-2</v>
      </c>
      <c r="Q45" s="2427">
        <f t="shared" si="168"/>
        <v>7.9500000000000001E-2</v>
      </c>
      <c r="R45" s="2411"/>
      <c r="S45" s="2426">
        <f>B45/B46-1</f>
        <v>2.713213765211786E-2</v>
      </c>
      <c r="T45" s="2427">
        <f>C45/C46-1</f>
        <v>3.9774828499231862E-2</v>
      </c>
      <c r="U45" s="2427">
        <f>E45/E46-1</f>
        <v>1.8197311840641772E-2</v>
      </c>
      <c r="V45" s="2427">
        <f>F45/F46-1</f>
        <v>7.8211933962205826E-2</v>
      </c>
      <c r="X45" s="2395"/>
      <c r="Y45" s="2395"/>
      <c r="Z45" s="2395"/>
    </row>
    <row r="46" spans="1:34" ht="13.5" thickBot="1">
      <c r="A46" s="2407" t="s">
        <v>1142</v>
      </c>
      <c r="B46" s="2422">
        <v>269</v>
      </c>
      <c r="C46" s="2422">
        <v>221</v>
      </c>
      <c r="D46" s="2422">
        <f t="shared" si="166"/>
        <v>221</v>
      </c>
      <c r="E46" s="2422">
        <v>373</v>
      </c>
      <c r="F46" s="2423">
        <v>196</v>
      </c>
      <c r="G46" s="3485">
        <v>2010</v>
      </c>
      <c r="H46" s="2428">
        <v>4</v>
      </c>
      <c r="I46" s="2428">
        <v>5.72</v>
      </c>
      <c r="J46" s="2428">
        <v>6.57</v>
      </c>
      <c r="K46" s="2428">
        <v>5.72</v>
      </c>
      <c r="L46" s="2429">
        <v>2.72</v>
      </c>
      <c r="N46" s="2410">
        <f t="shared" si="168"/>
        <v>5.7200000000000001E-2</v>
      </c>
      <c r="O46" s="2395">
        <f t="shared" si="168"/>
        <v>6.5700000000000008E-2</v>
      </c>
      <c r="P46" s="2395">
        <f t="shared" si="168"/>
        <v>5.7200000000000001E-2</v>
      </c>
      <c r="Q46" s="2395">
        <f t="shared" si="168"/>
        <v>2.7200000000000002E-2</v>
      </c>
      <c r="R46" s="2411"/>
      <c r="S46" s="2424"/>
      <c r="T46" s="2425"/>
      <c r="U46" s="2425"/>
      <c r="V46" s="2425"/>
      <c r="X46" s="2425"/>
      <c r="Y46" s="2425"/>
      <c r="Z46" s="2425"/>
    </row>
    <row r="47" spans="1:34">
      <c r="A47" s="2407" t="s">
        <v>1143</v>
      </c>
      <c r="B47" s="2408">
        <f t="shared" ref="B47:C49" si="180">B46/(1+N46)</f>
        <v>254.44570563753314</v>
      </c>
      <c r="C47" s="2408">
        <f t="shared" si="180"/>
        <v>207.37543398705074</v>
      </c>
      <c r="D47" s="2408">
        <f t="shared" si="166"/>
        <v>207.37543398705074</v>
      </c>
      <c r="E47" s="2408">
        <f t="shared" ref="E47:F49" si="181">E46/(1+P46)</f>
        <v>352.81876655315932</v>
      </c>
      <c r="F47" s="2408">
        <f t="shared" si="181"/>
        <v>190.809968847352</v>
      </c>
      <c r="G47" s="3486">
        <v>2010</v>
      </c>
      <c r="H47" s="2433">
        <v>3</v>
      </c>
      <c r="I47" s="2433">
        <v>4.7300000000000004</v>
      </c>
      <c r="J47" s="2433">
        <v>3.9</v>
      </c>
      <c r="K47" s="2433">
        <v>5.03</v>
      </c>
      <c r="L47" s="2434">
        <v>4.21</v>
      </c>
      <c r="N47" s="2410">
        <f t="shared" si="168"/>
        <v>4.7300000000000002E-2</v>
      </c>
      <c r="O47" s="2395">
        <f t="shared" si="168"/>
        <v>3.9E-2</v>
      </c>
      <c r="P47" s="2395">
        <f t="shared" si="168"/>
        <v>5.0300000000000004E-2</v>
      </c>
      <c r="Q47" s="2395">
        <f t="shared" si="168"/>
        <v>4.2099999999999999E-2</v>
      </c>
      <c r="R47" s="2411"/>
      <c r="S47" s="2410"/>
      <c r="T47" s="2395"/>
      <c r="U47" s="2395"/>
      <c r="V47" s="2395"/>
    </row>
    <row r="48" spans="1:34">
      <c r="A48" s="2407" t="s">
        <v>1144</v>
      </c>
      <c r="B48" s="2408">
        <f t="shared" si="180"/>
        <v>242.95398227588385</v>
      </c>
      <c r="C48" s="2408">
        <f t="shared" si="180"/>
        <v>199.59137053614126</v>
      </c>
      <c r="D48" s="2408">
        <f t="shared" si="166"/>
        <v>199.59137053614126</v>
      </c>
      <c r="E48" s="2408">
        <f t="shared" si="181"/>
        <v>335.92189522342125</v>
      </c>
      <c r="F48" s="2408">
        <f t="shared" si="181"/>
        <v>183.10139991109489</v>
      </c>
      <c r="G48" s="3486">
        <v>2010</v>
      </c>
      <c r="H48" s="2420">
        <v>2</v>
      </c>
      <c r="I48" s="2420">
        <v>4.6900000000000004</v>
      </c>
      <c r="J48" s="2420">
        <v>3.55</v>
      </c>
      <c r="K48" s="2420">
        <v>5.07</v>
      </c>
      <c r="L48" s="2421">
        <v>4.2300000000000004</v>
      </c>
      <c r="N48" s="2410">
        <f t="shared" si="168"/>
        <v>4.6900000000000004E-2</v>
      </c>
      <c r="O48" s="2395">
        <f t="shared" si="168"/>
        <v>3.5499999999999997E-2</v>
      </c>
      <c r="P48" s="2395">
        <f t="shared" si="168"/>
        <v>5.0700000000000002E-2</v>
      </c>
      <c r="Q48" s="2395">
        <f t="shared" si="168"/>
        <v>4.2300000000000004E-2</v>
      </c>
      <c r="R48" s="2411"/>
      <c r="S48" s="2410"/>
      <c r="T48" s="2395"/>
      <c r="U48" s="2395"/>
      <c r="V48" s="2395"/>
    </row>
    <row r="49" spans="1:26" ht="13.5" thickBot="1">
      <c r="A49" s="2407" t="s">
        <v>1145</v>
      </c>
      <c r="B49" s="2408">
        <f t="shared" si="180"/>
        <v>232.06990378821649</v>
      </c>
      <c r="C49" s="2408">
        <f t="shared" si="180"/>
        <v>192.74878854286936</v>
      </c>
      <c r="D49" s="2408">
        <f t="shared" si="166"/>
        <v>192.74878854286936</v>
      </c>
      <c r="E49" s="2408">
        <f t="shared" si="181"/>
        <v>319.71247284992984</v>
      </c>
      <c r="F49" s="2408">
        <f t="shared" si="181"/>
        <v>175.67053622862409</v>
      </c>
      <c r="G49" s="3487">
        <v>2010</v>
      </c>
      <c r="H49" s="2409">
        <v>1</v>
      </c>
      <c r="I49" s="2409">
        <v>5.4</v>
      </c>
      <c r="J49" s="2409">
        <v>3.2</v>
      </c>
      <c r="K49" s="2409">
        <v>6.16</v>
      </c>
      <c r="L49" s="2415">
        <v>4.51</v>
      </c>
      <c r="N49" s="2410">
        <f t="shared" si="168"/>
        <v>5.4000000000000006E-2</v>
      </c>
      <c r="O49" s="2395">
        <f t="shared" si="168"/>
        <v>3.2000000000000001E-2</v>
      </c>
      <c r="P49" s="2395">
        <f t="shared" si="168"/>
        <v>6.1600000000000002E-2</v>
      </c>
      <c r="Q49" s="2395">
        <f t="shared" si="168"/>
        <v>4.5100000000000001E-2</v>
      </c>
      <c r="R49" s="2411"/>
      <c r="S49" s="2426">
        <f>B49/B50-1</f>
        <v>5.4863199037347599E-2</v>
      </c>
      <c r="T49" s="2427">
        <f>C49/C50-1</f>
        <v>3.0742184721226584E-2</v>
      </c>
      <c r="U49" s="2427">
        <f>E49/E50-1</f>
        <v>6.2167683886810154E-2</v>
      </c>
      <c r="V49" s="2427">
        <f>F49/F50-1</f>
        <v>4.5657953741810031E-2</v>
      </c>
      <c r="X49" s="2395"/>
      <c r="Y49" s="2395"/>
      <c r="Z49" s="2395"/>
    </row>
    <row r="50" spans="1:26" ht="13.5" thickBot="1">
      <c r="A50" s="2407" t="s">
        <v>1146</v>
      </c>
      <c r="B50" s="2422">
        <v>220</v>
      </c>
      <c r="C50" s="2422">
        <v>187</v>
      </c>
      <c r="D50" s="2422">
        <f t="shared" si="166"/>
        <v>187</v>
      </c>
      <c r="E50" s="2422">
        <v>301</v>
      </c>
      <c r="F50" s="2423">
        <v>168</v>
      </c>
      <c r="G50" s="3485">
        <v>2009</v>
      </c>
      <c r="H50" s="2428">
        <v>4</v>
      </c>
      <c r="I50" s="2428">
        <v>2.2999999999999998</v>
      </c>
      <c r="J50" s="2428">
        <v>1.04</v>
      </c>
      <c r="K50" s="2428">
        <v>2.84</v>
      </c>
      <c r="L50" s="2429">
        <v>0.67</v>
      </c>
      <c r="N50" s="2430">
        <f t="shared" si="168"/>
        <v>2.3E-2</v>
      </c>
      <c r="O50" s="2431">
        <f t="shared" si="168"/>
        <v>1.04E-2</v>
      </c>
      <c r="P50" s="2431">
        <f t="shared" si="168"/>
        <v>2.8399999999999998E-2</v>
      </c>
      <c r="Q50" s="2431">
        <f t="shared" si="168"/>
        <v>6.7000000000000002E-3</v>
      </c>
      <c r="R50" s="2411"/>
      <c r="S50" s="2424"/>
      <c r="T50" s="2425"/>
      <c r="U50" s="2425"/>
      <c r="V50" s="2425"/>
      <c r="X50" s="2425"/>
      <c r="Y50" s="2425"/>
      <c r="Z50" s="2425"/>
    </row>
    <row r="51" spans="1:26">
      <c r="A51" s="2407" t="s">
        <v>1147</v>
      </c>
      <c r="B51" s="2408">
        <f t="shared" ref="B51:C53" si="182">B50/(1+N50)</f>
        <v>215.05376344086022</v>
      </c>
      <c r="C51" s="2408">
        <f t="shared" si="182"/>
        <v>185.0752177355503</v>
      </c>
      <c r="D51" s="2408">
        <f t="shared" si="166"/>
        <v>185.0752177355503</v>
      </c>
      <c r="E51" s="2408">
        <f t="shared" ref="E51:F53" si="183">E50/(1+P50)</f>
        <v>292.68767016725008</v>
      </c>
      <c r="F51" s="2408">
        <f t="shared" si="183"/>
        <v>166.88189132810174</v>
      </c>
      <c r="G51" s="3486">
        <v>2009</v>
      </c>
      <c r="H51" s="2433">
        <v>3</v>
      </c>
      <c r="I51" s="2433">
        <v>2.1</v>
      </c>
      <c r="J51" s="2433">
        <v>1.86</v>
      </c>
      <c r="K51" s="2433">
        <v>2.29</v>
      </c>
      <c r="L51" s="2434">
        <v>0.85</v>
      </c>
      <c r="N51" s="2410">
        <f t="shared" si="168"/>
        <v>2.1000000000000001E-2</v>
      </c>
      <c r="O51" s="2435">
        <f t="shared" si="168"/>
        <v>1.8600000000000002E-2</v>
      </c>
      <c r="P51" s="2435">
        <f t="shared" si="168"/>
        <v>2.29E-2</v>
      </c>
      <c r="Q51" s="2435">
        <f t="shared" si="168"/>
        <v>8.5000000000000006E-3</v>
      </c>
      <c r="R51" s="2411"/>
      <c r="S51" s="2410"/>
      <c r="T51" s="2395"/>
      <c r="U51" s="2395"/>
      <c r="V51" s="2395"/>
    </row>
    <row r="52" spans="1:26">
      <c r="A52" s="2407" t="s">
        <v>1148</v>
      </c>
      <c r="B52" s="2408">
        <f t="shared" si="182"/>
        <v>210.630522469011</v>
      </c>
      <c r="C52" s="2408">
        <f t="shared" si="182"/>
        <v>181.69567812247232</v>
      </c>
      <c r="D52" s="2408">
        <f t="shared" si="166"/>
        <v>181.69567812247232</v>
      </c>
      <c r="E52" s="2408">
        <f t="shared" si="183"/>
        <v>286.13517466736738</v>
      </c>
      <c r="F52" s="2408">
        <f t="shared" si="183"/>
        <v>165.47535084591149</v>
      </c>
      <c r="G52" s="3486">
        <v>2009</v>
      </c>
      <c r="H52" s="2420">
        <v>2</v>
      </c>
      <c r="I52" s="2420">
        <v>0.86</v>
      </c>
      <c r="J52" s="2420">
        <v>-1.1299999999999999</v>
      </c>
      <c r="K52" s="2420">
        <v>1.79</v>
      </c>
      <c r="L52" s="2421">
        <v>-2.0699999999999998</v>
      </c>
      <c r="N52" s="2410">
        <f t="shared" si="168"/>
        <v>8.6E-3</v>
      </c>
      <c r="O52" s="2435">
        <f t="shared" si="168"/>
        <v>-1.1299999999999999E-2</v>
      </c>
      <c r="P52" s="2435">
        <f t="shared" si="168"/>
        <v>1.7899999999999999E-2</v>
      </c>
      <c r="Q52" s="2435">
        <f t="shared" si="168"/>
        <v>-2.07E-2</v>
      </c>
      <c r="R52" s="2411"/>
      <c r="S52" s="2410"/>
      <c r="T52" s="2395"/>
      <c r="U52" s="2395"/>
      <c r="V52" s="2395"/>
    </row>
    <row r="53" spans="1:26">
      <c r="A53" s="2407" t="s">
        <v>1149</v>
      </c>
      <c r="B53" s="2408">
        <f t="shared" si="182"/>
        <v>208.83454537875372</v>
      </c>
      <c r="C53" s="2408">
        <f t="shared" si="182"/>
        <v>183.77230517090351</v>
      </c>
      <c r="D53" s="2408">
        <f t="shared" si="166"/>
        <v>183.77230517090351</v>
      </c>
      <c r="E53" s="2408">
        <f t="shared" si="183"/>
        <v>281.10342338870947</v>
      </c>
      <c r="F53" s="2408">
        <f t="shared" si="183"/>
        <v>168.97309388942256</v>
      </c>
      <c r="G53" s="3487">
        <v>2009</v>
      </c>
      <c r="H53" s="2409">
        <v>1</v>
      </c>
      <c r="I53" s="2409">
        <v>-2.64</v>
      </c>
      <c r="J53" s="2409">
        <v>-2.5299999999999998</v>
      </c>
      <c r="K53" s="2409">
        <v>-3.02</v>
      </c>
      <c r="L53" s="2415">
        <v>1.52</v>
      </c>
      <c r="N53" s="2426">
        <f t="shared" si="168"/>
        <v>-2.64E-2</v>
      </c>
      <c r="O53" s="2427">
        <f t="shared" si="168"/>
        <v>-2.53E-2</v>
      </c>
      <c r="P53" s="2427">
        <f t="shared" si="168"/>
        <v>-3.0200000000000001E-2</v>
      </c>
      <c r="Q53" s="2427">
        <f t="shared" si="168"/>
        <v>1.52E-2</v>
      </c>
      <c r="R53" s="2411"/>
      <c r="S53" s="2426">
        <f>B53/B54-1</f>
        <v>-2.4137638417038754E-2</v>
      </c>
      <c r="T53" s="2427">
        <f>C53/C54-1</f>
        <v>-2.248773845264096E-2</v>
      </c>
      <c r="U53" s="2427">
        <f>E53/E54-1</f>
        <v>-2.7323794502735366E-2</v>
      </c>
      <c r="V53" s="2427">
        <f>F53/F54-1</f>
        <v>1.7910204153148035E-2</v>
      </c>
      <c r="X53" s="2395"/>
      <c r="Y53" s="2395"/>
      <c r="Z53" s="2395"/>
    </row>
    <row r="54" spans="1:26" ht="13.5" thickBot="1">
      <c r="A54" s="2407" t="s">
        <v>1150</v>
      </c>
      <c r="B54" s="2457">
        <v>214</v>
      </c>
      <c r="C54" s="2457">
        <v>188</v>
      </c>
      <c r="D54" s="2457">
        <f t="shared" si="166"/>
        <v>188</v>
      </c>
      <c r="E54" s="2457">
        <v>289</v>
      </c>
      <c r="F54" s="2458">
        <v>166</v>
      </c>
      <c r="G54" s="3485">
        <v>2008</v>
      </c>
      <c r="H54" s="2428">
        <v>4</v>
      </c>
      <c r="I54" s="2428">
        <v>1.73</v>
      </c>
      <c r="J54" s="2428">
        <v>0.03</v>
      </c>
      <c r="K54" s="2428">
        <v>2.59</v>
      </c>
      <c r="L54" s="2429">
        <v>-1.66</v>
      </c>
      <c r="N54" s="2410">
        <f t="shared" si="168"/>
        <v>1.7299999999999999E-2</v>
      </c>
      <c r="O54" s="2395">
        <f t="shared" si="168"/>
        <v>2.9999999999999997E-4</v>
      </c>
      <c r="P54" s="2395">
        <f t="shared" si="168"/>
        <v>2.5899999999999999E-2</v>
      </c>
      <c r="Q54" s="2395">
        <f t="shared" si="168"/>
        <v>-1.66E-2</v>
      </c>
      <c r="R54" s="2411"/>
      <c r="S54" s="2424"/>
      <c r="T54" s="2425"/>
      <c r="U54" s="2425"/>
      <c r="V54" s="2425"/>
      <c r="X54" s="2425"/>
      <c r="Y54" s="2425"/>
      <c r="Z54" s="2425"/>
    </row>
    <row r="55" spans="1:26">
      <c r="A55" s="2407" t="s">
        <v>1151</v>
      </c>
      <c r="B55" s="2408">
        <f t="shared" ref="B55:C57" si="184">B54/(1+N54)</f>
        <v>210.36075887152265</v>
      </c>
      <c r="C55" s="2408">
        <f t="shared" si="184"/>
        <v>187.94361691492554</v>
      </c>
      <c r="D55" s="2408">
        <f t="shared" si="166"/>
        <v>187.94361691492554</v>
      </c>
      <c r="E55" s="2408">
        <f t="shared" ref="E55:F57" si="185">E54/(1+P54)</f>
        <v>281.70386977288234</v>
      </c>
      <c r="F55" s="2408">
        <f t="shared" si="185"/>
        <v>168.80211511083994</v>
      </c>
      <c r="G55" s="3486">
        <v>2008</v>
      </c>
      <c r="H55" s="2433">
        <v>3</v>
      </c>
      <c r="I55" s="2433">
        <v>1.96</v>
      </c>
      <c r="J55" s="2433">
        <v>2.36</v>
      </c>
      <c r="K55" s="2433">
        <v>1.82</v>
      </c>
      <c r="L55" s="2434">
        <v>2.2200000000000002</v>
      </c>
      <c r="N55" s="2410">
        <f t="shared" si="168"/>
        <v>1.9599999999999999E-2</v>
      </c>
      <c r="O55" s="2395">
        <f t="shared" si="168"/>
        <v>2.3599999999999999E-2</v>
      </c>
      <c r="P55" s="2395">
        <f t="shared" si="168"/>
        <v>1.8200000000000001E-2</v>
      </c>
      <c r="Q55" s="2395">
        <f t="shared" si="168"/>
        <v>2.2200000000000001E-2</v>
      </c>
      <c r="R55" s="2411"/>
      <c r="S55" s="2410"/>
      <c r="T55" s="2395"/>
      <c r="U55" s="2395"/>
      <c r="V55" s="2395"/>
    </row>
    <row r="56" spans="1:26">
      <c r="A56" s="2407" t="s">
        <v>1152</v>
      </c>
      <c r="B56" s="2408">
        <f t="shared" si="184"/>
        <v>206.31694671589116</v>
      </c>
      <c r="C56" s="2408">
        <f t="shared" si="184"/>
        <v>183.61041121036101</v>
      </c>
      <c r="D56" s="2408">
        <f t="shared" si="166"/>
        <v>183.61041121036101</v>
      </c>
      <c r="E56" s="2408">
        <f t="shared" si="185"/>
        <v>276.66850301795557</v>
      </c>
      <c r="F56" s="2408">
        <f t="shared" si="185"/>
        <v>165.1360938278614</v>
      </c>
      <c r="G56" s="3486">
        <v>2008</v>
      </c>
      <c r="H56" s="2420">
        <v>2</v>
      </c>
      <c r="I56" s="2420">
        <v>4.93</v>
      </c>
      <c r="J56" s="2420">
        <v>7.38</v>
      </c>
      <c r="K56" s="2420">
        <v>3.98</v>
      </c>
      <c r="L56" s="2421">
        <v>6.86</v>
      </c>
      <c r="N56" s="2410">
        <f t="shared" si="168"/>
        <v>4.9299999999999997E-2</v>
      </c>
      <c r="O56" s="2395">
        <f t="shared" si="168"/>
        <v>7.3800000000000004E-2</v>
      </c>
      <c r="P56" s="2395">
        <f t="shared" si="168"/>
        <v>3.9800000000000002E-2</v>
      </c>
      <c r="Q56" s="2395">
        <f t="shared" si="168"/>
        <v>6.8600000000000008E-2</v>
      </c>
      <c r="R56" s="2411"/>
      <c r="S56" s="2410"/>
      <c r="T56" s="2395"/>
      <c r="U56" s="2395"/>
      <c r="V56" s="2395"/>
    </row>
    <row r="57" spans="1:26" s="2463" customFormat="1" ht="13.5" thickBot="1">
      <c r="A57" s="2407" t="s">
        <v>1153</v>
      </c>
      <c r="B57" s="2460">
        <f t="shared" si="184"/>
        <v>196.62341248059772</v>
      </c>
      <c r="C57" s="2460">
        <f t="shared" si="184"/>
        <v>170.99125648199012</v>
      </c>
      <c r="D57" s="2460">
        <f t="shared" si="166"/>
        <v>170.99125648199012</v>
      </c>
      <c r="E57" s="2460">
        <f t="shared" si="185"/>
        <v>266.07857570490052</v>
      </c>
      <c r="F57" s="2460">
        <f t="shared" si="185"/>
        <v>154.53499328828505</v>
      </c>
      <c r="G57" s="3487">
        <v>2008</v>
      </c>
      <c r="H57" s="2461">
        <v>1</v>
      </c>
      <c r="I57" s="2461">
        <v>4.1399999999999997</v>
      </c>
      <c r="J57" s="2461">
        <v>3.45</v>
      </c>
      <c r="K57" s="2461">
        <v>4.95</v>
      </c>
      <c r="L57" s="2462">
        <v>4.82</v>
      </c>
      <c r="N57" s="2464">
        <f t="shared" si="168"/>
        <v>4.1399999999999999E-2</v>
      </c>
      <c r="O57" s="2465">
        <f t="shared" si="168"/>
        <v>3.4500000000000003E-2</v>
      </c>
      <c r="P57" s="2465">
        <f t="shared" si="168"/>
        <v>4.9500000000000002E-2</v>
      </c>
      <c r="Q57" s="2465">
        <f t="shared" si="168"/>
        <v>4.82E-2</v>
      </c>
      <c r="R57" s="2466"/>
      <c r="S57" s="2464">
        <f>B57/B58-1</f>
        <v>4.5869215322328349E-2</v>
      </c>
      <c r="T57" s="2465">
        <f>C57/C58-1</f>
        <v>3.6310645345394743E-2</v>
      </c>
      <c r="U57" s="2465">
        <f>E57/E58-1</f>
        <v>4.7553447657088688E-2</v>
      </c>
      <c r="V57" s="2465">
        <f>F57/F58-1</f>
        <v>4.4155360055980086E-2</v>
      </c>
      <c r="X57" s="2465"/>
      <c r="Y57" s="2465"/>
      <c r="Z57" s="2465"/>
    </row>
    <row r="58" spans="1:26" ht="13.5" thickBot="1">
      <c r="A58" s="2407" t="s">
        <v>1154</v>
      </c>
      <c r="B58" s="2422">
        <v>188</v>
      </c>
      <c r="C58" s="2422">
        <v>165</v>
      </c>
      <c r="D58" s="2422">
        <f t="shared" si="166"/>
        <v>165</v>
      </c>
      <c r="E58" s="2422">
        <v>254</v>
      </c>
      <c r="F58" s="2423">
        <v>148</v>
      </c>
      <c r="G58" s="3485">
        <v>2007</v>
      </c>
      <c r="H58" s="2467">
        <v>4</v>
      </c>
      <c r="I58" s="2467">
        <v>5.51</v>
      </c>
      <c r="J58" s="2467">
        <v>4.8899999999999997</v>
      </c>
      <c r="K58" s="2467">
        <v>6.43</v>
      </c>
      <c r="L58" s="2468">
        <v>5.36</v>
      </c>
      <c r="N58" s="2469">
        <f t="shared" ref="N58:O61" si="186">B58/B59-1</f>
        <v>4.1339718365245526E-2</v>
      </c>
      <c r="O58" s="2470">
        <f t="shared" si="186"/>
        <v>4.0324492593776018E-2</v>
      </c>
      <c r="P58" s="2470">
        <f t="shared" ref="P58:Q61" si="187">E58/E59-1</f>
        <v>6.1625555347990968E-2</v>
      </c>
      <c r="Q58" s="2470">
        <f t="shared" si="187"/>
        <v>4.6757569250590603E-2</v>
      </c>
      <c r="R58" s="2411"/>
      <c r="S58" s="2424"/>
      <c r="T58" s="2425"/>
      <c r="U58" s="2425"/>
      <c r="V58" s="2425"/>
      <c r="X58" s="2425"/>
      <c r="Y58" s="2425"/>
      <c r="Z58" s="2425"/>
    </row>
    <row r="59" spans="1:26">
      <c r="A59" s="2407" t="s">
        <v>1155</v>
      </c>
      <c r="B59" s="2408">
        <f t="shared" ref="B59:C61" si="188">B60+(B$58-B$62)*I59/SUM(I$58:I$61)</f>
        <v>180.5366651097618</v>
      </c>
      <c r="C59" s="2408">
        <f t="shared" si="188"/>
        <v>158.60435967302453</v>
      </c>
      <c r="D59" s="2408">
        <f t="shared" si="166"/>
        <v>158.60435967302453</v>
      </c>
      <c r="E59" s="2408">
        <f t="shared" ref="E59:F61" si="189">E60+(E$58-E$62)*K59/SUM(K$58:K$61)</f>
        <v>239.25573260785075</v>
      </c>
      <c r="F59" s="2408">
        <f t="shared" si="189"/>
        <v>141.38899430740037</v>
      </c>
      <c r="G59" s="3486">
        <v>2007</v>
      </c>
      <c r="H59" s="2433">
        <v>3</v>
      </c>
      <c r="I59" s="2433">
        <v>8.65</v>
      </c>
      <c r="J59" s="2433">
        <v>8.06</v>
      </c>
      <c r="K59" s="2433">
        <v>9.94</v>
      </c>
      <c r="L59" s="2434">
        <v>5.8</v>
      </c>
      <c r="N59" s="2469">
        <f t="shared" si="186"/>
        <v>6.940217571740015E-2</v>
      </c>
      <c r="O59" s="2470">
        <f t="shared" si="186"/>
        <v>7.1197482471153428E-2</v>
      </c>
      <c r="P59" s="2470">
        <f t="shared" si="187"/>
        <v>0.10529679922579582</v>
      </c>
      <c r="Q59" s="2470">
        <f t="shared" si="187"/>
        <v>5.3292245059512133E-2</v>
      </c>
      <c r="R59" s="2411"/>
      <c r="S59" s="2410"/>
      <c r="T59" s="2395"/>
      <c r="U59" s="2395"/>
      <c r="V59" s="2395"/>
      <c r="X59" s="2471"/>
      <c r="Y59" s="2471"/>
      <c r="Z59" s="2471"/>
    </row>
    <row r="60" spans="1:26">
      <c r="A60" s="2407" t="s">
        <v>1156</v>
      </c>
      <c r="B60" s="2408">
        <f t="shared" si="188"/>
        <v>168.82017748715555</v>
      </c>
      <c r="C60" s="2408">
        <f t="shared" si="188"/>
        <v>148.06267029972753</v>
      </c>
      <c r="D60" s="2408">
        <f t="shared" si="166"/>
        <v>148.06267029972753</v>
      </c>
      <c r="E60" s="2408">
        <f t="shared" si="189"/>
        <v>216.46288379323747</v>
      </c>
      <c r="F60" s="2408">
        <f t="shared" si="189"/>
        <v>134.23529411764704</v>
      </c>
      <c r="G60" s="3486">
        <v>2007</v>
      </c>
      <c r="H60" s="2420">
        <v>2</v>
      </c>
      <c r="I60" s="2420">
        <v>3.67</v>
      </c>
      <c r="J60" s="2420">
        <v>2.3199999999999998</v>
      </c>
      <c r="K60" s="2420">
        <v>5.0199999999999996</v>
      </c>
      <c r="L60" s="2421">
        <v>6.71</v>
      </c>
      <c r="N60" s="2469">
        <f t="shared" si="186"/>
        <v>3.0339138143848032E-2</v>
      </c>
      <c r="O60" s="2470">
        <f t="shared" si="186"/>
        <v>2.0922341588790472E-2</v>
      </c>
      <c r="P60" s="2470">
        <f t="shared" si="187"/>
        <v>5.6164796592717003E-2</v>
      </c>
      <c r="Q60" s="2470">
        <f t="shared" si="187"/>
        <v>6.5704536723887319E-2</v>
      </c>
      <c r="R60" s="2411"/>
      <c r="S60" s="2410"/>
      <c r="T60" s="2395"/>
      <c r="U60" s="2395"/>
      <c r="V60" s="2395"/>
      <c r="X60" s="2471"/>
      <c r="Y60" s="2471"/>
      <c r="Z60" s="2471"/>
    </row>
    <row r="61" spans="1:26">
      <c r="A61" s="2407" t="s">
        <v>1157</v>
      </c>
      <c r="B61" s="2408">
        <f t="shared" si="188"/>
        <v>163.84913591779542</v>
      </c>
      <c r="C61" s="2408">
        <f t="shared" si="188"/>
        <v>145.0283378746594</v>
      </c>
      <c r="D61" s="2408">
        <f t="shared" si="166"/>
        <v>145.0283378746594</v>
      </c>
      <c r="E61" s="2408">
        <f t="shared" si="189"/>
        <v>204.95180722891567</v>
      </c>
      <c r="F61" s="2408">
        <f t="shared" si="189"/>
        <v>125.95920303605313</v>
      </c>
      <c r="G61" s="3487">
        <v>2007</v>
      </c>
      <c r="H61" s="2409">
        <v>1</v>
      </c>
      <c r="I61" s="2409">
        <v>3.58</v>
      </c>
      <c r="J61" s="2409">
        <v>3.08</v>
      </c>
      <c r="K61" s="2409">
        <v>4.34</v>
      </c>
      <c r="L61" s="2415">
        <v>3.21</v>
      </c>
      <c r="N61" s="2472">
        <f t="shared" si="186"/>
        <v>3.0497710174814063E-2</v>
      </c>
      <c r="O61" s="2473">
        <f t="shared" si="186"/>
        <v>2.8569772160704998E-2</v>
      </c>
      <c r="P61" s="2473">
        <f t="shared" si="187"/>
        <v>5.1034908866234296E-2</v>
      </c>
      <c r="Q61" s="2473">
        <f t="shared" si="187"/>
        <v>3.245248390207478E-2</v>
      </c>
      <c r="R61" s="2411"/>
      <c r="S61" s="2426">
        <f>B61/B62-1</f>
        <v>3.0497710174814063E-2</v>
      </c>
      <c r="T61" s="2427">
        <f>C61/C62-1</f>
        <v>2.8569772160704998E-2</v>
      </c>
      <c r="U61" s="2427">
        <f>E61/E62-1</f>
        <v>5.1034908866234296E-2</v>
      </c>
      <c r="V61" s="2427">
        <f>F61/F62-1</f>
        <v>3.245248390207478E-2</v>
      </c>
      <c r="X61" s="2471"/>
      <c r="Y61" s="2471"/>
      <c r="Z61" s="2471"/>
    </row>
    <row r="62" spans="1:26" ht="13.5" thickBot="1">
      <c r="A62" s="2407" t="s">
        <v>1158</v>
      </c>
      <c r="B62" s="2436">
        <v>159</v>
      </c>
      <c r="C62" s="2436">
        <v>141</v>
      </c>
      <c r="D62" s="2436">
        <f t="shared" si="166"/>
        <v>141</v>
      </c>
      <c r="E62" s="2436">
        <v>195</v>
      </c>
      <c r="F62" s="2437">
        <v>122</v>
      </c>
      <c r="G62" s="3485">
        <v>2006</v>
      </c>
      <c r="H62" s="2428">
        <v>4</v>
      </c>
      <c r="I62" s="2428">
        <v>3.79</v>
      </c>
      <c r="J62" s="2428">
        <v>2.21</v>
      </c>
      <c r="K62" s="2428">
        <v>5.65</v>
      </c>
      <c r="L62" s="2429">
        <v>5.41</v>
      </c>
      <c r="N62" s="2469">
        <f t="shared" ref="N62:O65" si="190">I62/SUM(I$62:I$65)*(B$62/B$66-1)</f>
        <v>7.245466462748526E-2</v>
      </c>
      <c r="O62" s="2470">
        <f t="shared" si="190"/>
        <v>2.3237230038062766E-2</v>
      </c>
      <c r="P62" s="2470">
        <f t="shared" ref="P62:Q65" si="191">K62/SUM(K$62:K$65)*(E$62/E$66-1)</f>
        <v>0.16146893866323722</v>
      </c>
      <c r="Q62" s="2470">
        <f t="shared" si="191"/>
        <v>5.0755230321793784E-2</v>
      </c>
      <c r="R62" s="2411"/>
      <c r="S62" s="2424"/>
      <c r="T62" s="2425"/>
      <c r="U62" s="2425"/>
      <c r="V62" s="2425"/>
      <c r="X62" s="2471"/>
      <c r="Y62" s="2471"/>
      <c r="Z62" s="2471"/>
    </row>
    <row r="63" spans="1:26">
      <c r="A63" s="2407" t="s">
        <v>1159</v>
      </c>
      <c r="B63" s="2408">
        <f t="shared" ref="B63:C65" si="192">B64+(B$62-B$66)*I63/SUM(I$62:I$65)</f>
        <v>149.00125628140702</v>
      </c>
      <c r="C63" s="2408">
        <f t="shared" si="192"/>
        <v>137.95592286501378</v>
      </c>
      <c r="D63" s="2408">
        <f t="shared" si="166"/>
        <v>137.95592286501378</v>
      </c>
      <c r="E63" s="2408">
        <f t="shared" ref="E63:F65" si="193">E64+(E$62-E$66)*K63/SUM(K$62:K$65)</f>
        <v>169.97231450719823</v>
      </c>
      <c r="F63" s="2408">
        <f t="shared" si="193"/>
        <v>116.21390374331551</v>
      </c>
      <c r="G63" s="3486">
        <v>2006</v>
      </c>
      <c r="H63" s="2433">
        <v>3</v>
      </c>
      <c r="I63" s="2433">
        <v>0.92</v>
      </c>
      <c r="J63" s="2433">
        <v>1.08</v>
      </c>
      <c r="K63" s="2433">
        <v>0.73</v>
      </c>
      <c r="L63" s="2434">
        <v>1.08</v>
      </c>
      <c r="N63" s="2469">
        <f t="shared" si="190"/>
        <v>1.7587939698492462E-2</v>
      </c>
      <c r="O63" s="2470">
        <f t="shared" si="190"/>
        <v>1.1355750425840628E-2</v>
      </c>
      <c r="P63" s="2470">
        <f t="shared" si="191"/>
        <v>2.0862358446754544E-2</v>
      </c>
      <c r="Q63" s="2470">
        <f t="shared" si="191"/>
        <v>1.0132282578103011E-2</v>
      </c>
      <c r="R63" s="2411"/>
      <c r="S63" s="2410"/>
      <c r="T63" s="2395"/>
      <c r="U63" s="2395"/>
      <c r="V63" s="2395"/>
      <c r="X63" s="2471"/>
      <c r="Y63" s="2471"/>
      <c r="Z63" s="2471"/>
    </row>
    <row r="64" spans="1:26">
      <c r="A64" s="2407" t="s">
        <v>1160</v>
      </c>
      <c r="B64" s="2408">
        <f t="shared" si="192"/>
        <v>146.57412060301507</v>
      </c>
      <c r="C64" s="2408">
        <f t="shared" si="192"/>
        <v>136.46831955922866</v>
      </c>
      <c r="D64" s="2408">
        <f t="shared" si="166"/>
        <v>136.46831955922866</v>
      </c>
      <c r="E64" s="2408">
        <f t="shared" si="193"/>
        <v>166.73864894795128</v>
      </c>
      <c r="F64" s="2408">
        <f t="shared" si="193"/>
        <v>115.05882352941177</v>
      </c>
      <c r="G64" s="3486">
        <v>2006</v>
      </c>
      <c r="H64" s="2420">
        <v>2</v>
      </c>
      <c r="I64" s="2420">
        <v>0.96</v>
      </c>
      <c r="J64" s="2420">
        <v>0.25</v>
      </c>
      <c r="K64" s="2420">
        <v>1.9</v>
      </c>
      <c r="L64" s="2421">
        <v>0.95</v>
      </c>
      <c r="N64" s="2469">
        <f t="shared" si="190"/>
        <v>1.8352632728861701E-2</v>
      </c>
      <c r="O64" s="2470">
        <f t="shared" si="190"/>
        <v>2.6286459319075526E-3</v>
      </c>
      <c r="P64" s="2470">
        <f t="shared" si="191"/>
        <v>5.4299289107991269E-2</v>
      </c>
      <c r="Q64" s="2470">
        <f t="shared" si="191"/>
        <v>8.9126559714794995E-3</v>
      </c>
      <c r="R64" s="2411"/>
      <c r="S64" s="2410"/>
      <c r="T64" s="2395"/>
      <c r="U64" s="2395"/>
      <c r="V64" s="2395"/>
      <c r="X64" s="2471"/>
      <c r="Y64" s="2471"/>
      <c r="Z64" s="2471"/>
    </row>
    <row r="65" spans="1:26">
      <c r="A65" s="2407" t="s">
        <v>1161</v>
      </c>
      <c r="B65" s="2408">
        <f t="shared" si="192"/>
        <v>144.04145728643215</v>
      </c>
      <c r="C65" s="2408">
        <f t="shared" si="192"/>
        <v>136.12396694214877</v>
      </c>
      <c r="D65" s="2408">
        <f t="shared" si="166"/>
        <v>136.12396694214877</v>
      </c>
      <c r="E65" s="2408">
        <f t="shared" si="193"/>
        <v>158.32225913621264</v>
      </c>
      <c r="F65" s="2408">
        <f t="shared" si="193"/>
        <v>114.04278074866311</v>
      </c>
      <c r="G65" s="3487">
        <v>2006</v>
      </c>
      <c r="H65" s="2409">
        <v>1</v>
      </c>
      <c r="I65" s="2409">
        <v>2.29</v>
      </c>
      <c r="J65" s="2409">
        <v>3.72</v>
      </c>
      <c r="K65" s="2409">
        <v>0.75</v>
      </c>
      <c r="L65" s="2415">
        <v>0.04</v>
      </c>
      <c r="N65" s="2472">
        <f t="shared" si="190"/>
        <v>4.3778675988638847E-2</v>
      </c>
      <c r="O65" s="2473">
        <f t="shared" si="190"/>
        <v>3.9114251466784385E-2</v>
      </c>
      <c r="P65" s="2473">
        <f t="shared" si="191"/>
        <v>2.1433929911049188E-2</v>
      </c>
      <c r="Q65" s="2473">
        <f t="shared" si="191"/>
        <v>3.7526972511492629E-4</v>
      </c>
      <c r="R65" s="2411"/>
      <c r="S65" s="2426">
        <f>B65/B66-1</f>
        <v>4.3778675988638716E-2</v>
      </c>
      <c r="T65" s="2427">
        <f>C65/C66-1</f>
        <v>3.91142514667846E-2</v>
      </c>
      <c r="U65" s="2427">
        <f>E65/E66-1</f>
        <v>2.143392991104931E-2</v>
      </c>
      <c r="V65" s="2427">
        <f>F65/F66-1</f>
        <v>3.7526972511492396E-4</v>
      </c>
      <c r="X65" s="2471"/>
      <c r="Y65" s="2471"/>
      <c r="Z65" s="2471"/>
    </row>
    <row r="66" spans="1:26" ht="13.5" thickBot="1">
      <c r="A66" s="2407" t="s">
        <v>1162</v>
      </c>
      <c r="B66" s="2436">
        <v>138</v>
      </c>
      <c r="C66" s="2436">
        <v>131</v>
      </c>
      <c r="D66" s="2436">
        <f t="shared" si="166"/>
        <v>131</v>
      </c>
      <c r="E66" s="2436">
        <v>155</v>
      </c>
      <c r="F66" s="2437">
        <v>114</v>
      </c>
      <c r="G66" s="3485">
        <v>2005</v>
      </c>
      <c r="H66" s="2428">
        <v>4</v>
      </c>
      <c r="I66" s="2428">
        <v>3.29</v>
      </c>
      <c r="J66" s="2428">
        <v>1.44</v>
      </c>
      <c r="K66" s="2428">
        <v>0.66</v>
      </c>
      <c r="L66" s="2429">
        <v>7.78</v>
      </c>
      <c r="N66" s="2469">
        <f t="shared" ref="N66:O69" si="194">I66/SUM(I$66:I$69)*(B$66/B$70-1)</f>
        <v>9.9404603216919935E-2</v>
      </c>
      <c r="O66" s="2470">
        <f t="shared" si="194"/>
        <v>4.7636550760861554E-2</v>
      </c>
      <c r="P66" s="2470">
        <f t="shared" ref="P66:Q69" si="195">K66/SUM(K$66:K$69)*(E$66/E$70-1)</f>
        <v>8.3756345177664976E-2</v>
      </c>
      <c r="Q66" s="2470">
        <f t="shared" si="195"/>
        <v>5.2148766661559584E-2</v>
      </c>
      <c r="R66" s="2411"/>
      <c r="S66" s="2424"/>
      <c r="T66" s="2425"/>
      <c r="U66" s="2425"/>
      <c r="V66" s="2425"/>
      <c r="X66" s="2471"/>
      <c r="Y66" s="2471"/>
      <c r="Z66" s="2471"/>
    </row>
    <row r="67" spans="1:26">
      <c r="A67" s="2407" t="s">
        <v>1163</v>
      </c>
      <c r="B67" s="2408">
        <f t="shared" ref="B67:C69" si="196">B68+(B$66-B$70)*I67/SUM(I$66:I$69)</f>
        <v>125.9720430107527</v>
      </c>
      <c r="C67" s="2408">
        <f t="shared" si="196"/>
        <v>125.1883408071749</v>
      </c>
      <c r="D67" s="2408">
        <f t="shared" si="166"/>
        <v>125.1883408071749</v>
      </c>
      <c r="E67" s="2408">
        <f t="shared" ref="E67:F69" si="197">E68+(E$66-E$70)*K67/SUM(K$66:K$69)</f>
        <v>144.61421319796952</v>
      </c>
      <c r="F67" s="2408">
        <f t="shared" si="197"/>
        <v>108.42008196721311</v>
      </c>
      <c r="G67" s="3486">
        <v>2005</v>
      </c>
      <c r="H67" s="2433">
        <v>3</v>
      </c>
      <c r="I67" s="2433">
        <v>0.46</v>
      </c>
      <c r="J67" s="2433">
        <v>0.32</v>
      </c>
      <c r="K67" s="2433">
        <v>0.42</v>
      </c>
      <c r="L67" s="2434">
        <v>0.64</v>
      </c>
      <c r="N67" s="2469">
        <f t="shared" si="194"/>
        <v>1.3898515951301874E-2</v>
      </c>
      <c r="O67" s="2470">
        <f t="shared" si="194"/>
        <v>1.0585900169080346E-2</v>
      </c>
      <c r="P67" s="2470">
        <f t="shared" si="195"/>
        <v>5.3299492385786795E-2</v>
      </c>
      <c r="Q67" s="2470">
        <f t="shared" si="195"/>
        <v>4.2898728359123568E-3</v>
      </c>
      <c r="R67" s="2411"/>
      <c r="S67" s="2410"/>
      <c r="T67" s="2395"/>
      <c r="U67" s="2395"/>
      <c r="V67" s="2395"/>
      <c r="X67" s="2471"/>
      <c r="Y67" s="2471"/>
      <c r="Z67" s="2471"/>
    </row>
    <row r="68" spans="1:26">
      <c r="A68" s="2407" t="s">
        <v>1164</v>
      </c>
      <c r="B68" s="2408">
        <f t="shared" si="196"/>
        <v>124.29032258064517</v>
      </c>
      <c r="C68" s="2408">
        <f t="shared" si="196"/>
        <v>123.8968609865471</v>
      </c>
      <c r="D68" s="2408">
        <f t="shared" si="166"/>
        <v>123.8968609865471</v>
      </c>
      <c r="E68" s="2408">
        <f t="shared" si="197"/>
        <v>138.00507614213197</v>
      </c>
      <c r="F68" s="2408">
        <f t="shared" si="197"/>
        <v>107.96106557377048</v>
      </c>
      <c r="G68" s="3486">
        <v>2005</v>
      </c>
      <c r="H68" s="2420">
        <v>2</v>
      </c>
      <c r="I68" s="2420">
        <v>0.47</v>
      </c>
      <c r="J68" s="2420">
        <v>0.1</v>
      </c>
      <c r="K68" s="2420">
        <v>0.52</v>
      </c>
      <c r="L68" s="2421">
        <v>0.79</v>
      </c>
      <c r="N68" s="2469">
        <f t="shared" si="194"/>
        <v>1.420065760241713E-2</v>
      </c>
      <c r="O68" s="2470">
        <f t="shared" si="194"/>
        <v>3.3080938028376083E-3</v>
      </c>
      <c r="P68" s="2470">
        <f t="shared" si="195"/>
        <v>6.598984771573603E-2</v>
      </c>
      <c r="Q68" s="2470">
        <f t="shared" si="195"/>
        <v>5.2953117818293153E-3</v>
      </c>
      <c r="R68" s="2411"/>
      <c r="S68" s="2410"/>
      <c r="T68" s="2395"/>
      <c r="U68" s="2395"/>
      <c r="V68" s="2395"/>
      <c r="X68" s="2471"/>
      <c r="Y68" s="2471"/>
      <c r="Z68" s="2471"/>
    </row>
    <row r="69" spans="1:26">
      <c r="A69" s="2407" t="s">
        <v>1165</v>
      </c>
      <c r="B69" s="2408">
        <f t="shared" si="196"/>
        <v>122.57204301075269</v>
      </c>
      <c r="C69" s="2408">
        <f t="shared" si="196"/>
        <v>123.4932735426009</v>
      </c>
      <c r="D69" s="2408">
        <f t="shared" si="166"/>
        <v>123.4932735426009</v>
      </c>
      <c r="E69" s="2408">
        <f t="shared" si="197"/>
        <v>129.82233502538071</v>
      </c>
      <c r="F69" s="2408">
        <f t="shared" si="197"/>
        <v>107.39446721311475</v>
      </c>
      <c r="G69" s="3487">
        <v>2005</v>
      </c>
      <c r="H69" s="2409">
        <v>1</v>
      </c>
      <c r="I69" s="2409">
        <v>0.43</v>
      </c>
      <c r="J69" s="2409">
        <v>0.37</v>
      </c>
      <c r="K69" s="2409">
        <v>0.37</v>
      </c>
      <c r="L69" s="2415">
        <v>0.55000000000000004</v>
      </c>
      <c r="N69" s="2472">
        <f t="shared" si="194"/>
        <v>1.2992090997956099E-2</v>
      </c>
      <c r="O69" s="2473">
        <f t="shared" si="194"/>
        <v>1.2239947070499151E-2</v>
      </c>
      <c r="P69" s="2473">
        <f t="shared" si="195"/>
        <v>4.6954314720812178E-2</v>
      </c>
      <c r="Q69" s="2473">
        <f t="shared" si="195"/>
        <v>3.6866094683621815E-3</v>
      </c>
      <c r="R69" s="2411"/>
      <c r="S69" s="2426">
        <f>B69/B70-1</f>
        <v>1.2992090997956174E-2</v>
      </c>
      <c r="T69" s="2427">
        <f>C69/C70-1</f>
        <v>1.2239947070499246E-2</v>
      </c>
      <c r="U69" s="2427">
        <f>E69/E70-1</f>
        <v>4.695431472081224E-2</v>
      </c>
      <c r="V69" s="2427">
        <f>F69/F70-1</f>
        <v>3.6866094683620787E-3</v>
      </c>
      <c r="X69" s="2471"/>
      <c r="Y69" s="2471"/>
      <c r="Z69" s="2471"/>
    </row>
    <row r="70" spans="1:26" ht="13.5" thickBot="1">
      <c r="A70" s="2407" t="s">
        <v>1166</v>
      </c>
      <c r="B70" s="2457">
        <v>121</v>
      </c>
      <c r="C70" s="2457">
        <v>122</v>
      </c>
      <c r="D70" s="2457">
        <f t="shared" si="166"/>
        <v>122</v>
      </c>
      <c r="E70" s="2457">
        <v>124</v>
      </c>
      <c r="F70" s="2458">
        <v>107</v>
      </c>
      <c r="G70" s="3485">
        <v>2004</v>
      </c>
      <c r="H70" s="2428">
        <v>4</v>
      </c>
      <c r="I70" s="2428">
        <v>0.33</v>
      </c>
      <c r="J70" s="2428">
        <v>0.5</v>
      </c>
      <c r="K70" s="2428">
        <v>0.5</v>
      </c>
      <c r="L70" s="2429">
        <v>0</v>
      </c>
      <c r="N70" s="2469">
        <f t="shared" ref="N70:O73" si="198">I70/SUM(I$70:I$73)*(B$70/B$74-1)</f>
        <v>1.3391770148526898E-2</v>
      </c>
      <c r="O70" s="2470">
        <f t="shared" si="198"/>
        <v>1.063264221158958E-2</v>
      </c>
      <c r="P70" s="2470">
        <f t="shared" ref="P70:Q73" si="199">K70/SUM(K$70:K$73)*(E$70/E$74-1)</f>
        <v>2.2244466688911134E-2</v>
      </c>
      <c r="Q70" s="2470">
        <f t="shared" si="199"/>
        <v>0</v>
      </c>
      <c r="R70" s="2411"/>
      <c r="S70" s="2424"/>
      <c r="T70" s="2425"/>
      <c r="U70" s="2425"/>
      <c r="V70" s="2425"/>
      <c r="X70" s="2471"/>
      <c r="Y70" s="2471"/>
      <c r="Z70" s="2471"/>
    </row>
    <row r="71" spans="1:26">
      <c r="A71" s="2407" t="s">
        <v>1167</v>
      </c>
      <c r="B71" s="2408">
        <f t="shared" ref="B71:C73" si="200">B72+(B$70-B$74)*I71/SUM(I$70:I$73)</f>
        <v>119.51351351351352</v>
      </c>
      <c r="C71" s="2408">
        <f t="shared" si="200"/>
        <v>120.7878787878788</v>
      </c>
      <c r="D71" s="2408">
        <f t="shared" si="166"/>
        <v>120.7878787878788</v>
      </c>
      <c r="E71" s="2408">
        <f t="shared" ref="E71:F73" si="201">E72+(E$70-E$74)*K71/SUM(K$70:K$73)</f>
        <v>121.5975975975976</v>
      </c>
      <c r="F71" s="2408">
        <f t="shared" si="201"/>
        <v>107</v>
      </c>
      <c r="G71" s="3486">
        <v>2004</v>
      </c>
      <c r="H71" s="2433">
        <v>3</v>
      </c>
      <c r="I71" s="2433">
        <v>0.56000000000000005</v>
      </c>
      <c r="J71" s="2433">
        <v>0.8</v>
      </c>
      <c r="K71" s="2433">
        <v>0.83</v>
      </c>
      <c r="L71" s="2434">
        <v>0.06</v>
      </c>
      <c r="N71" s="2469">
        <f t="shared" si="198"/>
        <v>2.2725428130833527E-2</v>
      </c>
      <c r="O71" s="2470">
        <f t="shared" si="198"/>
        <v>1.7012227538543329E-2</v>
      </c>
      <c r="P71" s="2470">
        <f t="shared" si="199"/>
        <v>3.6925814703592477E-2</v>
      </c>
      <c r="Q71" s="2470">
        <f t="shared" si="199"/>
        <v>2.8846153846153744E-2</v>
      </c>
      <c r="R71" s="2411"/>
      <c r="S71" s="2410"/>
      <c r="T71" s="2395"/>
      <c r="U71" s="2395"/>
      <c r="V71" s="2395"/>
      <c r="X71" s="2471"/>
      <c r="Y71" s="2471"/>
      <c r="Z71" s="2471"/>
    </row>
    <row r="72" spans="1:26">
      <c r="A72" s="2407" t="s">
        <v>1168</v>
      </c>
      <c r="B72" s="2408">
        <f t="shared" si="200"/>
        <v>116.99099099099099</v>
      </c>
      <c r="C72" s="2408">
        <f t="shared" si="200"/>
        <v>118.84848484848486</v>
      </c>
      <c r="D72" s="2408">
        <f t="shared" si="166"/>
        <v>118.84848484848486</v>
      </c>
      <c r="E72" s="2408">
        <f t="shared" si="201"/>
        <v>117.60960960960961</v>
      </c>
      <c r="F72" s="2408">
        <f t="shared" si="201"/>
        <v>104</v>
      </c>
      <c r="G72" s="3486">
        <v>2004</v>
      </c>
      <c r="H72" s="2420">
        <v>2</v>
      </c>
      <c r="I72" s="2420">
        <v>1</v>
      </c>
      <c r="J72" s="2420">
        <v>1.5</v>
      </c>
      <c r="K72" s="2420">
        <v>1.5</v>
      </c>
      <c r="L72" s="2421">
        <v>0</v>
      </c>
      <c r="N72" s="2469">
        <f t="shared" si="198"/>
        <v>4.0581121662202721E-2</v>
      </c>
      <c r="O72" s="2470">
        <f t="shared" si="198"/>
        <v>3.1897926634768738E-2</v>
      </c>
      <c r="P72" s="2470">
        <f t="shared" si="199"/>
        <v>6.6733400066733395E-2</v>
      </c>
      <c r="Q72" s="2470">
        <f t="shared" si="199"/>
        <v>0</v>
      </c>
      <c r="R72" s="2411"/>
      <c r="S72" s="2410"/>
      <c r="T72" s="2395"/>
      <c r="U72" s="2395"/>
      <c r="V72" s="2395"/>
      <c r="X72" s="2471"/>
      <c r="Y72" s="2471"/>
      <c r="Z72" s="2471"/>
    </row>
    <row r="73" spans="1:26" s="2463" customFormat="1" ht="13.5" thickBot="1">
      <c r="A73" s="2407" t="s">
        <v>1169</v>
      </c>
      <c r="B73" s="2460">
        <f t="shared" si="200"/>
        <v>112.48648648648648</v>
      </c>
      <c r="C73" s="2460">
        <f t="shared" si="200"/>
        <v>115.21212121212122</v>
      </c>
      <c r="D73" s="2460">
        <f t="shared" si="166"/>
        <v>115.21212121212122</v>
      </c>
      <c r="E73" s="2460">
        <f t="shared" si="201"/>
        <v>110.4024024024024</v>
      </c>
      <c r="F73" s="2460">
        <f t="shared" si="201"/>
        <v>104</v>
      </c>
      <c r="G73" s="3487">
        <v>2004</v>
      </c>
      <c r="H73" s="2461">
        <v>1</v>
      </c>
      <c r="I73" s="2461">
        <v>0.33</v>
      </c>
      <c r="J73" s="2461">
        <v>0.5</v>
      </c>
      <c r="K73" s="2461">
        <v>0.5</v>
      </c>
      <c r="L73" s="2462">
        <v>0</v>
      </c>
      <c r="N73" s="2474">
        <f t="shared" si="198"/>
        <v>1.3391770148526898E-2</v>
      </c>
      <c r="O73" s="2475">
        <f t="shared" si="198"/>
        <v>1.063264221158958E-2</v>
      </c>
      <c r="P73" s="2475">
        <f t="shared" si="199"/>
        <v>2.2244466688911134E-2</v>
      </c>
      <c r="Q73" s="2475">
        <f t="shared" si="199"/>
        <v>0</v>
      </c>
      <c r="R73" s="2466"/>
      <c r="S73" s="2464">
        <f>B73/B74-1</f>
        <v>1.3391770148526883E-2</v>
      </c>
      <c r="T73" s="2465">
        <f>C73/C74-1</f>
        <v>1.063264221158966E-2</v>
      </c>
      <c r="U73" s="2465">
        <f>E73/E74-1</f>
        <v>2.2244466688911224E-2</v>
      </c>
      <c r="V73" s="2465">
        <f>F73/F74-1</f>
        <v>0</v>
      </c>
      <c r="X73" s="2476"/>
      <c r="Y73" s="2476"/>
      <c r="Z73" s="2476"/>
    </row>
    <row r="74" spans="1:26" ht="13.5" thickBot="1">
      <c r="A74" s="2407" t="s">
        <v>1170</v>
      </c>
      <c r="B74" s="2477">
        <v>111</v>
      </c>
      <c r="C74" s="2477">
        <v>114</v>
      </c>
      <c r="D74" s="2477">
        <f t="shared" si="166"/>
        <v>114</v>
      </c>
      <c r="E74" s="2477">
        <v>108</v>
      </c>
      <c r="F74" s="2478">
        <v>104</v>
      </c>
      <c r="G74" s="3485">
        <v>2003</v>
      </c>
      <c r="H74" s="2467">
        <v>4</v>
      </c>
      <c r="I74" s="2479"/>
      <c r="J74" s="2479"/>
      <c r="K74" s="2479"/>
      <c r="L74" s="2479"/>
      <c r="N74" s="2480"/>
      <c r="O74" s="2479"/>
      <c r="P74" s="2479"/>
      <c r="Q74" s="2479"/>
      <c r="S74" s="2480"/>
      <c r="T74" s="2479"/>
      <c r="U74" s="2479"/>
      <c r="V74" s="2479"/>
      <c r="X74" s="2471"/>
      <c r="Y74" s="2471"/>
      <c r="Z74" s="2471"/>
    </row>
    <row r="75" spans="1:26">
      <c r="A75" s="2407" t="s">
        <v>1171</v>
      </c>
      <c r="B75" s="2481">
        <f t="shared" ref="B75:C77" si="202">B76+(B$74-B$78)/4</f>
        <v>109.75</v>
      </c>
      <c r="C75" s="2481">
        <f t="shared" si="202"/>
        <v>112.25</v>
      </c>
      <c r="D75" s="2481">
        <f t="shared" si="166"/>
        <v>112.25</v>
      </c>
      <c r="E75" s="2481">
        <f t="shared" ref="E75:F77" si="203">E76+(E$74-E$78)/4</f>
        <v>107.25</v>
      </c>
      <c r="F75" s="2481">
        <f t="shared" si="203"/>
        <v>103.5</v>
      </c>
      <c r="G75" s="3486">
        <v>2003</v>
      </c>
      <c r="H75" s="2433">
        <v>3</v>
      </c>
      <c r="I75" s="2479"/>
      <c r="J75" s="2479"/>
      <c r="K75" s="2479"/>
      <c r="L75" s="2479"/>
      <c r="X75" s="2471"/>
      <c r="Y75" s="2471"/>
      <c r="Z75" s="2471"/>
    </row>
    <row r="76" spans="1:26">
      <c r="A76" s="2407" t="s">
        <v>1172</v>
      </c>
      <c r="B76" s="2481">
        <f t="shared" si="202"/>
        <v>108.5</v>
      </c>
      <c r="C76" s="2481">
        <f t="shared" si="202"/>
        <v>110.5</v>
      </c>
      <c r="D76" s="2481">
        <f t="shared" si="166"/>
        <v>110.5</v>
      </c>
      <c r="E76" s="2481">
        <f t="shared" si="203"/>
        <v>106.5</v>
      </c>
      <c r="F76" s="2481">
        <f t="shared" si="203"/>
        <v>103</v>
      </c>
      <c r="G76" s="3486">
        <v>2003</v>
      </c>
      <c r="H76" s="2420">
        <v>2</v>
      </c>
      <c r="I76" s="2479"/>
      <c r="J76" s="2479"/>
      <c r="K76" s="2479"/>
      <c r="L76" s="2479"/>
      <c r="X76" s="2471"/>
      <c r="Y76" s="2471"/>
      <c r="Z76" s="2471"/>
    </row>
    <row r="77" spans="1:26" ht="13.5" thickBot="1">
      <c r="A77" s="2407" t="s">
        <v>1173</v>
      </c>
      <c r="B77" s="2481">
        <f t="shared" si="202"/>
        <v>107.25</v>
      </c>
      <c r="C77" s="2481">
        <f t="shared" si="202"/>
        <v>108.75</v>
      </c>
      <c r="D77" s="2481">
        <f t="shared" si="166"/>
        <v>108.75</v>
      </c>
      <c r="E77" s="2481">
        <f t="shared" si="203"/>
        <v>105.75</v>
      </c>
      <c r="F77" s="2481">
        <f t="shared" si="203"/>
        <v>102.5</v>
      </c>
      <c r="G77" s="3487">
        <v>2003</v>
      </c>
      <c r="H77" s="2482">
        <v>1</v>
      </c>
      <c r="I77" s="2479"/>
      <c r="J77" s="2479"/>
      <c r="K77" s="2479"/>
      <c r="L77" s="2479"/>
      <c r="S77" s="2410"/>
      <c r="T77" s="2395"/>
      <c r="U77" s="2395"/>
      <c r="X77" s="2471"/>
      <c r="Y77" s="2471"/>
      <c r="Z77" s="2471"/>
    </row>
    <row r="78" spans="1:26" ht="13.5" thickBot="1">
      <c r="A78" s="2407" t="s">
        <v>1174</v>
      </c>
      <c r="B78" s="2483">
        <v>106</v>
      </c>
      <c r="C78" s="2483">
        <v>107</v>
      </c>
      <c r="D78" s="2483">
        <f t="shared" si="166"/>
        <v>107</v>
      </c>
      <c r="E78" s="2483">
        <v>105</v>
      </c>
      <c r="F78" s="2484">
        <v>102</v>
      </c>
      <c r="G78" s="3485">
        <v>2002</v>
      </c>
      <c r="H78" s="2428">
        <v>4</v>
      </c>
      <c r="I78" s="2479"/>
      <c r="J78" s="2479"/>
      <c r="K78" s="2479"/>
      <c r="L78" s="2479"/>
      <c r="N78" s="2480"/>
      <c r="O78" s="2479"/>
      <c r="P78" s="2479"/>
      <c r="Q78" s="2479"/>
      <c r="S78" s="2480"/>
      <c r="T78" s="2479"/>
      <c r="U78" s="2479"/>
      <c r="V78" s="2479"/>
      <c r="X78" s="2471"/>
      <c r="Y78" s="2471"/>
      <c r="Z78" s="2471"/>
    </row>
    <row r="79" spans="1:26">
      <c r="A79" s="2407" t="s">
        <v>1175</v>
      </c>
      <c r="B79" s="2481">
        <f t="shared" ref="B79:C81" si="204">B80+(B$78-B$82)/4</f>
        <v>105</v>
      </c>
      <c r="C79" s="2481">
        <f t="shared" si="204"/>
        <v>106</v>
      </c>
      <c r="D79" s="2481">
        <f t="shared" si="166"/>
        <v>106</v>
      </c>
      <c r="E79" s="2481">
        <f t="shared" ref="E79:F81" si="205">E80+(E$78-E$82)/4</f>
        <v>104.5</v>
      </c>
      <c r="F79" s="2481">
        <f t="shared" si="205"/>
        <v>101.5</v>
      </c>
      <c r="G79" s="3486">
        <v>2002</v>
      </c>
      <c r="H79" s="2433">
        <v>3</v>
      </c>
      <c r="I79" s="2479"/>
      <c r="J79" s="2479"/>
      <c r="K79" s="2479"/>
      <c r="L79" s="2479"/>
      <c r="X79" s="2471"/>
      <c r="Y79" s="2471"/>
      <c r="Z79" s="2471"/>
    </row>
    <row r="80" spans="1:26">
      <c r="A80" s="2407" t="s">
        <v>1176</v>
      </c>
      <c r="B80" s="2481">
        <f t="shared" si="204"/>
        <v>104</v>
      </c>
      <c r="C80" s="2481">
        <f t="shared" si="204"/>
        <v>105</v>
      </c>
      <c r="D80" s="2481">
        <f t="shared" si="166"/>
        <v>105</v>
      </c>
      <c r="E80" s="2481">
        <f t="shared" si="205"/>
        <v>104</v>
      </c>
      <c r="F80" s="2481">
        <f t="shared" si="205"/>
        <v>101</v>
      </c>
      <c r="G80" s="3486">
        <v>2002</v>
      </c>
      <c r="H80" s="2420">
        <v>2</v>
      </c>
      <c r="I80" s="2479"/>
      <c r="J80" s="2479"/>
      <c r="K80" s="2479"/>
      <c r="L80" s="2479"/>
      <c r="X80" s="2471"/>
      <c r="Y80" s="2471"/>
      <c r="Z80" s="2471"/>
    </row>
    <row r="81" spans="1:26" s="2444" customFormat="1" ht="13.5" thickBot="1">
      <c r="A81" s="2440" t="s">
        <v>1177</v>
      </c>
      <c r="B81" s="2447">
        <f t="shared" si="204"/>
        <v>103</v>
      </c>
      <c r="C81" s="2447">
        <f t="shared" si="204"/>
        <v>104</v>
      </c>
      <c r="D81" s="2447">
        <f t="shared" si="166"/>
        <v>104</v>
      </c>
      <c r="E81" s="2447">
        <f t="shared" si="205"/>
        <v>103.5</v>
      </c>
      <c r="F81" s="2447">
        <f t="shared" si="205"/>
        <v>100.5</v>
      </c>
      <c r="G81" s="3487">
        <v>2002</v>
      </c>
      <c r="H81" s="2485">
        <v>1</v>
      </c>
      <c r="I81" s="2486"/>
      <c r="J81" s="2486"/>
      <c r="K81" s="2486"/>
      <c r="L81" s="2486"/>
      <c r="N81" s="2487"/>
      <c r="S81" s="2487"/>
      <c r="X81" s="2488"/>
      <c r="Y81" s="2488"/>
      <c r="Z81" s="2488"/>
    </row>
    <row r="82" spans="1:26" ht="13.5" thickBot="1">
      <c r="B82" s="2489">
        <v>102</v>
      </c>
      <c r="C82" s="2490">
        <v>103</v>
      </c>
      <c r="D82" s="2490">
        <f t="shared" si="166"/>
        <v>103</v>
      </c>
      <c r="E82" s="2490">
        <v>103</v>
      </c>
      <c r="F82" s="2491">
        <v>100</v>
      </c>
      <c r="I82" s="2479"/>
      <c r="J82" s="2479"/>
      <c r="K82" s="2479"/>
      <c r="L82" s="2479"/>
      <c r="N82" s="2480"/>
      <c r="O82" s="2479"/>
      <c r="P82" s="2479"/>
      <c r="Q82" s="2479"/>
      <c r="S82" s="2480"/>
      <c r="T82" s="2479"/>
      <c r="U82" s="2479"/>
      <c r="V82" s="2479"/>
      <c r="X82" s="2425"/>
      <c r="Y82" s="2425"/>
      <c r="Z82" s="2425"/>
    </row>
    <row r="84" spans="1:26" s="2493" customFormat="1">
      <c r="A84" s="2492" t="s">
        <v>1178</v>
      </c>
      <c r="G84" s="2494"/>
      <c r="N84" s="2494"/>
      <c r="S84" s="2494"/>
    </row>
    <row r="85" spans="1:26" s="2493" customFormat="1">
      <c r="A85" s="2493" t="s">
        <v>1179</v>
      </c>
      <c r="G85" s="2494"/>
      <c r="N85" s="2494"/>
      <c r="S85" s="2494"/>
    </row>
    <row r="86" spans="1:26" s="2493" customFormat="1">
      <c r="A86" s="2493" t="s">
        <v>1180</v>
      </c>
      <c r="G86" s="2494"/>
      <c r="I86" s="2495"/>
      <c r="J86" s="2495"/>
      <c r="K86" s="2495"/>
      <c r="L86" s="2495"/>
      <c r="N86" s="2496"/>
      <c r="O86" s="2495"/>
      <c r="P86" s="2495"/>
      <c r="Q86" s="2495"/>
      <c r="S86" s="2496"/>
      <c r="T86" s="2495"/>
      <c r="U86" s="2495"/>
      <c r="V86" s="2495"/>
    </row>
    <row r="87" spans="1:26" s="2493" customFormat="1">
      <c r="A87" s="2493" t="s">
        <v>1181</v>
      </c>
      <c r="G87" s="2494"/>
      <c r="N87" s="2494"/>
      <c r="S87" s="2494"/>
    </row>
    <row r="94" spans="1:26" ht="13.5" thickBot="1"/>
    <row r="95" spans="1:26">
      <c r="G95" s="2394"/>
      <c r="S95" s="2497" t="s">
        <v>1182</v>
      </c>
      <c r="T95" s="2498" t="s">
        <v>1183</v>
      </c>
      <c r="U95" s="2498" t="s">
        <v>1184</v>
      </c>
      <c r="V95" s="2498" t="s">
        <v>1185</v>
      </c>
    </row>
    <row r="96" spans="1:26">
      <c r="G96" s="2394"/>
      <c r="N96" s="2424"/>
      <c r="O96" s="2425"/>
      <c r="P96" s="2425"/>
      <c r="Q96" s="2425"/>
      <c r="S96" s="2499">
        <v>2006</v>
      </c>
      <c r="T96" s="2500">
        <v>15.1</v>
      </c>
      <c r="U96" s="2500">
        <v>7.43</v>
      </c>
      <c r="V96" s="2500">
        <v>26.26</v>
      </c>
    </row>
    <row r="97" spans="7:22">
      <c r="G97" s="2394"/>
      <c r="N97" s="2424"/>
      <c r="O97" s="2425"/>
      <c r="P97" s="2425"/>
      <c r="Q97" s="2425"/>
      <c r="S97" s="2501">
        <v>2005</v>
      </c>
      <c r="T97" s="2502">
        <v>13.9</v>
      </c>
      <c r="U97" s="2502">
        <v>7.49</v>
      </c>
      <c r="V97" s="2502">
        <v>24.92</v>
      </c>
    </row>
    <row r="98" spans="7:22">
      <c r="G98" s="2394"/>
      <c r="N98" s="2424"/>
      <c r="O98" s="2425"/>
      <c r="P98" s="2425"/>
      <c r="Q98" s="2425"/>
      <c r="S98" s="2499">
        <v>2004</v>
      </c>
      <c r="T98" s="2500">
        <v>9.48</v>
      </c>
      <c r="U98" s="2500">
        <v>7.2</v>
      </c>
      <c r="V98" s="2500">
        <v>14.68</v>
      </c>
    </row>
    <row r="99" spans="7:22">
      <c r="G99" s="2394"/>
      <c r="N99" s="2424"/>
      <c r="O99" s="2425"/>
      <c r="P99" s="2425"/>
      <c r="Q99" s="2425"/>
      <c r="S99" s="2501">
        <v>2003</v>
      </c>
      <c r="T99" s="2502">
        <v>4.5</v>
      </c>
      <c r="U99" s="2502">
        <v>6.12</v>
      </c>
      <c r="V99" s="2502">
        <v>2.34</v>
      </c>
    </row>
    <row r="100" spans="7:22" ht="13.5" thickBot="1">
      <c r="G100" s="2394"/>
      <c r="N100" s="2424"/>
      <c r="O100" s="2425"/>
      <c r="P100" s="2425"/>
      <c r="Q100" s="2425"/>
      <c r="S100" s="2503">
        <v>2002</v>
      </c>
      <c r="T100" s="2504">
        <v>3.59</v>
      </c>
      <c r="U100" s="2504">
        <v>4.54</v>
      </c>
      <c r="V100" s="2504">
        <v>2.5499999999999998</v>
      </c>
    </row>
    <row r="101" spans="7:22">
      <c r="G101" s="2394"/>
      <c r="N101" s="2424"/>
      <c r="O101" s="2425"/>
      <c r="P101" s="2425"/>
      <c r="Q101" s="2425"/>
    </row>
    <row r="102" spans="7:22">
      <c r="G102" s="2394"/>
      <c r="N102" s="2424"/>
      <c r="O102" s="2425"/>
      <c r="P102" s="2425"/>
      <c r="Q102" s="2425"/>
    </row>
    <row r="103" spans="7:22">
      <c r="G103" s="2394"/>
      <c r="N103" s="2424"/>
      <c r="O103" s="2425"/>
      <c r="P103" s="2425"/>
      <c r="Q103" s="2425"/>
    </row>
    <row r="104" spans="7:22">
      <c r="G104" s="2394"/>
      <c r="N104" s="2424"/>
      <c r="O104" s="2425"/>
      <c r="P104" s="2425"/>
      <c r="Q104" s="2425"/>
    </row>
    <row r="105" spans="7:22">
      <c r="G105" s="2394"/>
      <c r="N105" s="2424"/>
      <c r="O105" s="2425"/>
      <c r="P105" s="2425"/>
      <c r="Q105" s="2425"/>
    </row>
    <row r="106" spans="7:22">
      <c r="G106" s="2394"/>
      <c r="N106" s="2424"/>
      <c r="O106" s="2425"/>
      <c r="P106" s="2425"/>
      <c r="Q106" s="2425"/>
    </row>
    <row r="107" spans="7:22">
      <c r="G107" s="2394"/>
      <c r="N107" s="2424"/>
      <c r="O107" s="2425"/>
      <c r="P107" s="2425"/>
      <c r="Q107" s="2425"/>
    </row>
    <row r="108" spans="7:22">
      <c r="G108" s="2394"/>
      <c r="N108" s="2424"/>
      <c r="O108" s="2425"/>
      <c r="P108" s="2425"/>
      <c r="Q108" s="2425"/>
    </row>
    <row r="109" spans="7:22">
      <c r="G109" s="2394"/>
      <c r="N109" s="2424"/>
      <c r="O109" s="2425"/>
      <c r="P109" s="2425"/>
      <c r="Q109" s="2425"/>
    </row>
    <row r="110" spans="7:22">
      <c r="G110" s="2394"/>
      <c r="N110" s="2424"/>
      <c r="O110" s="2425"/>
      <c r="P110" s="2425"/>
      <c r="Q110" s="2425"/>
    </row>
    <row r="111" spans="7:22">
      <c r="G111" s="2394"/>
      <c r="N111" s="2424"/>
      <c r="O111" s="2425"/>
      <c r="P111" s="2425"/>
      <c r="Q111" s="2425"/>
      <c r="S111" s="2394"/>
    </row>
    <row r="112" spans="7:22">
      <c r="G112" s="2394"/>
      <c r="N112" s="2424"/>
      <c r="O112" s="2425"/>
      <c r="P112" s="2425"/>
      <c r="Q112" s="2425"/>
      <c r="S112" s="2394"/>
    </row>
    <row r="113" spans="7:19">
      <c r="G113" s="2394"/>
      <c r="N113" s="2424"/>
      <c r="O113" s="2425"/>
      <c r="P113" s="2425"/>
      <c r="Q113" s="2425"/>
      <c r="S113" s="2394"/>
    </row>
    <row r="114" spans="7:19">
      <c r="G114" s="2394"/>
      <c r="N114" s="2424"/>
      <c r="O114" s="2425"/>
      <c r="P114" s="2425"/>
      <c r="Q114" s="2425"/>
      <c r="S114" s="2394"/>
    </row>
    <row r="115" spans="7:19">
      <c r="G115" s="2394"/>
      <c r="N115" s="2424"/>
      <c r="O115" s="2425"/>
      <c r="P115" s="2425"/>
      <c r="Q115" s="2425"/>
      <c r="S115" s="2394"/>
    </row>
    <row r="116" spans="7:19">
      <c r="G116" s="2394"/>
      <c r="N116" s="2424"/>
      <c r="O116" s="2425"/>
      <c r="P116" s="2425"/>
      <c r="Q116" s="2425"/>
      <c r="S116" s="2394"/>
    </row>
  </sheetData>
  <sheetProtection sheet="1" objects="1" scenarios="1" formatCells="0"/>
  <mergeCells count="23">
    <mergeCell ref="X1:AB1"/>
    <mergeCell ref="AD1:AH1"/>
    <mergeCell ref="G38:G41"/>
    <mergeCell ref="B1:F1"/>
    <mergeCell ref="G1:L1"/>
    <mergeCell ref="N1:Q1"/>
    <mergeCell ref="S1:V1"/>
    <mergeCell ref="G22:G25"/>
    <mergeCell ref="G26:G29"/>
    <mergeCell ref="G30:G33"/>
    <mergeCell ref="G34:G37"/>
    <mergeCell ref="G14:G17"/>
    <mergeCell ref="G18:G21"/>
    <mergeCell ref="G66:G69"/>
    <mergeCell ref="G70:G73"/>
    <mergeCell ref="G74:G77"/>
    <mergeCell ref="G78:G81"/>
    <mergeCell ref="G42:G45"/>
    <mergeCell ref="G46:G49"/>
    <mergeCell ref="G50:G53"/>
    <mergeCell ref="G54:G57"/>
    <mergeCell ref="G58:G61"/>
    <mergeCell ref="G62:G65"/>
  </mergeCells>
  <phoneticPr fontId="140"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2"/>
  <sheetViews>
    <sheetView view="pageLayout" zoomScale="80" zoomScaleNormal="100" zoomScalePageLayoutView="80" workbookViewId="0">
      <selection activeCell="A3" sqref="A3:E3"/>
    </sheetView>
  </sheetViews>
  <sheetFormatPr defaultColWidth="9" defaultRowHeight="14.25"/>
  <cols>
    <col min="1" max="1" width="0.875" style="1667" customWidth="1"/>
    <col min="2" max="2" width="37.25" style="1667" customWidth="1"/>
    <col min="3" max="3" width="11.375" style="1667" customWidth="1"/>
    <col min="4" max="4" width="31.75" style="1667" customWidth="1"/>
    <col min="5" max="5" width="0.5" style="1667" customWidth="1"/>
    <col min="6" max="7" width="13" style="1667" customWidth="1"/>
    <col min="8" max="16384" width="9" style="1667"/>
  </cols>
  <sheetData>
    <row r="1" spans="1:5" ht="18.75">
      <c r="A1" s="1665" t="s">
        <v>1586</v>
      </c>
      <c r="B1" s="1666"/>
      <c r="C1" s="1666"/>
      <c r="D1" s="1666"/>
      <c r="E1" s="1666"/>
    </row>
    <row r="2" spans="1:5" ht="78" customHeight="1">
      <c r="A2" s="3168"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168"/>
      <c r="C2" s="3168"/>
      <c r="D2" s="3168"/>
      <c r="E2" s="3168"/>
    </row>
    <row r="3" spans="1:5" ht="18">
      <c r="A3" s="3169" t="str">
        <f>IF(项目基本情况!B9="房地产市场价值","估价结果一览表（市场价值不需“结果表-1”）","估价结果一览表")</f>
        <v>估价结果一览表</v>
      </c>
      <c r="B3" s="3169"/>
      <c r="C3" s="3169"/>
      <c r="D3" s="3169"/>
      <c r="E3" s="3169"/>
    </row>
    <row r="4" spans="1:5" ht="19.5" thickBot="1">
      <c r="A4" s="1668"/>
      <c r="B4" s="3167" t="s">
        <v>1595</v>
      </c>
      <c r="C4" s="3167"/>
      <c r="D4" s="3167"/>
      <c r="E4" s="1668"/>
    </row>
    <row r="5" spans="1:5" ht="16.5" thickTop="1">
      <c r="A5" s="1666"/>
      <c r="B5" s="3165" t="s">
        <v>1587</v>
      </c>
      <c r="C5" s="1669" t="s">
        <v>1588</v>
      </c>
      <c r="D5" s="956" t="e">
        <f ca="1">结果表!H101</f>
        <v>#REF!</v>
      </c>
      <c r="E5" s="1666"/>
    </row>
    <row r="6" spans="1:5" ht="15.75">
      <c r="A6" s="1666"/>
      <c r="B6" s="3165"/>
      <c r="C6" s="1669" t="s">
        <v>1589</v>
      </c>
      <c r="D6" s="956" t="e">
        <f ca="1">NUMBERSTRING(INT(D5*10000),2)&amp;"元整"</f>
        <v>#REF!</v>
      </c>
      <c r="E6" s="1666"/>
    </row>
    <row r="7" spans="1:5" ht="15.75">
      <c r="A7" s="1666"/>
      <c r="B7" s="3170"/>
      <c r="C7" s="1670" t="s">
        <v>1590</v>
      </c>
      <c r="D7" s="957" t="e">
        <f ca="1">结果表!H102</f>
        <v>#REF!</v>
      </c>
      <c r="E7" s="1666"/>
    </row>
    <row r="8" spans="1:5" ht="15.75">
      <c r="A8" s="1666"/>
      <c r="B8" s="3171" t="str">
        <f>结果表!E103</f>
        <v>2.估价师知悉的法定优先受偿款</v>
      </c>
      <c r="C8" s="1671" t="s">
        <v>1591</v>
      </c>
      <c r="D8" s="957">
        <f>结果表!H103</f>
        <v>0</v>
      </c>
      <c r="E8" s="1666"/>
    </row>
    <row r="9" spans="1:5" ht="15.75">
      <c r="A9" s="1666"/>
      <c r="B9" s="3173"/>
      <c r="C9" s="1669" t="s">
        <v>1589</v>
      </c>
      <c r="D9" s="956" t="str">
        <f>NUMBERSTRING(INT(D8*10000),2)&amp;"元整"</f>
        <v>零元整</v>
      </c>
      <c r="E9" s="1666"/>
    </row>
    <row r="10" spans="1:5" ht="15">
      <c r="A10" s="1666"/>
      <c r="B10" s="1672" t="s">
        <v>1594</v>
      </c>
      <c r="C10" s="1673" t="s">
        <v>1592</v>
      </c>
      <c r="D10" s="958">
        <f>结果表!H104</f>
        <v>0</v>
      </c>
      <c r="E10" s="1666"/>
    </row>
    <row r="11" spans="1:5" ht="15">
      <c r="A11" s="1666"/>
      <c r="B11" s="1672" t="s">
        <v>1596</v>
      </c>
      <c r="C11" s="1673" t="s">
        <v>1597</v>
      </c>
      <c r="D11" s="958">
        <f>结果表!H105</f>
        <v>0</v>
      </c>
      <c r="E11" s="1666"/>
    </row>
    <row r="12" spans="1:5" ht="15">
      <c r="A12" s="1666"/>
      <c r="B12" s="1672" t="s">
        <v>1598</v>
      </c>
      <c r="C12" s="1673" t="s">
        <v>1597</v>
      </c>
      <c r="D12" s="958">
        <f>结果表!H106</f>
        <v>0</v>
      </c>
      <c r="E12" s="1666"/>
    </row>
    <row r="13" spans="1:5" ht="15.75">
      <c r="A13" s="1666"/>
      <c r="B13" s="3164" t="str">
        <f>结果表!E107</f>
        <v>3.房地产抵押价值</v>
      </c>
      <c r="C13" s="1674" t="s">
        <v>1588</v>
      </c>
      <c r="D13" s="959" t="e">
        <f ca="1">结果表!H107</f>
        <v>#REF!</v>
      </c>
      <c r="E13" s="1666"/>
    </row>
    <row r="14" spans="1:5" ht="15.75">
      <c r="A14" s="1666"/>
      <c r="B14" s="3165"/>
      <c r="C14" s="1669" t="s">
        <v>1589</v>
      </c>
      <c r="D14" s="956" t="e">
        <f ca="1">NUMBERSTRING(INT(D13*10000),2)&amp;"元整"</f>
        <v>#REF!</v>
      </c>
      <c r="E14" s="1666"/>
    </row>
    <row r="15" spans="1:5" ht="15">
      <c r="A15" s="1666"/>
      <c r="B15" s="3170"/>
      <c r="C15" s="1670" t="s">
        <v>1599</v>
      </c>
      <c r="D15" s="965" t="e">
        <f ca="1">结果表!H108</f>
        <v>#REF!</v>
      </c>
      <c r="E15" s="1666"/>
    </row>
    <row r="16" spans="1:5" ht="15">
      <c r="A16" s="1666"/>
      <c r="B16" s="3171" t="str">
        <f>结果表!E109</f>
        <v>——</v>
      </c>
      <c r="C16" s="1674" t="s">
        <v>1600</v>
      </c>
      <c r="D16" s="1675" t="str">
        <f>结果表!H109</f>
        <v>——</v>
      </c>
      <c r="E16" s="1666"/>
    </row>
    <row r="17" spans="1:5" ht="15.75">
      <c r="A17" s="1666"/>
      <c r="B17" s="3172"/>
      <c r="C17" s="1669" t="s">
        <v>1601</v>
      </c>
      <c r="D17" s="956" t="e">
        <f>NUMBERSTRING(INT(D16*10000),2)&amp;"元整"</f>
        <v>#VALUE!</v>
      </c>
      <c r="E17" s="1666"/>
    </row>
    <row r="18" spans="1:5" ht="15">
      <c r="A18" s="1666"/>
      <c r="B18" s="3173"/>
      <c r="C18" s="1670" t="s">
        <v>1590</v>
      </c>
      <c r="D18" s="965" t="str">
        <f>结果表!H110</f>
        <v>——</v>
      </c>
      <c r="E18" s="1666"/>
    </row>
    <row r="19" spans="1:5" ht="15.75">
      <c r="A19" s="1666"/>
      <c r="B19" s="3164" t="str">
        <f>结果表!E111</f>
        <v>——</v>
      </c>
      <c r="C19" s="1674" t="s">
        <v>1588</v>
      </c>
      <c r="D19" s="957" t="str">
        <f>结果表!H111</f>
        <v>——</v>
      </c>
      <c r="E19" s="1666"/>
    </row>
    <row r="20" spans="1:5" ht="15.75">
      <c r="A20" s="1666"/>
      <c r="B20" s="3165"/>
      <c r="C20" s="1669" t="s">
        <v>1601</v>
      </c>
      <c r="D20" s="956" t="e">
        <f>NUMBERSTRING(INT(D19*10000),2)&amp;"元整"</f>
        <v>#VALUE!</v>
      </c>
      <c r="E20" s="1666"/>
    </row>
    <row r="21" spans="1:5" ht="15.75" thickBot="1">
      <c r="A21" s="1666"/>
      <c r="B21" s="3166"/>
      <c r="C21" s="1676" t="s">
        <v>1599</v>
      </c>
      <c r="D21" s="966" t="str">
        <f>结果表!H112</f>
        <v>——</v>
      </c>
      <c r="E21" s="1666"/>
    </row>
    <row r="22" spans="1:5" ht="15" thickTop="1">
      <c r="A22" s="1666"/>
      <c r="B22" s="1677" t="s">
        <v>1602</v>
      </c>
      <c r="C22" s="1666"/>
      <c r="D22" s="1666"/>
      <c r="E22" s="1666"/>
    </row>
    <row r="23" spans="1:5">
      <c r="A23" s="1666"/>
      <c r="B23" s="1666"/>
      <c r="C23" s="1666"/>
      <c r="D23" s="1666"/>
      <c r="E23" s="1666"/>
    </row>
    <row r="24" spans="1:5" ht="18.75">
      <c r="A24" s="1678"/>
      <c r="B24" s="1679" t="s">
        <v>1593</v>
      </c>
      <c r="C24" s="1678"/>
      <c r="D24" s="1678"/>
      <c r="E24" s="1678"/>
    </row>
    <row r="25" spans="1:5">
      <c r="A25" s="1678"/>
      <c r="B25" s="1678"/>
      <c r="C25" s="1678"/>
      <c r="D25" s="1678"/>
      <c r="E25" s="1678"/>
    </row>
    <row r="26" spans="1:5">
      <c r="A26" s="1678"/>
      <c r="B26" s="1678"/>
      <c r="C26" s="1678"/>
      <c r="D26" s="1678"/>
      <c r="E26" s="1678"/>
    </row>
    <row r="27" spans="1:5">
      <c r="A27" s="1678"/>
      <c r="B27" s="1678"/>
      <c r="C27" s="1678"/>
      <c r="D27" s="1678"/>
      <c r="E27" s="1678"/>
    </row>
    <row r="28" spans="1:5">
      <c r="A28" s="1678"/>
      <c r="B28" s="1678"/>
      <c r="C28" s="1678"/>
      <c r="D28" s="1678"/>
      <c r="E28" s="1678"/>
    </row>
    <row r="29" spans="1:5">
      <c r="A29" s="1678"/>
      <c r="B29" s="1678"/>
      <c r="C29" s="1678"/>
      <c r="D29" s="1678"/>
      <c r="E29" s="1678"/>
    </row>
    <row r="30" spans="1:5">
      <c r="A30" s="1678"/>
      <c r="B30" s="1678"/>
      <c r="C30" s="1678"/>
      <c r="D30" s="1678"/>
      <c r="E30" s="1678"/>
    </row>
    <row r="31" spans="1:5">
      <c r="A31" s="1678"/>
      <c r="B31" s="1678"/>
      <c r="C31" s="1678"/>
      <c r="D31" s="1678"/>
      <c r="E31" s="1678"/>
    </row>
    <row r="32" spans="1:5">
      <c r="A32" s="1678"/>
      <c r="B32" s="1678"/>
      <c r="C32" s="1678"/>
      <c r="D32" s="1678"/>
      <c r="E32" s="1678"/>
    </row>
    <row r="33" spans="1:5">
      <c r="A33" s="1678"/>
      <c r="B33" s="1678"/>
      <c r="C33" s="1678"/>
      <c r="D33" s="1678"/>
      <c r="E33" s="1678"/>
    </row>
    <row r="34" spans="1:5">
      <c r="A34" s="1678"/>
      <c r="B34" s="1678"/>
      <c r="C34" s="1678"/>
      <c r="D34" s="1678"/>
      <c r="E34" s="1678"/>
    </row>
    <row r="35" spans="1:5">
      <c r="A35" s="1678"/>
      <c r="B35" s="1678"/>
      <c r="C35" s="1678"/>
      <c r="D35" s="1678"/>
      <c r="E35" s="1678"/>
    </row>
    <row r="36" spans="1:5">
      <c r="A36" s="1678"/>
      <c r="B36" s="1678"/>
      <c r="C36" s="1678"/>
      <c r="D36" s="1678"/>
      <c r="E36" s="1678"/>
    </row>
    <row r="37" spans="1:5">
      <c r="A37" s="1678"/>
      <c r="B37" s="1678"/>
      <c r="C37" s="1678"/>
      <c r="D37" s="1678"/>
      <c r="E37" s="1678"/>
    </row>
    <row r="38" spans="1:5">
      <c r="A38" s="1678"/>
      <c r="B38" s="1678"/>
      <c r="C38" s="1678"/>
      <c r="D38" s="1678"/>
      <c r="E38" s="1678"/>
    </row>
    <row r="39" spans="1:5">
      <c r="A39" s="1678"/>
      <c r="B39" s="1678"/>
      <c r="C39" s="1678"/>
      <c r="D39" s="1678"/>
      <c r="E39" s="1678"/>
    </row>
    <row r="40" spans="1:5">
      <c r="A40" s="1678"/>
      <c r="B40" s="1678"/>
      <c r="C40" s="1678"/>
      <c r="D40" s="1678"/>
      <c r="E40" s="1678"/>
    </row>
    <row r="41" spans="1:5">
      <c r="A41" s="1678"/>
      <c r="B41" s="1678"/>
      <c r="C41" s="1678"/>
      <c r="D41" s="1678"/>
      <c r="E41" s="1678"/>
    </row>
    <row r="42" spans="1:5">
      <c r="A42" s="1678"/>
      <c r="B42" s="1678"/>
      <c r="C42" s="1678"/>
      <c r="D42" s="1678"/>
      <c r="E42" s="1678"/>
    </row>
  </sheetData>
  <sheetProtection sheet="1" objects="1" scenarios="1" formatCells="0" formatRows="0" insertRows="0" deleteRows="0"/>
  <mergeCells count="8">
    <mergeCell ref="B19:B21"/>
    <mergeCell ref="B4:D4"/>
    <mergeCell ref="A2:E2"/>
    <mergeCell ref="A3:E3"/>
    <mergeCell ref="B5:B7"/>
    <mergeCell ref="B13:B15"/>
    <mergeCell ref="B16:B18"/>
    <mergeCell ref="B8:B9"/>
  </mergeCells>
  <phoneticPr fontId="88" type="noConversion"/>
  <printOptions horizontalCentered="1"/>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4"/>
  <sheetViews>
    <sheetView zoomScale="90" zoomScaleNormal="90" workbookViewId="0">
      <pane ySplit="24" topLeftCell="A515" activePane="bottomLeft" state="frozen"/>
      <selection activeCell="F7" sqref="C7:Q40"/>
      <selection pane="bottomLeft" activeCell="F7" sqref="C7:Q40"/>
    </sheetView>
  </sheetViews>
  <sheetFormatPr defaultColWidth="9" defaultRowHeight="12.75"/>
  <cols>
    <col min="1" max="1" width="11.5" style="135" customWidth="1"/>
    <col min="2" max="2" width="9.25" style="27" customWidth="1"/>
    <col min="3" max="3" width="5" style="27" customWidth="1"/>
    <col min="4" max="4" width="9" style="27"/>
    <col min="5" max="5" width="5" style="27" customWidth="1"/>
    <col min="6" max="6" width="9" style="27"/>
    <col min="7" max="7" width="5" style="27" customWidth="1"/>
    <col min="8" max="8" width="9" style="27"/>
    <col min="9" max="9" width="5" style="27" customWidth="1"/>
    <col min="10" max="10" width="9" style="27"/>
    <col min="11" max="11" width="5" style="27" customWidth="1"/>
    <col min="12" max="12" width="9" style="27"/>
    <col min="13" max="13" width="5" style="27" customWidth="1"/>
    <col min="14" max="14" width="9" style="27"/>
    <col min="15" max="15" width="5" style="27" customWidth="1"/>
    <col min="16" max="16" width="9" style="27"/>
    <col min="17" max="17" width="5" style="27" customWidth="1"/>
    <col min="18" max="18" width="9" style="656"/>
    <col min="19" max="19" width="9" style="135"/>
    <col min="20" max="45" width="9" style="731"/>
    <col min="46" max="16384" width="9" style="135"/>
  </cols>
  <sheetData>
    <row r="1" spans="1:45" ht="14.25" customHeight="1" thickBot="1">
      <c r="A1" s="151"/>
      <c r="B1" s="1105" t="s">
        <v>2808</v>
      </c>
      <c r="C1" s="3499" t="s">
        <v>2809</v>
      </c>
      <c r="D1" s="3500"/>
      <c r="E1" s="3500"/>
      <c r="F1" s="3500"/>
      <c r="G1" s="3500"/>
      <c r="H1" s="3500"/>
      <c r="I1" s="3500"/>
      <c r="J1" s="3500"/>
      <c r="K1" s="3500"/>
      <c r="L1" s="3500"/>
      <c r="M1" s="3500"/>
      <c r="N1" s="3500"/>
      <c r="O1" s="3500"/>
      <c r="P1" s="3500"/>
      <c r="Q1" s="3500"/>
      <c r="R1" s="3500"/>
      <c r="S1" s="3501"/>
      <c r="T1" s="1105" t="s">
        <v>2810</v>
      </c>
    </row>
    <row r="2" spans="1:45" s="661" customFormat="1">
      <c r="A2" s="1106"/>
      <c r="B2" s="657" t="s">
        <v>2811</v>
      </c>
      <c r="C2" s="658" t="str">
        <f t="shared" ref="C2:L2" si="0">C3&amp;"(含)"&amp;"-"&amp;D3</f>
        <v>(含)-</v>
      </c>
      <c r="D2" s="659" t="str">
        <f t="shared" si="0"/>
        <v>(含)-</v>
      </c>
      <c r="E2" s="659" t="str">
        <f t="shared" si="0"/>
        <v>(含)-</v>
      </c>
      <c r="F2" s="659" t="str">
        <f t="shared" si="0"/>
        <v>(含)-</v>
      </c>
      <c r="G2" s="659" t="str">
        <f t="shared" si="0"/>
        <v>(含)-</v>
      </c>
      <c r="H2" s="659" t="str">
        <f t="shared" si="0"/>
        <v>(含)-</v>
      </c>
      <c r="I2" s="659" t="str">
        <f t="shared" si="0"/>
        <v>(含)-</v>
      </c>
      <c r="J2" s="659" t="str">
        <f t="shared" si="0"/>
        <v>(含)-</v>
      </c>
      <c r="K2" s="659" t="str">
        <f t="shared" si="0"/>
        <v>(含)-</v>
      </c>
      <c r="L2" s="659" t="str">
        <f t="shared" si="0"/>
        <v>(含)-</v>
      </c>
      <c r="M2" s="659" t="str">
        <f t="shared" ref="M2" si="1">M3&amp;"(含)"&amp;"-"&amp;N3</f>
        <v>(含)-</v>
      </c>
      <c r="N2" s="659" t="str">
        <f t="shared" ref="N2" si="2">N3&amp;"(含)"&amp;"-"&amp;O3</f>
        <v>(含)-</v>
      </c>
      <c r="O2" s="659" t="str">
        <f t="shared" ref="O2" si="3">O3&amp;"(含)"&amp;"-"&amp;P3</f>
        <v>(含)-</v>
      </c>
      <c r="P2" s="659" t="str">
        <f t="shared" ref="P2" si="4">P3&amp;"(含)"&amp;"-"&amp;Q3</f>
        <v>(含)-</v>
      </c>
      <c r="Q2" s="659" t="str">
        <f t="shared" ref="Q2" si="5">Q3&amp;"(含)"&amp;"-"&amp;R3</f>
        <v>(含)-</v>
      </c>
      <c r="R2" s="659" t="str">
        <f t="shared" ref="R2" si="6">R3&amp;"(含)"&amp;"-"&amp;S3</f>
        <v>(含)-</v>
      </c>
      <c r="S2" s="1107" t="str">
        <f>S3&amp;"(含)"&amp;"-"</f>
        <v>(含)-</v>
      </c>
      <c r="T2" s="660"/>
      <c r="U2" s="732"/>
      <c r="V2" s="732"/>
      <c r="W2" s="732"/>
      <c r="X2" s="732"/>
      <c r="Y2" s="732"/>
      <c r="Z2" s="732"/>
      <c r="AA2" s="732"/>
      <c r="AB2" s="732"/>
      <c r="AC2" s="732"/>
      <c r="AD2" s="732"/>
      <c r="AE2" s="732"/>
      <c r="AF2" s="732"/>
      <c r="AG2" s="732"/>
      <c r="AH2" s="732"/>
      <c r="AI2" s="732"/>
      <c r="AJ2" s="732"/>
      <c r="AK2" s="732"/>
      <c r="AL2" s="732"/>
      <c r="AM2" s="732"/>
      <c r="AN2" s="732"/>
      <c r="AO2" s="732"/>
      <c r="AP2" s="732"/>
      <c r="AQ2" s="732"/>
      <c r="AR2" s="732"/>
      <c r="AS2" s="732"/>
    </row>
    <row r="3" spans="1:45" s="666" customFormat="1">
      <c r="A3" s="1108"/>
      <c r="B3" s="662"/>
      <c r="C3" s="663"/>
      <c r="D3" s="664"/>
      <c r="E3" s="664"/>
      <c r="F3" s="1463"/>
      <c r="G3" s="1463"/>
      <c r="H3" s="1463"/>
      <c r="I3" s="1463"/>
      <c r="J3" s="1463"/>
      <c r="K3" s="1463"/>
      <c r="L3" s="1464"/>
      <c r="M3" s="1465"/>
      <c r="N3" s="1465"/>
      <c r="O3" s="1463"/>
      <c r="P3" s="1463"/>
      <c r="Q3" s="1463"/>
      <c r="R3" s="1463"/>
      <c r="S3" s="1466"/>
      <c r="T3" s="665"/>
      <c r="U3" s="733"/>
      <c r="V3" s="733"/>
      <c r="W3" s="733"/>
      <c r="X3" s="733"/>
      <c r="Y3" s="733"/>
      <c r="Z3" s="733"/>
      <c r="AA3" s="733"/>
      <c r="AB3" s="733"/>
      <c r="AC3" s="733"/>
      <c r="AD3" s="733"/>
      <c r="AE3" s="733"/>
      <c r="AF3" s="733"/>
      <c r="AG3" s="733"/>
      <c r="AH3" s="733"/>
      <c r="AI3" s="733"/>
      <c r="AJ3" s="733"/>
      <c r="AK3" s="733"/>
      <c r="AL3" s="733"/>
      <c r="AM3" s="733"/>
      <c r="AN3" s="733"/>
      <c r="AO3" s="733"/>
      <c r="AP3" s="733"/>
      <c r="AQ3" s="733"/>
      <c r="AR3" s="733"/>
      <c r="AS3" s="733"/>
    </row>
    <row r="4" spans="1:45" s="666" customFormat="1" ht="13.5" thickBot="1">
      <c r="A4" s="1109"/>
      <c r="B4" s="1110"/>
      <c r="C4" s="1111"/>
      <c r="D4" s="1112"/>
      <c r="E4" s="1112"/>
      <c r="F4" s="1467"/>
      <c r="G4" s="1467"/>
      <c r="H4" s="1467"/>
      <c r="I4" s="1467"/>
      <c r="J4" s="1467"/>
      <c r="K4" s="1467"/>
      <c r="L4" s="1467"/>
      <c r="M4" s="1468"/>
      <c r="N4" s="1468"/>
      <c r="O4" s="1467"/>
      <c r="P4" s="1467"/>
      <c r="Q4" s="1467"/>
      <c r="R4" s="1467"/>
      <c r="S4" s="1469"/>
      <c r="T4" s="1115"/>
      <c r="U4" s="733"/>
      <c r="V4" s="733"/>
      <c r="W4" s="733"/>
      <c r="X4" s="733"/>
      <c r="Y4" s="733"/>
      <c r="Z4" s="733"/>
      <c r="AA4" s="733"/>
      <c r="AB4" s="733"/>
      <c r="AC4" s="733"/>
      <c r="AD4" s="733"/>
      <c r="AE4" s="733"/>
      <c r="AF4" s="733"/>
      <c r="AG4" s="733"/>
      <c r="AH4" s="733"/>
      <c r="AI4" s="733"/>
      <c r="AJ4" s="733"/>
      <c r="AK4" s="733"/>
      <c r="AL4" s="733"/>
      <c r="AM4" s="733"/>
      <c r="AN4" s="733"/>
      <c r="AO4" s="733"/>
      <c r="AP4" s="733"/>
      <c r="AQ4" s="733"/>
      <c r="AR4" s="733"/>
      <c r="AS4" s="733"/>
    </row>
    <row r="5" spans="1:45" s="114" customFormat="1">
      <c r="A5" s="1116"/>
      <c r="B5" s="1496" t="s">
        <v>2812</v>
      </c>
      <c r="C5" s="1117"/>
      <c r="D5" s="1118"/>
      <c r="E5" s="1118"/>
      <c r="F5" s="1470"/>
      <c r="G5" s="1470"/>
      <c r="H5" s="1470"/>
      <c r="I5" s="1470"/>
      <c r="J5" s="1470"/>
      <c r="K5" s="1470"/>
      <c r="L5" s="1471"/>
      <c r="M5" s="1472"/>
      <c r="N5" s="1472"/>
      <c r="O5" s="1470"/>
      <c r="P5" s="1470"/>
      <c r="Q5" s="1470"/>
      <c r="R5" s="1470"/>
      <c r="S5" s="1473"/>
      <c r="T5" s="1120"/>
      <c r="U5" s="734"/>
      <c r="V5" s="734"/>
      <c r="W5" s="734"/>
      <c r="X5" s="734"/>
      <c r="Y5" s="734"/>
      <c r="Z5" s="734"/>
      <c r="AA5" s="734"/>
      <c r="AB5" s="734"/>
      <c r="AC5" s="734"/>
      <c r="AD5" s="734"/>
      <c r="AE5" s="734"/>
      <c r="AF5" s="734"/>
      <c r="AG5" s="734"/>
      <c r="AH5" s="734"/>
      <c r="AI5" s="734"/>
      <c r="AJ5" s="734"/>
      <c r="AK5" s="734"/>
      <c r="AL5" s="734"/>
      <c r="AM5" s="734"/>
      <c r="AN5" s="734"/>
      <c r="AO5" s="734"/>
      <c r="AP5" s="734"/>
      <c r="AQ5" s="734"/>
      <c r="AR5" s="734"/>
      <c r="AS5" s="734"/>
    </row>
    <row r="6" spans="1:45" s="114" customFormat="1" ht="13.5" thickBot="1">
      <c r="A6" s="1116"/>
      <c r="B6" s="1022"/>
      <c r="C6" s="1028">
        <v>100</v>
      </c>
      <c r="D6" s="1025">
        <f>C6-$T5</f>
        <v>100</v>
      </c>
      <c r="E6" s="1025">
        <f t="shared" ref="E6:S6" si="7">D6-$T5</f>
        <v>100</v>
      </c>
      <c r="F6" s="1474">
        <f t="shared" si="7"/>
        <v>100</v>
      </c>
      <c r="G6" s="1474">
        <f t="shared" si="7"/>
        <v>100</v>
      </c>
      <c r="H6" s="1474">
        <f t="shared" si="7"/>
        <v>100</v>
      </c>
      <c r="I6" s="1474">
        <f t="shared" si="7"/>
        <v>100</v>
      </c>
      <c r="J6" s="1474">
        <f t="shared" si="7"/>
        <v>100</v>
      </c>
      <c r="K6" s="1474">
        <f t="shared" si="7"/>
        <v>100</v>
      </c>
      <c r="L6" s="1474">
        <f t="shared" si="7"/>
        <v>100</v>
      </c>
      <c r="M6" s="1474">
        <f t="shared" si="7"/>
        <v>100</v>
      </c>
      <c r="N6" s="1474">
        <f t="shared" si="7"/>
        <v>100</v>
      </c>
      <c r="O6" s="1474">
        <f t="shared" si="7"/>
        <v>100</v>
      </c>
      <c r="P6" s="1474">
        <f t="shared" si="7"/>
        <v>100</v>
      </c>
      <c r="Q6" s="1474">
        <f t="shared" si="7"/>
        <v>100</v>
      </c>
      <c r="R6" s="1474">
        <f t="shared" si="7"/>
        <v>100</v>
      </c>
      <c r="S6" s="1474">
        <f t="shared" si="7"/>
        <v>100</v>
      </c>
      <c r="T6" s="1024"/>
      <c r="U6" s="734"/>
      <c r="V6" s="734"/>
      <c r="W6" s="734"/>
      <c r="X6" s="734"/>
      <c r="Y6" s="734"/>
      <c r="Z6" s="734"/>
      <c r="AA6" s="734"/>
      <c r="AB6" s="734"/>
      <c r="AC6" s="734"/>
      <c r="AD6" s="734"/>
      <c r="AE6" s="734"/>
      <c r="AF6" s="734"/>
      <c r="AG6" s="734"/>
      <c r="AH6" s="734"/>
      <c r="AI6" s="734"/>
      <c r="AJ6" s="734"/>
      <c r="AK6" s="734"/>
      <c r="AL6" s="734"/>
      <c r="AM6" s="734"/>
      <c r="AN6" s="734"/>
      <c r="AO6" s="734"/>
      <c r="AP6" s="734"/>
      <c r="AQ6" s="734"/>
      <c r="AR6" s="734"/>
      <c r="AS6" s="734"/>
    </row>
    <row r="7" spans="1:45" s="114" customFormat="1">
      <c r="A7" s="1116"/>
      <c r="B7" s="1497" t="s">
        <v>2813</v>
      </c>
      <c r="C7" s="1027"/>
      <c r="D7" s="1021"/>
      <c r="E7" s="1021"/>
      <c r="F7" s="1475"/>
      <c r="G7" s="1475"/>
      <c r="H7" s="1475"/>
      <c r="I7" s="1475"/>
      <c r="J7" s="1475"/>
      <c r="K7" s="1475"/>
      <c r="L7" s="1475"/>
      <c r="M7" s="1476"/>
      <c r="N7" s="1477"/>
      <c r="O7" s="1478"/>
      <c r="P7" s="1479"/>
      <c r="Q7" s="1480"/>
      <c r="R7" s="1481"/>
      <c r="S7" s="1482"/>
      <c r="T7" s="667"/>
      <c r="U7" s="734"/>
      <c r="V7" s="734"/>
      <c r="W7" s="734"/>
      <c r="X7" s="734"/>
      <c r="Y7" s="734"/>
      <c r="Z7" s="734"/>
      <c r="AA7" s="734"/>
      <c r="AB7" s="734"/>
      <c r="AC7" s="734"/>
      <c r="AD7" s="734"/>
      <c r="AE7" s="734"/>
      <c r="AF7" s="734"/>
      <c r="AG7" s="734"/>
      <c r="AH7" s="734"/>
      <c r="AI7" s="734"/>
      <c r="AJ7" s="734"/>
      <c r="AK7" s="734"/>
      <c r="AL7" s="734"/>
      <c r="AM7" s="734"/>
      <c r="AN7" s="734"/>
      <c r="AO7" s="734"/>
      <c r="AP7" s="734"/>
      <c r="AQ7" s="734"/>
      <c r="AR7" s="734"/>
      <c r="AS7" s="734"/>
    </row>
    <row r="8" spans="1:45" s="114" customFormat="1" ht="13.5" thickBot="1">
      <c r="A8" s="1116"/>
      <c r="B8" s="1022"/>
      <c r="C8" s="1028">
        <v>100</v>
      </c>
      <c r="D8" s="1025">
        <f>C8-$T7</f>
        <v>100</v>
      </c>
      <c r="E8" s="1025">
        <f t="shared" ref="E8:S8" si="8">D8-$T7</f>
        <v>100</v>
      </c>
      <c r="F8" s="1474">
        <f t="shared" si="8"/>
        <v>100</v>
      </c>
      <c r="G8" s="1474">
        <f t="shared" si="8"/>
        <v>100</v>
      </c>
      <c r="H8" s="1474">
        <f t="shared" si="8"/>
        <v>100</v>
      </c>
      <c r="I8" s="1474">
        <f t="shared" si="8"/>
        <v>100</v>
      </c>
      <c r="J8" s="1474">
        <f t="shared" si="8"/>
        <v>100</v>
      </c>
      <c r="K8" s="1474">
        <f t="shared" si="8"/>
        <v>100</v>
      </c>
      <c r="L8" s="1474">
        <f t="shared" si="8"/>
        <v>100</v>
      </c>
      <c r="M8" s="1474">
        <f t="shared" si="8"/>
        <v>100</v>
      </c>
      <c r="N8" s="1474">
        <f t="shared" si="8"/>
        <v>100</v>
      </c>
      <c r="O8" s="1474">
        <f t="shared" si="8"/>
        <v>100</v>
      </c>
      <c r="P8" s="1474">
        <f t="shared" si="8"/>
        <v>100</v>
      </c>
      <c r="Q8" s="1474">
        <f t="shared" si="8"/>
        <v>100</v>
      </c>
      <c r="R8" s="1474">
        <f t="shared" si="8"/>
        <v>100</v>
      </c>
      <c r="S8" s="1474">
        <f t="shared" si="8"/>
        <v>100</v>
      </c>
      <c r="T8" s="1024"/>
      <c r="U8" s="734"/>
      <c r="V8" s="734"/>
      <c r="W8" s="734"/>
      <c r="X8" s="734"/>
      <c r="Y8" s="734"/>
      <c r="Z8" s="734"/>
      <c r="AA8" s="734"/>
      <c r="AB8" s="734"/>
      <c r="AC8" s="734"/>
      <c r="AD8" s="734"/>
      <c r="AE8" s="734"/>
      <c r="AF8" s="734"/>
      <c r="AG8" s="734"/>
      <c r="AH8" s="734"/>
      <c r="AI8" s="734"/>
      <c r="AJ8" s="734"/>
      <c r="AK8" s="734"/>
      <c r="AL8" s="734"/>
      <c r="AM8" s="734"/>
      <c r="AN8" s="734"/>
      <c r="AO8" s="734"/>
      <c r="AP8" s="734"/>
      <c r="AQ8" s="734"/>
      <c r="AR8" s="734"/>
      <c r="AS8" s="734"/>
    </row>
    <row r="9" spans="1:45" s="114" customFormat="1">
      <c r="A9" s="1116"/>
      <c r="B9" s="1497" t="s">
        <v>2814</v>
      </c>
      <c r="C9" s="1027"/>
      <c r="D9" s="1021"/>
      <c r="E9" s="1021"/>
      <c r="F9" s="1475"/>
      <c r="G9" s="1475"/>
      <c r="H9" s="1475"/>
      <c r="I9" s="1475"/>
      <c r="J9" s="1475"/>
      <c r="K9" s="1475"/>
      <c r="L9" s="1483"/>
      <c r="M9" s="1476"/>
      <c r="N9" s="1477"/>
      <c r="O9" s="1478"/>
      <c r="P9" s="1479"/>
      <c r="Q9" s="1480"/>
      <c r="R9" s="1481"/>
      <c r="S9" s="1482"/>
      <c r="T9" s="667"/>
      <c r="U9" s="734"/>
      <c r="V9" s="734"/>
      <c r="W9" s="734"/>
      <c r="X9" s="734"/>
      <c r="Y9" s="734"/>
      <c r="Z9" s="734"/>
      <c r="AA9" s="734"/>
      <c r="AB9" s="734"/>
      <c r="AC9" s="734"/>
      <c r="AD9" s="734"/>
      <c r="AE9" s="734"/>
      <c r="AF9" s="734"/>
      <c r="AG9" s="734"/>
      <c r="AH9" s="734"/>
      <c r="AI9" s="734"/>
      <c r="AJ9" s="734"/>
      <c r="AK9" s="734"/>
      <c r="AL9" s="734"/>
      <c r="AM9" s="734"/>
      <c r="AN9" s="734"/>
      <c r="AO9" s="734"/>
      <c r="AP9" s="734"/>
      <c r="AQ9" s="734"/>
      <c r="AR9" s="734"/>
      <c r="AS9" s="734"/>
    </row>
    <row r="10" spans="1:45" s="114" customFormat="1" ht="13.5" thickBot="1">
      <c r="A10" s="1116"/>
      <c r="B10" s="1110"/>
      <c r="C10" s="1121">
        <v>100</v>
      </c>
      <c r="D10" s="1122">
        <f>C10-$T9</f>
        <v>100</v>
      </c>
      <c r="E10" s="1122">
        <f t="shared" ref="E10:S10" si="9">D10-$T9</f>
        <v>100</v>
      </c>
      <c r="F10" s="1484">
        <f t="shared" si="9"/>
        <v>100</v>
      </c>
      <c r="G10" s="1484">
        <f t="shared" si="9"/>
        <v>100</v>
      </c>
      <c r="H10" s="1484">
        <f t="shared" si="9"/>
        <v>100</v>
      </c>
      <c r="I10" s="1484">
        <f t="shared" si="9"/>
        <v>100</v>
      </c>
      <c r="J10" s="1484">
        <f t="shared" si="9"/>
        <v>100</v>
      </c>
      <c r="K10" s="1484">
        <f t="shared" si="9"/>
        <v>100</v>
      </c>
      <c r="L10" s="1484">
        <f t="shared" si="9"/>
        <v>100</v>
      </c>
      <c r="M10" s="1484">
        <f t="shared" si="9"/>
        <v>100</v>
      </c>
      <c r="N10" s="1484">
        <f t="shared" si="9"/>
        <v>100</v>
      </c>
      <c r="O10" s="1484">
        <f t="shared" si="9"/>
        <v>100</v>
      </c>
      <c r="P10" s="1484">
        <f t="shared" si="9"/>
        <v>100</v>
      </c>
      <c r="Q10" s="1484">
        <f t="shared" si="9"/>
        <v>100</v>
      </c>
      <c r="R10" s="1484">
        <f t="shared" si="9"/>
        <v>100</v>
      </c>
      <c r="S10" s="1484">
        <f t="shared" si="9"/>
        <v>100</v>
      </c>
      <c r="T10" s="1115"/>
      <c r="U10" s="734"/>
      <c r="V10" s="734"/>
      <c r="W10" s="734"/>
      <c r="X10" s="734"/>
      <c r="Y10" s="734"/>
      <c r="Z10" s="734"/>
      <c r="AA10" s="734"/>
      <c r="AB10" s="734"/>
      <c r="AC10" s="734"/>
      <c r="AD10" s="734"/>
      <c r="AE10" s="734"/>
      <c r="AF10" s="734"/>
      <c r="AG10" s="734"/>
      <c r="AH10" s="734"/>
      <c r="AI10" s="734"/>
      <c r="AJ10" s="734"/>
      <c r="AK10" s="734"/>
      <c r="AL10" s="734"/>
      <c r="AM10" s="734"/>
      <c r="AN10" s="734"/>
      <c r="AO10" s="734"/>
      <c r="AP10" s="734"/>
      <c r="AQ10" s="734"/>
      <c r="AR10" s="734"/>
      <c r="AS10" s="734"/>
    </row>
    <row r="11" spans="1:45" s="114" customFormat="1">
      <c r="A11" s="1116"/>
      <c r="B11" s="1496" t="s">
        <v>2815</v>
      </c>
      <c r="C11" s="1117"/>
      <c r="D11" s="1118"/>
      <c r="E11" s="1118"/>
      <c r="F11" s="1118"/>
      <c r="G11" s="1118"/>
      <c r="H11" s="1118"/>
      <c r="I11" s="1118"/>
      <c r="J11" s="1118"/>
      <c r="K11" s="1118"/>
      <c r="L11" s="1118"/>
      <c r="M11" s="1119"/>
      <c r="N11" s="1123"/>
      <c r="O11" s="1124"/>
      <c r="P11" s="1125"/>
      <c r="Q11" s="1126"/>
      <c r="R11" s="1127"/>
      <c r="S11" s="1128"/>
      <c r="T11" s="1120"/>
      <c r="U11" s="734"/>
      <c r="V11" s="734"/>
      <c r="W11" s="734"/>
      <c r="X11" s="734"/>
      <c r="Y11" s="734"/>
      <c r="Z11" s="734"/>
      <c r="AA11" s="734"/>
      <c r="AB11" s="734"/>
      <c r="AC11" s="734"/>
      <c r="AD11" s="734"/>
      <c r="AE11" s="734"/>
      <c r="AF11" s="734"/>
      <c r="AG11" s="734"/>
      <c r="AH11" s="734"/>
      <c r="AI11" s="734"/>
      <c r="AJ11" s="734"/>
      <c r="AK11" s="734"/>
      <c r="AL11" s="734"/>
      <c r="AM11" s="734"/>
      <c r="AN11" s="734"/>
      <c r="AO11" s="734"/>
      <c r="AP11" s="734"/>
      <c r="AQ11" s="734"/>
      <c r="AR11" s="734"/>
      <c r="AS11" s="734"/>
    </row>
    <row r="12" spans="1:45" s="114" customFormat="1" ht="13.5" thickBot="1">
      <c r="A12" s="1116"/>
      <c r="B12" s="1022"/>
      <c r="C12" s="1028">
        <v>100</v>
      </c>
      <c r="D12" s="1025">
        <f>C12-$T11</f>
        <v>100</v>
      </c>
      <c r="E12" s="1025">
        <f t="shared" ref="E12:S12" si="10">D12-$T11</f>
        <v>100</v>
      </c>
      <c r="F12" s="1025">
        <f t="shared" si="10"/>
        <v>100</v>
      </c>
      <c r="G12" s="1025">
        <f t="shared" si="10"/>
        <v>100</v>
      </c>
      <c r="H12" s="1025">
        <f t="shared" si="10"/>
        <v>100</v>
      </c>
      <c r="I12" s="1025">
        <f t="shared" si="10"/>
        <v>100</v>
      </c>
      <c r="J12" s="1025">
        <f t="shared" si="10"/>
        <v>100</v>
      </c>
      <c r="K12" s="1025">
        <f t="shared" si="10"/>
        <v>100</v>
      </c>
      <c r="L12" s="1025">
        <f t="shared" si="10"/>
        <v>100</v>
      </c>
      <c r="M12" s="1025">
        <f t="shared" si="10"/>
        <v>100</v>
      </c>
      <c r="N12" s="1025">
        <f t="shared" si="10"/>
        <v>100</v>
      </c>
      <c r="O12" s="1025">
        <f t="shared" si="10"/>
        <v>100</v>
      </c>
      <c r="P12" s="1025">
        <f t="shared" si="10"/>
        <v>100</v>
      </c>
      <c r="Q12" s="1025">
        <f t="shared" si="10"/>
        <v>100</v>
      </c>
      <c r="R12" s="1025">
        <f>Q12-$T11</f>
        <v>100</v>
      </c>
      <c r="S12" s="1025">
        <f t="shared" si="10"/>
        <v>100</v>
      </c>
      <c r="T12" s="1024"/>
      <c r="U12" s="734"/>
      <c r="V12" s="734"/>
      <c r="W12" s="734"/>
      <c r="X12" s="734"/>
      <c r="Y12" s="734"/>
      <c r="Z12" s="734"/>
      <c r="AA12" s="734"/>
      <c r="AB12" s="734"/>
      <c r="AC12" s="734"/>
      <c r="AD12" s="734"/>
      <c r="AE12" s="734"/>
      <c r="AF12" s="734"/>
      <c r="AG12" s="734"/>
      <c r="AH12" s="734"/>
      <c r="AI12" s="734"/>
      <c r="AJ12" s="734"/>
      <c r="AK12" s="734"/>
      <c r="AL12" s="734"/>
      <c r="AM12" s="734"/>
      <c r="AN12" s="734"/>
      <c r="AO12" s="734"/>
      <c r="AP12" s="734"/>
      <c r="AQ12" s="734"/>
      <c r="AR12" s="734"/>
      <c r="AS12" s="734"/>
    </row>
    <row r="13" spans="1:45" s="114" customFormat="1">
      <c r="A13" s="1116"/>
      <c r="B13" s="1496" t="s">
        <v>2816</v>
      </c>
      <c r="C13" s="1117"/>
      <c r="D13" s="1118"/>
      <c r="E13" s="1118"/>
      <c r="F13" s="1118"/>
      <c r="G13" s="1118"/>
      <c r="H13" s="1118"/>
      <c r="I13" s="1118"/>
      <c r="J13" s="1118"/>
      <c r="K13" s="1118"/>
      <c r="L13" s="1118"/>
      <c r="M13" s="1119"/>
      <c r="N13" s="1123"/>
      <c r="O13" s="1124"/>
      <c r="P13" s="1125"/>
      <c r="Q13" s="1126"/>
      <c r="R13" s="1127"/>
      <c r="S13" s="1128"/>
      <c r="T13" s="1129"/>
      <c r="U13" s="734"/>
      <c r="V13" s="734"/>
      <c r="W13" s="734"/>
      <c r="X13" s="734"/>
      <c r="Y13" s="734"/>
      <c r="Z13" s="734"/>
      <c r="AA13" s="734"/>
      <c r="AB13" s="734"/>
      <c r="AC13" s="734"/>
      <c r="AD13" s="734"/>
      <c r="AE13" s="734"/>
      <c r="AF13" s="734"/>
      <c r="AG13" s="734"/>
      <c r="AH13" s="734"/>
      <c r="AI13" s="734"/>
      <c r="AJ13" s="734"/>
      <c r="AK13" s="734"/>
      <c r="AL13" s="734"/>
      <c r="AM13" s="734"/>
      <c r="AN13" s="734"/>
      <c r="AO13" s="734"/>
      <c r="AP13" s="734"/>
      <c r="AQ13" s="734"/>
      <c r="AR13" s="734"/>
      <c r="AS13" s="734"/>
    </row>
    <row r="14" spans="1:45" s="114" customFormat="1" ht="13.5" thickBot="1">
      <c r="A14" s="1116"/>
      <c r="B14" s="1022"/>
      <c r="C14" s="1026"/>
      <c r="D14" s="1023"/>
      <c r="E14" s="1023"/>
      <c r="F14" s="1023"/>
      <c r="G14" s="1023"/>
      <c r="H14" s="1023"/>
      <c r="I14" s="1023"/>
      <c r="J14" s="1023"/>
      <c r="K14" s="1023"/>
      <c r="L14" s="1023"/>
      <c r="M14" s="1130"/>
      <c r="N14" s="1130"/>
      <c r="O14" s="1023"/>
      <c r="P14" s="1023"/>
      <c r="Q14" s="1023"/>
      <c r="R14" s="1023"/>
      <c r="S14" s="1131"/>
      <c r="T14" s="1024"/>
      <c r="U14" s="734"/>
      <c r="V14" s="734"/>
      <c r="W14" s="734"/>
      <c r="X14" s="734"/>
      <c r="Y14" s="734"/>
      <c r="Z14" s="734"/>
      <c r="AA14" s="734"/>
      <c r="AB14" s="734"/>
      <c r="AC14" s="734"/>
      <c r="AD14" s="734"/>
      <c r="AE14" s="734"/>
      <c r="AF14" s="734"/>
      <c r="AG14" s="734"/>
      <c r="AH14" s="734"/>
      <c r="AI14" s="734"/>
      <c r="AJ14" s="734"/>
      <c r="AK14" s="734"/>
      <c r="AL14" s="734"/>
      <c r="AM14" s="734"/>
      <c r="AN14" s="734"/>
      <c r="AO14" s="734"/>
      <c r="AP14" s="734"/>
      <c r="AQ14" s="734"/>
      <c r="AR14" s="734"/>
      <c r="AS14" s="734"/>
    </row>
    <row r="15" spans="1:45" s="114" customFormat="1">
      <c r="A15" s="1116"/>
      <c r="B15" s="1496" t="s">
        <v>2817</v>
      </c>
      <c r="C15" s="1117"/>
      <c r="D15" s="1118"/>
      <c r="E15" s="1118"/>
      <c r="F15" s="1118"/>
      <c r="G15" s="1118"/>
      <c r="H15" s="1118"/>
      <c r="I15" s="1118"/>
      <c r="J15" s="1118"/>
      <c r="K15" s="1118"/>
      <c r="L15" s="1118"/>
      <c r="M15" s="1119"/>
      <c r="N15" s="1123"/>
      <c r="O15" s="1124"/>
      <c r="P15" s="1125"/>
      <c r="Q15" s="1126"/>
      <c r="R15" s="1127"/>
      <c r="S15" s="1128"/>
      <c r="T15" s="1129"/>
      <c r="U15" s="734"/>
      <c r="V15" s="734"/>
      <c r="W15" s="734"/>
      <c r="X15" s="734"/>
      <c r="Y15" s="734"/>
      <c r="Z15" s="734"/>
      <c r="AA15" s="734"/>
      <c r="AB15" s="734"/>
      <c r="AC15" s="734"/>
      <c r="AD15" s="734"/>
      <c r="AE15" s="734"/>
      <c r="AF15" s="734"/>
      <c r="AG15" s="734"/>
      <c r="AH15" s="734"/>
      <c r="AI15" s="734"/>
      <c r="AJ15" s="734"/>
      <c r="AK15" s="734"/>
      <c r="AL15" s="734"/>
      <c r="AM15" s="734"/>
      <c r="AN15" s="734"/>
      <c r="AO15" s="734"/>
      <c r="AP15" s="734"/>
      <c r="AQ15" s="734"/>
      <c r="AR15" s="734"/>
      <c r="AS15" s="734"/>
    </row>
    <row r="16" spans="1:45" s="114" customFormat="1" ht="13.5" thickBot="1">
      <c r="A16" s="1116"/>
      <c r="B16" s="1110"/>
      <c r="C16" s="1111"/>
      <c r="D16" s="1112"/>
      <c r="E16" s="1112"/>
      <c r="F16" s="1112"/>
      <c r="G16" s="1112"/>
      <c r="H16" s="1112"/>
      <c r="I16" s="1112"/>
      <c r="J16" s="1112"/>
      <c r="K16" s="1112"/>
      <c r="L16" s="1112"/>
      <c r="M16" s="1113"/>
      <c r="N16" s="1113"/>
      <c r="O16" s="1112"/>
      <c r="P16" s="1112"/>
      <c r="Q16" s="1112"/>
      <c r="R16" s="1112"/>
      <c r="S16" s="1114"/>
      <c r="T16" s="1115"/>
      <c r="U16" s="734"/>
      <c r="V16" s="734"/>
      <c r="W16" s="734"/>
      <c r="X16" s="734"/>
      <c r="Y16" s="734"/>
      <c r="Z16" s="734"/>
      <c r="AA16" s="734"/>
      <c r="AB16" s="734"/>
      <c r="AC16" s="734"/>
      <c r="AD16" s="734"/>
      <c r="AE16" s="734"/>
      <c r="AF16" s="734"/>
      <c r="AG16" s="734"/>
      <c r="AH16" s="734"/>
      <c r="AI16" s="734"/>
      <c r="AJ16" s="734"/>
      <c r="AK16" s="734"/>
      <c r="AL16" s="734"/>
      <c r="AM16" s="734"/>
      <c r="AN16" s="734"/>
      <c r="AO16" s="734"/>
      <c r="AP16" s="734"/>
      <c r="AQ16" s="734"/>
      <c r="AR16" s="734"/>
      <c r="AS16" s="734"/>
    </row>
    <row r="17" spans="1:45" s="661" customFormat="1">
      <c r="A17" s="2348" t="s">
        <v>2818</v>
      </c>
      <c r="B17" s="2349" t="s">
        <v>2819</v>
      </c>
      <c r="C17" s="1132"/>
      <c r="D17" s="1133"/>
      <c r="E17" s="1133"/>
      <c r="F17" s="1133"/>
      <c r="G17" s="1133"/>
      <c r="H17" s="1133"/>
      <c r="I17" s="1133"/>
      <c r="J17" s="1133"/>
      <c r="K17" s="1133"/>
      <c r="L17" s="1134"/>
      <c r="M17" s="1135"/>
      <c r="N17" s="1136"/>
      <c r="O17" s="1137"/>
      <c r="P17" s="1138"/>
      <c r="Q17" s="1139"/>
      <c r="R17" s="1140"/>
      <c r="S17" s="1141"/>
      <c r="T17" s="1141"/>
      <c r="U17" s="1141"/>
      <c r="V17" s="1141"/>
      <c r="W17" s="1141"/>
      <c r="X17" s="1141"/>
      <c r="Y17" s="1141"/>
      <c r="Z17" s="1141"/>
      <c r="AA17" s="1141"/>
      <c r="AB17" s="1141"/>
      <c r="AC17" s="1141"/>
      <c r="AD17" s="1141"/>
      <c r="AE17" s="1141"/>
      <c r="AF17" s="1141"/>
      <c r="AG17" s="1141"/>
      <c r="AH17" s="1141"/>
      <c r="AI17" s="1141"/>
      <c r="AJ17" s="1141"/>
      <c r="AK17" s="1141"/>
      <c r="AL17" s="1141"/>
      <c r="AM17" s="1141"/>
      <c r="AN17" s="1141"/>
      <c r="AO17" s="1141"/>
      <c r="AP17" s="1141"/>
      <c r="AQ17" s="1141"/>
      <c r="AR17" s="732"/>
      <c r="AS17" s="732"/>
    </row>
    <row r="18" spans="1:45" s="661" customFormat="1" ht="13.5" thickBot="1">
      <c r="A18" s="1142"/>
      <c r="B18" s="1143"/>
      <c r="C18" s="1144"/>
      <c r="D18" s="1145"/>
      <c r="E18" s="1145"/>
      <c r="F18" s="1145"/>
      <c r="G18" s="1145"/>
      <c r="H18" s="1145"/>
      <c r="I18" s="1145"/>
      <c r="J18" s="1145"/>
      <c r="K18" s="1145"/>
      <c r="L18" s="1145"/>
      <c r="M18" s="1146"/>
      <c r="N18" s="1146"/>
      <c r="O18" s="1145"/>
      <c r="P18" s="1145"/>
      <c r="Q18" s="1145"/>
      <c r="R18" s="1145"/>
      <c r="S18" s="1147"/>
      <c r="T18" s="1147"/>
      <c r="U18" s="1147"/>
      <c r="V18" s="1147"/>
      <c r="W18" s="1147"/>
      <c r="X18" s="1147"/>
      <c r="Y18" s="1147"/>
      <c r="Z18" s="1147"/>
      <c r="AA18" s="1147"/>
      <c r="AB18" s="1147"/>
      <c r="AC18" s="1147"/>
      <c r="AD18" s="1147"/>
      <c r="AE18" s="1147"/>
      <c r="AF18" s="1147"/>
      <c r="AG18" s="1147"/>
      <c r="AH18" s="1147"/>
      <c r="AI18" s="1147"/>
      <c r="AJ18" s="1147"/>
      <c r="AK18" s="1147"/>
      <c r="AL18" s="1147"/>
      <c r="AM18" s="1147"/>
      <c r="AN18" s="1147"/>
      <c r="AO18" s="1147"/>
      <c r="AP18" s="1147"/>
      <c r="AQ18" s="1147"/>
      <c r="AR18" s="732"/>
      <c r="AS18" s="732"/>
    </row>
    <row r="19" spans="1:45">
      <c r="A19" s="134"/>
      <c r="B19" s="164"/>
      <c r="C19" s="164"/>
      <c r="D19" s="2350" t="s">
        <v>2820</v>
      </c>
      <c r="E19" s="1514"/>
      <c r="F19" s="1514"/>
      <c r="G19" s="1514"/>
      <c r="H19" s="1181"/>
      <c r="I19" s="164"/>
      <c r="J19" s="164"/>
      <c r="K19" s="164"/>
      <c r="L19" s="164"/>
      <c r="M19" s="164"/>
      <c r="N19" s="164"/>
      <c r="O19" s="164"/>
      <c r="P19" s="164"/>
      <c r="Q19" s="164"/>
      <c r="R19" s="724"/>
      <c r="S19" s="134"/>
    </row>
    <row r="20" spans="1:45" ht="16.5" thickBot="1">
      <c r="A20" s="669" t="s">
        <v>2821</v>
      </c>
      <c r="B20" s="300" t="e">
        <f ca="1">IF(D20="——",S22,S22-F20)</f>
        <v>#REF!</v>
      </c>
      <c r="C20" s="164"/>
      <c r="D20" s="2351"/>
      <c r="E20" s="1515"/>
      <c r="F20" s="1105" t="e">
        <f ca="1">SUMIF(INDIRECT("'"&amp;H20&amp;"'"&amp;"!A:A"),"承租人权益价值",INDIRECT("'"&amp;H20&amp;"'"&amp;"!c:c"))</f>
        <v>#REF!</v>
      </c>
      <c r="G20" s="1105" t="s">
        <v>2822</v>
      </c>
      <c r="H20" s="2352"/>
      <c r="I20" s="164"/>
      <c r="J20" s="164"/>
      <c r="K20" s="164"/>
      <c r="L20" s="164"/>
      <c r="M20" s="164"/>
      <c r="N20" s="164"/>
      <c r="O20" s="164"/>
      <c r="P20" s="164"/>
      <c r="Q20" s="164"/>
      <c r="R20" s="724"/>
      <c r="S20" s="134"/>
    </row>
    <row r="21" spans="1:45" ht="15.75">
      <c r="A21" s="669" t="s">
        <v>2823</v>
      </c>
      <c r="B21" s="300" t="e">
        <f ca="1">ROUND(B20*10000/B22,0)</f>
        <v>#REF!</v>
      </c>
      <c r="C21" s="164"/>
      <c r="D21" s="164"/>
      <c r="E21" s="164"/>
      <c r="F21" s="164"/>
      <c r="G21" s="164"/>
      <c r="H21" s="164"/>
      <c r="I21" s="164"/>
      <c r="J21" s="164"/>
      <c r="K21" s="164"/>
      <c r="L21" s="164"/>
      <c r="M21" s="164"/>
      <c r="N21" s="164"/>
      <c r="O21" s="164"/>
      <c r="P21" s="164"/>
      <c r="Q21" s="164"/>
      <c r="R21" s="724"/>
      <c r="S21" s="134"/>
    </row>
    <row r="22" spans="1:45">
      <c r="A22" s="322" t="s">
        <v>2824</v>
      </c>
      <c r="B22" s="24">
        <f>SUM(B24:B10000)</f>
        <v>100</v>
      </c>
      <c r="C22" s="3496" t="s">
        <v>33</v>
      </c>
      <c r="D22" s="3497"/>
      <c r="E22" s="3497"/>
      <c r="F22" s="3497"/>
      <c r="G22" s="3497"/>
      <c r="H22" s="3497"/>
      <c r="I22" s="3497"/>
      <c r="J22" s="3497"/>
      <c r="K22" s="3497"/>
      <c r="L22" s="3497"/>
      <c r="M22" s="3497"/>
      <c r="N22" s="3497"/>
      <c r="O22" s="3497"/>
      <c r="P22" s="3497"/>
      <c r="Q22" s="3498"/>
      <c r="R22" s="670">
        <f>ROUND(S22*10000/B22,0)</f>
        <v>10000</v>
      </c>
      <c r="S22" s="24">
        <f>SUM(S24:S10000)</f>
        <v>100</v>
      </c>
    </row>
    <row r="23" spans="1:45" s="12" customFormat="1" ht="24">
      <c r="A23" s="11" t="s">
        <v>2825</v>
      </c>
      <c r="B23" s="11" t="s">
        <v>2826</v>
      </c>
      <c r="C23" s="11" t="s">
        <v>2827</v>
      </c>
      <c r="D23" s="11" t="str">
        <f>B5</f>
        <v>修正项2</v>
      </c>
      <c r="E23" s="11" t="s">
        <v>2827</v>
      </c>
      <c r="F23" s="11" t="str">
        <f>B7</f>
        <v>修正项3</v>
      </c>
      <c r="G23" s="11" t="s">
        <v>2827</v>
      </c>
      <c r="H23" s="11" t="str">
        <f>B9</f>
        <v>修正项4</v>
      </c>
      <c r="I23" s="11" t="s">
        <v>2827</v>
      </c>
      <c r="J23" s="11" t="str">
        <f>B11</f>
        <v>修正项5</v>
      </c>
      <c r="K23" s="11" t="s">
        <v>2827</v>
      </c>
      <c r="L23" s="11" t="str">
        <f>B13</f>
        <v>修正项6</v>
      </c>
      <c r="M23" s="11" t="s">
        <v>2827</v>
      </c>
      <c r="N23" s="11" t="str">
        <f>B15</f>
        <v>修正项7</v>
      </c>
      <c r="O23" s="11" t="s">
        <v>2827</v>
      </c>
      <c r="P23" s="11" t="str">
        <f>B17</f>
        <v>楼层</v>
      </c>
      <c r="Q23" s="11" t="s">
        <v>2827</v>
      </c>
      <c r="R23" s="671" t="s">
        <v>2828</v>
      </c>
      <c r="S23" s="11" t="s">
        <v>2829</v>
      </c>
      <c r="T23" s="735"/>
      <c r="U23" s="735"/>
      <c r="V23" s="735"/>
      <c r="W23" s="735"/>
      <c r="X23" s="735"/>
      <c r="Y23" s="735"/>
      <c r="Z23" s="735"/>
      <c r="AA23" s="735"/>
      <c r="AB23" s="735"/>
      <c r="AC23" s="735"/>
      <c r="AD23" s="735"/>
      <c r="AE23" s="735"/>
      <c r="AF23" s="735"/>
      <c r="AG23" s="735"/>
      <c r="AH23" s="735"/>
      <c r="AI23" s="735"/>
      <c r="AJ23" s="735"/>
      <c r="AK23" s="735"/>
      <c r="AL23" s="735"/>
      <c r="AM23" s="735"/>
      <c r="AN23" s="735"/>
      <c r="AO23" s="735"/>
      <c r="AP23" s="735"/>
      <c r="AQ23" s="735"/>
      <c r="AR23" s="735"/>
      <c r="AS23" s="735"/>
    </row>
    <row r="24" spans="1:45" s="676" customFormat="1">
      <c r="A24" s="672" t="s">
        <v>2830</v>
      </c>
      <c r="B24" s="672">
        <v>100</v>
      </c>
      <c r="C24" s="3021">
        <v>1</v>
      </c>
      <c r="D24" s="3022"/>
      <c r="E24" s="3021">
        <v>1</v>
      </c>
      <c r="F24" s="3022"/>
      <c r="G24" s="3021">
        <v>1</v>
      </c>
      <c r="H24" s="3022"/>
      <c r="I24" s="3021">
        <v>1</v>
      </c>
      <c r="J24" s="3022"/>
      <c r="K24" s="3021">
        <v>1</v>
      </c>
      <c r="L24" s="3022"/>
      <c r="M24" s="3021">
        <v>1</v>
      </c>
      <c r="N24" s="3022"/>
      <c r="O24" s="3021">
        <v>1</v>
      </c>
      <c r="P24" s="3022"/>
      <c r="Q24" s="3021">
        <v>1</v>
      </c>
      <c r="R24" s="675">
        <v>10000</v>
      </c>
      <c r="S24" s="673">
        <f t="shared" ref="S24:S54" si="11">ROUND(R24*B24/10000,0)</f>
        <v>100</v>
      </c>
      <c r="T24" s="736"/>
      <c r="U24" s="736"/>
      <c r="V24" s="736"/>
      <c r="W24" s="736"/>
      <c r="X24" s="736"/>
      <c r="Y24" s="736"/>
      <c r="Z24" s="736"/>
      <c r="AA24" s="736"/>
      <c r="AB24" s="736"/>
      <c r="AC24" s="736"/>
      <c r="AD24" s="736"/>
      <c r="AE24" s="736"/>
      <c r="AF24" s="736"/>
      <c r="AG24" s="736"/>
      <c r="AH24" s="736"/>
      <c r="AI24" s="736"/>
      <c r="AJ24" s="736"/>
      <c r="AK24" s="736"/>
      <c r="AL24" s="736"/>
      <c r="AM24" s="736"/>
      <c r="AN24" s="736"/>
      <c r="AO24" s="736"/>
      <c r="AP24" s="736"/>
      <c r="AQ24" s="736"/>
      <c r="AR24" s="736"/>
      <c r="AS24" s="736"/>
    </row>
    <row r="25" spans="1:45">
      <c r="A25" s="155"/>
      <c r="B25" s="57"/>
      <c r="C25" s="24">
        <f>IF(B25="",1,(LOOKUP(B25,$3:$3,$4:$4)-LOOKUP($B$24,$3:$3,$4:$4)+100)/100)</f>
        <v>1</v>
      </c>
      <c r="D25" s="674"/>
      <c r="E25" s="24">
        <f>(SUMIF($5:$5,D25,$6:$6)-SUMIF($5:$5,$D$24,$6:$6)+100)/100</f>
        <v>1</v>
      </c>
      <c r="F25" s="674"/>
      <c r="G25" s="24">
        <f>(SUMIF($7:$7,F25,$8:$8)-SUMIF($7:$7,$F$24,$8:$8)+100)/100</f>
        <v>1</v>
      </c>
      <c r="H25" s="674"/>
      <c r="I25" s="24">
        <f>(SUMIF($9:$9,H25,$10:$10)-SUMIF($9:$9,$H$24,$10:$10)+100)/100</f>
        <v>1</v>
      </c>
      <c r="J25" s="674"/>
      <c r="K25" s="24">
        <f>(SUMIF($11:$11,J25,$12:$12)-SUMIF($11:$11,$J$24,$12:$12)+100)/100</f>
        <v>1</v>
      </c>
      <c r="L25" s="674"/>
      <c r="M25" s="24">
        <f>(SUMIF($13:$13,L25,$14:$14)-SUMIF($13:$13,$L$24,$14:$14)+100)/100</f>
        <v>1</v>
      </c>
      <c r="N25" s="674"/>
      <c r="O25" s="24">
        <f>(SUMIF($15:$15,N25,$16:$16)-SUMIF($15:$15,$N$24,$16:$16)+100)/100</f>
        <v>1</v>
      </c>
      <c r="P25" s="674"/>
      <c r="Q25" s="24">
        <f>(SUMIF($17:$17,P25,$18:$18)-SUMIF($17:$17,$P$24,$18:$18)+100)/100</f>
        <v>1</v>
      </c>
      <c r="R25" s="670">
        <f>IF(B25="",0,ROUND($R$24*C25*E25*G25*I25*K25*M25*O25*Q25,0))</f>
        <v>0</v>
      </c>
      <c r="S25" s="322">
        <f t="shared" si="11"/>
        <v>0</v>
      </c>
    </row>
    <row r="26" spans="1:45">
      <c r="A26" s="155"/>
      <c r="B26" s="57"/>
      <c r="C26" s="24">
        <f t="shared" ref="C26:C89" si="12">IF(B26="",1,(LOOKUP(B26,$3:$3,$4:$4)-LOOKUP($B$24,$3:$3,$4:$4)+100)/100)</f>
        <v>1</v>
      </c>
      <c r="D26" s="674"/>
      <c r="E26" s="24">
        <f t="shared" ref="E26:E89" si="13">(SUMIF($5:$5,D26,$6:$6)-SUMIF($5:$5,$D$24,$6:$6)+100)/100</f>
        <v>1</v>
      </c>
      <c r="F26" s="674"/>
      <c r="G26" s="24">
        <f t="shared" ref="G26:G89" si="14">(SUMIF($7:$7,F26,$8:$8)-SUMIF($7:$7,$F$24,$8:$8)+100)/100</f>
        <v>1</v>
      </c>
      <c r="H26" s="674"/>
      <c r="I26" s="24">
        <f t="shared" ref="I26:I89" si="15">(SUMIF($9:$9,H26,$10:$10)-SUMIF($9:$9,$H$24,$10:$10)+100)/100</f>
        <v>1</v>
      </c>
      <c r="J26" s="674"/>
      <c r="K26" s="24">
        <f t="shared" ref="K26:K89" si="16">(SUMIF($11:$11,J26,$12:$12)-SUMIF($11:$11,$J$24,$12:$12)+100)/100</f>
        <v>1</v>
      </c>
      <c r="L26" s="674"/>
      <c r="M26" s="24">
        <f t="shared" ref="M26:M89" si="17">(SUMIF($13:$13,L26,$14:$14)-SUMIF($13:$13,$L$24,$14:$14)+100)/100</f>
        <v>1</v>
      </c>
      <c r="N26" s="674"/>
      <c r="O26" s="24">
        <f t="shared" ref="O26:O89" si="18">(SUMIF($15:$15,N26,$16:$16)-SUMIF($15:$15,$N$24,$16:$16)+100)/100</f>
        <v>1</v>
      </c>
      <c r="P26" s="674"/>
      <c r="Q26" s="24">
        <f t="shared" ref="Q26:Q89" si="19">(SUMIF($17:$17,P26,$18:$18)-SUMIF($17:$17,$P$24,$18:$18)+100)/100</f>
        <v>1</v>
      </c>
      <c r="R26" s="670">
        <f t="shared" ref="R26:R89" si="20">IF(B26="",0,ROUND($R$24*C26*E26*G26*I26*K26*M26*O26*Q26,0))</f>
        <v>0</v>
      </c>
      <c r="S26" s="322">
        <f t="shared" si="11"/>
        <v>0</v>
      </c>
    </row>
    <row r="27" spans="1:45">
      <c r="A27" s="155"/>
      <c r="B27" s="57"/>
      <c r="C27" s="24">
        <f t="shared" si="12"/>
        <v>1</v>
      </c>
      <c r="D27" s="674"/>
      <c r="E27" s="24">
        <f t="shared" si="13"/>
        <v>1</v>
      </c>
      <c r="F27" s="674"/>
      <c r="G27" s="24">
        <f t="shared" si="14"/>
        <v>1</v>
      </c>
      <c r="H27" s="674"/>
      <c r="I27" s="24">
        <f t="shared" si="15"/>
        <v>1</v>
      </c>
      <c r="J27" s="674"/>
      <c r="K27" s="24">
        <f t="shared" si="16"/>
        <v>1</v>
      </c>
      <c r="L27" s="674"/>
      <c r="M27" s="24">
        <f t="shared" si="17"/>
        <v>1</v>
      </c>
      <c r="N27" s="674"/>
      <c r="O27" s="24">
        <f t="shared" si="18"/>
        <v>1</v>
      </c>
      <c r="P27" s="674"/>
      <c r="Q27" s="24">
        <f t="shared" si="19"/>
        <v>1</v>
      </c>
      <c r="R27" s="670">
        <f t="shared" si="20"/>
        <v>0</v>
      </c>
      <c r="S27" s="322">
        <f t="shared" si="11"/>
        <v>0</v>
      </c>
    </row>
    <row r="28" spans="1:45">
      <c r="A28" s="155"/>
      <c r="B28" s="57"/>
      <c r="C28" s="24">
        <f t="shared" si="12"/>
        <v>1</v>
      </c>
      <c r="D28" s="674"/>
      <c r="E28" s="24">
        <f t="shared" si="13"/>
        <v>1</v>
      </c>
      <c r="F28" s="674"/>
      <c r="G28" s="24">
        <f t="shared" si="14"/>
        <v>1</v>
      </c>
      <c r="H28" s="674"/>
      <c r="I28" s="24">
        <f t="shared" si="15"/>
        <v>1</v>
      </c>
      <c r="J28" s="674"/>
      <c r="K28" s="24">
        <f t="shared" si="16"/>
        <v>1</v>
      </c>
      <c r="L28" s="674"/>
      <c r="M28" s="24">
        <f t="shared" si="17"/>
        <v>1</v>
      </c>
      <c r="N28" s="674"/>
      <c r="O28" s="24">
        <f t="shared" si="18"/>
        <v>1</v>
      </c>
      <c r="P28" s="674"/>
      <c r="Q28" s="24">
        <f t="shared" si="19"/>
        <v>1</v>
      </c>
      <c r="R28" s="670">
        <f t="shared" si="20"/>
        <v>0</v>
      </c>
      <c r="S28" s="322">
        <f t="shared" si="11"/>
        <v>0</v>
      </c>
    </row>
    <row r="29" spans="1:45">
      <c r="A29" s="155"/>
      <c r="B29" s="57"/>
      <c r="C29" s="24">
        <f t="shared" si="12"/>
        <v>1</v>
      </c>
      <c r="D29" s="674"/>
      <c r="E29" s="24">
        <f t="shared" si="13"/>
        <v>1</v>
      </c>
      <c r="F29" s="674"/>
      <c r="G29" s="24">
        <f t="shared" si="14"/>
        <v>1</v>
      </c>
      <c r="H29" s="674"/>
      <c r="I29" s="24">
        <f t="shared" si="15"/>
        <v>1</v>
      </c>
      <c r="J29" s="674"/>
      <c r="K29" s="24">
        <f t="shared" si="16"/>
        <v>1</v>
      </c>
      <c r="L29" s="674"/>
      <c r="M29" s="24">
        <f t="shared" si="17"/>
        <v>1</v>
      </c>
      <c r="N29" s="674"/>
      <c r="O29" s="24">
        <f t="shared" si="18"/>
        <v>1</v>
      </c>
      <c r="P29" s="674"/>
      <c r="Q29" s="24">
        <f t="shared" si="19"/>
        <v>1</v>
      </c>
      <c r="R29" s="670">
        <f t="shared" si="20"/>
        <v>0</v>
      </c>
      <c r="S29" s="322">
        <f t="shared" si="11"/>
        <v>0</v>
      </c>
    </row>
    <row r="30" spans="1:45">
      <c r="A30" s="155"/>
      <c r="B30" s="57"/>
      <c r="C30" s="24">
        <f t="shared" si="12"/>
        <v>1</v>
      </c>
      <c r="D30" s="674"/>
      <c r="E30" s="24">
        <f t="shared" si="13"/>
        <v>1</v>
      </c>
      <c r="F30" s="674"/>
      <c r="G30" s="24">
        <f t="shared" si="14"/>
        <v>1</v>
      </c>
      <c r="H30" s="674"/>
      <c r="I30" s="24">
        <f t="shared" si="15"/>
        <v>1</v>
      </c>
      <c r="J30" s="674"/>
      <c r="K30" s="24">
        <f t="shared" si="16"/>
        <v>1</v>
      </c>
      <c r="L30" s="674"/>
      <c r="M30" s="24">
        <f t="shared" si="17"/>
        <v>1</v>
      </c>
      <c r="N30" s="674"/>
      <c r="O30" s="24">
        <f t="shared" si="18"/>
        <v>1</v>
      </c>
      <c r="P30" s="674"/>
      <c r="Q30" s="24">
        <f t="shared" si="19"/>
        <v>1</v>
      </c>
      <c r="R30" s="670">
        <f t="shared" si="20"/>
        <v>0</v>
      </c>
      <c r="S30" s="322">
        <f t="shared" si="11"/>
        <v>0</v>
      </c>
    </row>
    <row r="31" spans="1:45">
      <c r="A31" s="155"/>
      <c r="B31" s="57"/>
      <c r="C31" s="24">
        <f t="shared" si="12"/>
        <v>1</v>
      </c>
      <c r="D31" s="674"/>
      <c r="E31" s="24">
        <f t="shared" si="13"/>
        <v>1</v>
      </c>
      <c r="F31" s="674"/>
      <c r="G31" s="24">
        <f t="shared" si="14"/>
        <v>1</v>
      </c>
      <c r="H31" s="674"/>
      <c r="I31" s="24">
        <f t="shared" si="15"/>
        <v>1</v>
      </c>
      <c r="J31" s="674"/>
      <c r="K31" s="24">
        <f t="shared" si="16"/>
        <v>1</v>
      </c>
      <c r="L31" s="674"/>
      <c r="M31" s="24">
        <f t="shared" si="17"/>
        <v>1</v>
      </c>
      <c r="N31" s="674"/>
      <c r="O31" s="24">
        <f t="shared" si="18"/>
        <v>1</v>
      </c>
      <c r="P31" s="674"/>
      <c r="Q31" s="24">
        <f t="shared" si="19"/>
        <v>1</v>
      </c>
      <c r="R31" s="670">
        <f t="shared" si="20"/>
        <v>0</v>
      </c>
      <c r="S31" s="322">
        <f t="shared" si="11"/>
        <v>0</v>
      </c>
    </row>
    <row r="32" spans="1:45">
      <c r="A32" s="155"/>
      <c r="B32" s="57"/>
      <c r="C32" s="24">
        <f t="shared" si="12"/>
        <v>1</v>
      </c>
      <c r="D32" s="674"/>
      <c r="E32" s="24">
        <f t="shared" si="13"/>
        <v>1</v>
      </c>
      <c r="F32" s="674"/>
      <c r="G32" s="24">
        <f t="shared" si="14"/>
        <v>1</v>
      </c>
      <c r="H32" s="674"/>
      <c r="I32" s="24">
        <f t="shared" si="15"/>
        <v>1</v>
      </c>
      <c r="J32" s="674"/>
      <c r="K32" s="24">
        <f t="shared" si="16"/>
        <v>1</v>
      </c>
      <c r="L32" s="674"/>
      <c r="M32" s="24">
        <f t="shared" si="17"/>
        <v>1</v>
      </c>
      <c r="N32" s="674"/>
      <c r="O32" s="24">
        <f t="shared" si="18"/>
        <v>1</v>
      </c>
      <c r="P32" s="674"/>
      <c r="Q32" s="24">
        <f t="shared" si="19"/>
        <v>1</v>
      </c>
      <c r="R32" s="670">
        <f t="shared" si="20"/>
        <v>0</v>
      </c>
      <c r="S32" s="322">
        <f t="shared" si="11"/>
        <v>0</v>
      </c>
    </row>
    <row r="33" spans="1:19">
      <c r="A33" s="155"/>
      <c r="B33" s="57"/>
      <c r="C33" s="24">
        <f t="shared" si="12"/>
        <v>1</v>
      </c>
      <c r="D33" s="674"/>
      <c r="E33" s="24">
        <f t="shared" si="13"/>
        <v>1</v>
      </c>
      <c r="F33" s="674"/>
      <c r="G33" s="24">
        <f t="shared" si="14"/>
        <v>1</v>
      </c>
      <c r="H33" s="674"/>
      <c r="I33" s="24">
        <f t="shared" si="15"/>
        <v>1</v>
      </c>
      <c r="J33" s="674"/>
      <c r="K33" s="24">
        <f t="shared" si="16"/>
        <v>1</v>
      </c>
      <c r="L33" s="674"/>
      <c r="M33" s="24">
        <f t="shared" si="17"/>
        <v>1</v>
      </c>
      <c r="N33" s="674"/>
      <c r="O33" s="24">
        <f t="shared" si="18"/>
        <v>1</v>
      </c>
      <c r="P33" s="674"/>
      <c r="Q33" s="24">
        <f t="shared" si="19"/>
        <v>1</v>
      </c>
      <c r="R33" s="670">
        <f t="shared" si="20"/>
        <v>0</v>
      </c>
      <c r="S33" s="322">
        <f t="shared" si="11"/>
        <v>0</v>
      </c>
    </row>
    <row r="34" spans="1:19">
      <c r="A34" s="155"/>
      <c r="B34" s="57"/>
      <c r="C34" s="24">
        <f t="shared" si="12"/>
        <v>1</v>
      </c>
      <c r="D34" s="674"/>
      <c r="E34" s="24">
        <f t="shared" si="13"/>
        <v>1</v>
      </c>
      <c r="F34" s="674"/>
      <c r="G34" s="24">
        <f t="shared" si="14"/>
        <v>1</v>
      </c>
      <c r="H34" s="674"/>
      <c r="I34" s="24">
        <f t="shared" si="15"/>
        <v>1</v>
      </c>
      <c r="J34" s="674"/>
      <c r="K34" s="24">
        <f t="shared" si="16"/>
        <v>1</v>
      </c>
      <c r="L34" s="674"/>
      <c r="M34" s="24">
        <f t="shared" si="17"/>
        <v>1</v>
      </c>
      <c r="N34" s="674"/>
      <c r="O34" s="24">
        <f t="shared" si="18"/>
        <v>1</v>
      </c>
      <c r="P34" s="674"/>
      <c r="Q34" s="24">
        <f t="shared" si="19"/>
        <v>1</v>
      </c>
      <c r="R34" s="670">
        <f t="shared" si="20"/>
        <v>0</v>
      </c>
      <c r="S34" s="322">
        <f t="shared" si="11"/>
        <v>0</v>
      </c>
    </row>
    <row r="35" spans="1:19">
      <c r="A35" s="155"/>
      <c r="B35" s="57"/>
      <c r="C35" s="24">
        <f t="shared" si="12"/>
        <v>1</v>
      </c>
      <c r="D35" s="674"/>
      <c r="E35" s="24">
        <f t="shared" si="13"/>
        <v>1</v>
      </c>
      <c r="F35" s="674"/>
      <c r="G35" s="24">
        <f t="shared" si="14"/>
        <v>1</v>
      </c>
      <c r="H35" s="674"/>
      <c r="I35" s="24">
        <f t="shared" si="15"/>
        <v>1</v>
      </c>
      <c r="J35" s="674"/>
      <c r="K35" s="24">
        <f t="shared" si="16"/>
        <v>1</v>
      </c>
      <c r="L35" s="674"/>
      <c r="M35" s="24">
        <f t="shared" si="17"/>
        <v>1</v>
      </c>
      <c r="N35" s="674"/>
      <c r="O35" s="24">
        <f t="shared" si="18"/>
        <v>1</v>
      </c>
      <c r="P35" s="674"/>
      <c r="Q35" s="24">
        <f t="shared" si="19"/>
        <v>1</v>
      </c>
      <c r="R35" s="670">
        <f t="shared" si="20"/>
        <v>0</v>
      </c>
      <c r="S35" s="322">
        <f t="shared" si="11"/>
        <v>0</v>
      </c>
    </row>
    <row r="36" spans="1:19">
      <c r="A36" s="155"/>
      <c r="B36" s="57"/>
      <c r="C36" s="24">
        <f t="shared" si="12"/>
        <v>1</v>
      </c>
      <c r="D36" s="674"/>
      <c r="E36" s="24">
        <f t="shared" si="13"/>
        <v>1</v>
      </c>
      <c r="F36" s="674"/>
      <c r="G36" s="24">
        <f t="shared" si="14"/>
        <v>1</v>
      </c>
      <c r="H36" s="674"/>
      <c r="I36" s="24">
        <f t="shared" si="15"/>
        <v>1</v>
      </c>
      <c r="J36" s="674"/>
      <c r="K36" s="24">
        <f t="shared" si="16"/>
        <v>1</v>
      </c>
      <c r="L36" s="674"/>
      <c r="M36" s="24">
        <f t="shared" si="17"/>
        <v>1</v>
      </c>
      <c r="N36" s="674"/>
      <c r="O36" s="24">
        <f t="shared" si="18"/>
        <v>1</v>
      </c>
      <c r="P36" s="674"/>
      <c r="Q36" s="24">
        <f t="shared" si="19"/>
        <v>1</v>
      </c>
      <c r="R36" s="670">
        <f t="shared" si="20"/>
        <v>0</v>
      </c>
      <c r="S36" s="322">
        <f t="shared" si="11"/>
        <v>0</v>
      </c>
    </row>
    <row r="37" spans="1:19">
      <c r="A37" s="155"/>
      <c r="B37" s="57"/>
      <c r="C37" s="24">
        <f t="shared" si="12"/>
        <v>1</v>
      </c>
      <c r="D37" s="674"/>
      <c r="E37" s="24">
        <f t="shared" si="13"/>
        <v>1</v>
      </c>
      <c r="F37" s="674"/>
      <c r="G37" s="24">
        <f t="shared" si="14"/>
        <v>1</v>
      </c>
      <c r="H37" s="674"/>
      <c r="I37" s="24">
        <f t="shared" si="15"/>
        <v>1</v>
      </c>
      <c r="J37" s="674"/>
      <c r="K37" s="24">
        <f t="shared" si="16"/>
        <v>1</v>
      </c>
      <c r="L37" s="674"/>
      <c r="M37" s="24">
        <f t="shared" si="17"/>
        <v>1</v>
      </c>
      <c r="N37" s="674"/>
      <c r="O37" s="24">
        <f t="shared" si="18"/>
        <v>1</v>
      </c>
      <c r="P37" s="674"/>
      <c r="Q37" s="24">
        <f t="shared" si="19"/>
        <v>1</v>
      </c>
      <c r="R37" s="670">
        <f t="shared" si="20"/>
        <v>0</v>
      </c>
      <c r="S37" s="322">
        <f t="shared" si="11"/>
        <v>0</v>
      </c>
    </row>
    <row r="38" spans="1:19">
      <c r="A38" s="155"/>
      <c r="B38" s="57"/>
      <c r="C38" s="24">
        <f t="shared" si="12"/>
        <v>1</v>
      </c>
      <c r="D38" s="674"/>
      <c r="E38" s="24">
        <f t="shared" si="13"/>
        <v>1</v>
      </c>
      <c r="F38" s="674"/>
      <c r="G38" s="24">
        <f t="shared" si="14"/>
        <v>1</v>
      </c>
      <c r="H38" s="674"/>
      <c r="I38" s="24">
        <f t="shared" si="15"/>
        <v>1</v>
      </c>
      <c r="J38" s="674"/>
      <c r="K38" s="24">
        <f t="shared" si="16"/>
        <v>1</v>
      </c>
      <c r="L38" s="674"/>
      <c r="M38" s="24">
        <f t="shared" si="17"/>
        <v>1</v>
      </c>
      <c r="N38" s="674"/>
      <c r="O38" s="24">
        <f t="shared" si="18"/>
        <v>1</v>
      </c>
      <c r="P38" s="674"/>
      <c r="Q38" s="24">
        <f t="shared" si="19"/>
        <v>1</v>
      </c>
      <c r="R38" s="670">
        <f t="shared" si="20"/>
        <v>0</v>
      </c>
      <c r="S38" s="322">
        <f t="shared" si="11"/>
        <v>0</v>
      </c>
    </row>
    <row r="39" spans="1:19">
      <c r="A39" s="155"/>
      <c r="B39" s="57"/>
      <c r="C39" s="24">
        <f t="shared" si="12"/>
        <v>1</v>
      </c>
      <c r="D39" s="674"/>
      <c r="E39" s="24">
        <f t="shared" si="13"/>
        <v>1</v>
      </c>
      <c r="F39" s="674"/>
      <c r="G39" s="24">
        <f t="shared" si="14"/>
        <v>1</v>
      </c>
      <c r="H39" s="674"/>
      <c r="I39" s="24">
        <f t="shared" si="15"/>
        <v>1</v>
      </c>
      <c r="J39" s="674"/>
      <c r="K39" s="24">
        <f t="shared" si="16"/>
        <v>1</v>
      </c>
      <c r="L39" s="674"/>
      <c r="M39" s="24">
        <f t="shared" si="17"/>
        <v>1</v>
      </c>
      <c r="N39" s="674"/>
      <c r="O39" s="24">
        <f t="shared" si="18"/>
        <v>1</v>
      </c>
      <c r="P39" s="674"/>
      <c r="Q39" s="24">
        <f t="shared" si="19"/>
        <v>1</v>
      </c>
      <c r="R39" s="670">
        <f t="shared" si="20"/>
        <v>0</v>
      </c>
      <c r="S39" s="322">
        <f t="shared" si="11"/>
        <v>0</v>
      </c>
    </row>
    <row r="40" spans="1:19">
      <c r="A40" s="155"/>
      <c r="B40" s="57"/>
      <c r="C40" s="24">
        <f t="shared" si="12"/>
        <v>1</v>
      </c>
      <c r="D40" s="674"/>
      <c r="E40" s="24">
        <f t="shared" si="13"/>
        <v>1</v>
      </c>
      <c r="F40" s="674"/>
      <c r="G40" s="24">
        <f t="shared" si="14"/>
        <v>1</v>
      </c>
      <c r="H40" s="674"/>
      <c r="I40" s="24">
        <f t="shared" si="15"/>
        <v>1</v>
      </c>
      <c r="J40" s="674"/>
      <c r="K40" s="24">
        <f t="shared" si="16"/>
        <v>1</v>
      </c>
      <c r="L40" s="674"/>
      <c r="M40" s="24">
        <f t="shared" si="17"/>
        <v>1</v>
      </c>
      <c r="N40" s="674"/>
      <c r="O40" s="24">
        <f t="shared" si="18"/>
        <v>1</v>
      </c>
      <c r="P40" s="674"/>
      <c r="Q40" s="24">
        <f t="shared" si="19"/>
        <v>1</v>
      </c>
      <c r="R40" s="670">
        <f t="shared" si="20"/>
        <v>0</v>
      </c>
      <c r="S40" s="322">
        <f t="shared" si="11"/>
        <v>0</v>
      </c>
    </row>
    <row r="41" spans="1:19">
      <c r="A41" s="155"/>
      <c r="B41" s="57"/>
      <c r="C41" s="24">
        <f t="shared" si="12"/>
        <v>1</v>
      </c>
      <c r="D41" s="674"/>
      <c r="E41" s="24">
        <f t="shared" si="13"/>
        <v>1</v>
      </c>
      <c r="F41" s="674"/>
      <c r="G41" s="24">
        <f t="shared" si="14"/>
        <v>1</v>
      </c>
      <c r="H41" s="674"/>
      <c r="I41" s="24">
        <f t="shared" si="15"/>
        <v>1</v>
      </c>
      <c r="J41" s="674"/>
      <c r="K41" s="24">
        <f t="shared" si="16"/>
        <v>1</v>
      </c>
      <c r="L41" s="674"/>
      <c r="M41" s="24">
        <f t="shared" si="17"/>
        <v>1</v>
      </c>
      <c r="N41" s="674"/>
      <c r="O41" s="24">
        <f t="shared" si="18"/>
        <v>1</v>
      </c>
      <c r="P41" s="674"/>
      <c r="Q41" s="24">
        <f t="shared" si="19"/>
        <v>1</v>
      </c>
      <c r="R41" s="670">
        <f t="shared" si="20"/>
        <v>0</v>
      </c>
      <c r="S41" s="322">
        <f t="shared" si="11"/>
        <v>0</v>
      </c>
    </row>
    <row r="42" spans="1:19">
      <c r="A42" s="155"/>
      <c r="B42" s="57"/>
      <c r="C42" s="24">
        <f t="shared" si="12"/>
        <v>1</v>
      </c>
      <c r="D42" s="674"/>
      <c r="E42" s="24">
        <f t="shared" si="13"/>
        <v>1</v>
      </c>
      <c r="F42" s="674"/>
      <c r="G42" s="24">
        <f t="shared" si="14"/>
        <v>1</v>
      </c>
      <c r="H42" s="674"/>
      <c r="I42" s="24">
        <f t="shared" si="15"/>
        <v>1</v>
      </c>
      <c r="J42" s="674"/>
      <c r="K42" s="24">
        <f t="shared" si="16"/>
        <v>1</v>
      </c>
      <c r="L42" s="674"/>
      <c r="M42" s="24">
        <f t="shared" si="17"/>
        <v>1</v>
      </c>
      <c r="N42" s="674"/>
      <c r="O42" s="24">
        <f t="shared" si="18"/>
        <v>1</v>
      </c>
      <c r="P42" s="674"/>
      <c r="Q42" s="24">
        <f t="shared" si="19"/>
        <v>1</v>
      </c>
      <c r="R42" s="670">
        <f t="shared" si="20"/>
        <v>0</v>
      </c>
      <c r="S42" s="322">
        <f t="shared" si="11"/>
        <v>0</v>
      </c>
    </row>
    <row r="43" spans="1:19">
      <c r="A43" s="155"/>
      <c r="B43" s="57"/>
      <c r="C43" s="24">
        <f t="shared" si="12"/>
        <v>1</v>
      </c>
      <c r="D43" s="674"/>
      <c r="E43" s="24">
        <f t="shared" si="13"/>
        <v>1</v>
      </c>
      <c r="F43" s="674"/>
      <c r="G43" s="24">
        <f t="shared" si="14"/>
        <v>1</v>
      </c>
      <c r="H43" s="674"/>
      <c r="I43" s="24">
        <f t="shared" si="15"/>
        <v>1</v>
      </c>
      <c r="J43" s="674"/>
      <c r="K43" s="24">
        <f t="shared" si="16"/>
        <v>1</v>
      </c>
      <c r="L43" s="674"/>
      <c r="M43" s="24">
        <f t="shared" si="17"/>
        <v>1</v>
      </c>
      <c r="N43" s="674"/>
      <c r="O43" s="24">
        <f t="shared" si="18"/>
        <v>1</v>
      </c>
      <c r="P43" s="674"/>
      <c r="Q43" s="24">
        <f t="shared" si="19"/>
        <v>1</v>
      </c>
      <c r="R43" s="670">
        <f t="shared" si="20"/>
        <v>0</v>
      </c>
      <c r="S43" s="322">
        <f t="shared" si="11"/>
        <v>0</v>
      </c>
    </row>
    <row r="44" spans="1:19">
      <c r="A44" s="155"/>
      <c r="B44" s="57"/>
      <c r="C44" s="24">
        <f t="shared" si="12"/>
        <v>1</v>
      </c>
      <c r="D44" s="674"/>
      <c r="E44" s="24">
        <f t="shared" si="13"/>
        <v>1</v>
      </c>
      <c r="F44" s="674"/>
      <c r="G44" s="24">
        <f t="shared" si="14"/>
        <v>1</v>
      </c>
      <c r="H44" s="674"/>
      <c r="I44" s="24">
        <f t="shared" si="15"/>
        <v>1</v>
      </c>
      <c r="J44" s="674"/>
      <c r="K44" s="24">
        <f t="shared" si="16"/>
        <v>1</v>
      </c>
      <c r="L44" s="674"/>
      <c r="M44" s="24">
        <f t="shared" si="17"/>
        <v>1</v>
      </c>
      <c r="N44" s="674"/>
      <c r="O44" s="24">
        <f t="shared" si="18"/>
        <v>1</v>
      </c>
      <c r="P44" s="674"/>
      <c r="Q44" s="24">
        <f t="shared" si="19"/>
        <v>1</v>
      </c>
      <c r="R44" s="670">
        <f t="shared" si="20"/>
        <v>0</v>
      </c>
      <c r="S44" s="322">
        <f t="shared" si="11"/>
        <v>0</v>
      </c>
    </row>
    <row r="45" spans="1:19">
      <c r="A45" s="155"/>
      <c r="B45" s="57"/>
      <c r="C45" s="24">
        <f t="shared" si="12"/>
        <v>1</v>
      </c>
      <c r="D45" s="674"/>
      <c r="E45" s="24">
        <f t="shared" si="13"/>
        <v>1</v>
      </c>
      <c r="F45" s="674"/>
      <c r="G45" s="24">
        <f t="shared" si="14"/>
        <v>1</v>
      </c>
      <c r="H45" s="674"/>
      <c r="I45" s="24">
        <f t="shared" si="15"/>
        <v>1</v>
      </c>
      <c r="J45" s="674"/>
      <c r="K45" s="24">
        <f t="shared" si="16"/>
        <v>1</v>
      </c>
      <c r="L45" s="674"/>
      <c r="M45" s="24">
        <f t="shared" si="17"/>
        <v>1</v>
      </c>
      <c r="N45" s="674"/>
      <c r="O45" s="24">
        <f t="shared" si="18"/>
        <v>1</v>
      </c>
      <c r="P45" s="674"/>
      <c r="Q45" s="24">
        <f t="shared" si="19"/>
        <v>1</v>
      </c>
      <c r="R45" s="670">
        <f t="shared" si="20"/>
        <v>0</v>
      </c>
      <c r="S45" s="322">
        <f t="shared" si="11"/>
        <v>0</v>
      </c>
    </row>
    <row r="46" spans="1:19">
      <c r="A46" s="155"/>
      <c r="B46" s="57"/>
      <c r="C46" s="24">
        <f t="shared" si="12"/>
        <v>1</v>
      </c>
      <c r="D46" s="674"/>
      <c r="E46" s="24">
        <f t="shared" si="13"/>
        <v>1</v>
      </c>
      <c r="F46" s="674"/>
      <c r="G46" s="24">
        <f t="shared" si="14"/>
        <v>1</v>
      </c>
      <c r="H46" s="674"/>
      <c r="I46" s="24">
        <f t="shared" si="15"/>
        <v>1</v>
      </c>
      <c r="J46" s="674"/>
      <c r="K46" s="24">
        <f t="shared" si="16"/>
        <v>1</v>
      </c>
      <c r="L46" s="674"/>
      <c r="M46" s="24">
        <f t="shared" si="17"/>
        <v>1</v>
      </c>
      <c r="N46" s="674"/>
      <c r="O46" s="24">
        <f t="shared" si="18"/>
        <v>1</v>
      </c>
      <c r="P46" s="674"/>
      <c r="Q46" s="24">
        <f t="shared" si="19"/>
        <v>1</v>
      </c>
      <c r="R46" s="670">
        <f t="shared" si="20"/>
        <v>0</v>
      </c>
      <c r="S46" s="322">
        <f t="shared" si="11"/>
        <v>0</v>
      </c>
    </row>
    <row r="47" spans="1:19">
      <c r="A47" s="155"/>
      <c r="B47" s="57"/>
      <c r="C47" s="24">
        <f t="shared" si="12"/>
        <v>1</v>
      </c>
      <c r="D47" s="674"/>
      <c r="E47" s="24">
        <f t="shared" si="13"/>
        <v>1</v>
      </c>
      <c r="F47" s="674"/>
      <c r="G47" s="24">
        <f t="shared" si="14"/>
        <v>1</v>
      </c>
      <c r="H47" s="674"/>
      <c r="I47" s="24">
        <f t="shared" si="15"/>
        <v>1</v>
      </c>
      <c r="J47" s="674"/>
      <c r="K47" s="24">
        <f t="shared" si="16"/>
        <v>1</v>
      </c>
      <c r="L47" s="674"/>
      <c r="M47" s="24">
        <f t="shared" si="17"/>
        <v>1</v>
      </c>
      <c r="N47" s="674"/>
      <c r="O47" s="24">
        <f t="shared" si="18"/>
        <v>1</v>
      </c>
      <c r="P47" s="674"/>
      <c r="Q47" s="24">
        <f t="shared" si="19"/>
        <v>1</v>
      </c>
      <c r="R47" s="670">
        <f t="shared" si="20"/>
        <v>0</v>
      </c>
      <c r="S47" s="322">
        <f t="shared" si="11"/>
        <v>0</v>
      </c>
    </row>
    <row r="48" spans="1:19">
      <c r="A48" s="155"/>
      <c r="B48" s="57"/>
      <c r="C48" s="24">
        <f t="shared" si="12"/>
        <v>1</v>
      </c>
      <c r="D48" s="674"/>
      <c r="E48" s="24">
        <f t="shared" si="13"/>
        <v>1</v>
      </c>
      <c r="F48" s="674"/>
      <c r="G48" s="24">
        <f t="shared" si="14"/>
        <v>1</v>
      </c>
      <c r="H48" s="674"/>
      <c r="I48" s="24">
        <f t="shared" si="15"/>
        <v>1</v>
      </c>
      <c r="J48" s="674"/>
      <c r="K48" s="24">
        <f t="shared" si="16"/>
        <v>1</v>
      </c>
      <c r="L48" s="674"/>
      <c r="M48" s="24">
        <f t="shared" si="17"/>
        <v>1</v>
      </c>
      <c r="N48" s="674"/>
      <c r="O48" s="24">
        <f t="shared" si="18"/>
        <v>1</v>
      </c>
      <c r="P48" s="674"/>
      <c r="Q48" s="24">
        <f t="shared" si="19"/>
        <v>1</v>
      </c>
      <c r="R48" s="670">
        <f t="shared" si="20"/>
        <v>0</v>
      </c>
      <c r="S48" s="322">
        <f t="shared" si="11"/>
        <v>0</v>
      </c>
    </row>
    <row r="49" spans="1:19">
      <c r="A49" s="155"/>
      <c r="B49" s="57"/>
      <c r="C49" s="24">
        <f t="shared" si="12"/>
        <v>1</v>
      </c>
      <c r="D49" s="674"/>
      <c r="E49" s="24">
        <f t="shared" si="13"/>
        <v>1</v>
      </c>
      <c r="F49" s="674"/>
      <c r="G49" s="24">
        <f t="shared" si="14"/>
        <v>1</v>
      </c>
      <c r="H49" s="674"/>
      <c r="I49" s="24">
        <f t="shared" si="15"/>
        <v>1</v>
      </c>
      <c r="J49" s="674"/>
      <c r="K49" s="24">
        <f t="shared" si="16"/>
        <v>1</v>
      </c>
      <c r="L49" s="674"/>
      <c r="M49" s="24">
        <f t="shared" si="17"/>
        <v>1</v>
      </c>
      <c r="N49" s="674"/>
      <c r="O49" s="24">
        <f t="shared" si="18"/>
        <v>1</v>
      </c>
      <c r="P49" s="674"/>
      <c r="Q49" s="24">
        <f t="shared" si="19"/>
        <v>1</v>
      </c>
      <c r="R49" s="670">
        <f t="shared" si="20"/>
        <v>0</v>
      </c>
      <c r="S49" s="322">
        <f t="shared" si="11"/>
        <v>0</v>
      </c>
    </row>
    <row r="50" spans="1:19">
      <c r="A50" s="155"/>
      <c r="B50" s="57"/>
      <c r="C50" s="24">
        <f t="shared" si="12"/>
        <v>1</v>
      </c>
      <c r="D50" s="674"/>
      <c r="E50" s="24">
        <f t="shared" si="13"/>
        <v>1</v>
      </c>
      <c r="F50" s="674"/>
      <c r="G50" s="24">
        <f t="shared" si="14"/>
        <v>1</v>
      </c>
      <c r="H50" s="674"/>
      <c r="I50" s="24">
        <f t="shared" si="15"/>
        <v>1</v>
      </c>
      <c r="J50" s="674"/>
      <c r="K50" s="24">
        <f t="shared" si="16"/>
        <v>1</v>
      </c>
      <c r="L50" s="674"/>
      <c r="M50" s="24">
        <f t="shared" si="17"/>
        <v>1</v>
      </c>
      <c r="N50" s="674"/>
      <c r="O50" s="24">
        <f t="shared" si="18"/>
        <v>1</v>
      </c>
      <c r="P50" s="674"/>
      <c r="Q50" s="24">
        <f t="shared" si="19"/>
        <v>1</v>
      </c>
      <c r="R50" s="670">
        <f t="shared" si="20"/>
        <v>0</v>
      </c>
      <c r="S50" s="322">
        <f t="shared" si="11"/>
        <v>0</v>
      </c>
    </row>
    <row r="51" spans="1:19">
      <c r="A51" s="155"/>
      <c r="B51" s="57"/>
      <c r="C51" s="24">
        <f t="shared" si="12"/>
        <v>1</v>
      </c>
      <c r="D51" s="674"/>
      <c r="E51" s="24">
        <f t="shared" si="13"/>
        <v>1</v>
      </c>
      <c r="F51" s="674"/>
      <c r="G51" s="24">
        <f t="shared" si="14"/>
        <v>1</v>
      </c>
      <c r="H51" s="674"/>
      <c r="I51" s="24">
        <f t="shared" si="15"/>
        <v>1</v>
      </c>
      <c r="J51" s="674"/>
      <c r="K51" s="24">
        <f t="shared" si="16"/>
        <v>1</v>
      </c>
      <c r="L51" s="674"/>
      <c r="M51" s="24">
        <f t="shared" si="17"/>
        <v>1</v>
      </c>
      <c r="N51" s="674"/>
      <c r="O51" s="24">
        <f t="shared" si="18"/>
        <v>1</v>
      </c>
      <c r="P51" s="674"/>
      <c r="Q51" s="24">
        <f t="shared" si="19"/>
        <v>1</v>
      </c>
      <c r="R51" s="670">
        <f t="shared" si="20"/>
        <v>0</v>
      </c>
      <c r="S51" s="322">
        <f t="shared" si="11"/>
        <v>0</v>
      </c>
    </row>
    <row r="52" spans="1:19">
      <c r="A52" s="155"/>
      <c r="B52" s="57"/>
      <c r="C52" s="24">
        <f t="shared" si="12"/>
        <v>1</v>
      </c>
      <c r="D52" s="674"/>
      <c r="E52" s="24">
        <f t="shared" si="13"/>
        <v>1</v>
      </c>
      <c r="F52" s="674"/>
      <c r="G52" s="24">
        <f t="shared" si="14"/>
        <v>1</v>
      </c>
      <c r="H52" s="674"/>
      <c r="I52" s="24">
        <f t="shared" si="15"/>
        <v>1</v>
      </c>
      <c r="J52" s="674"/>
      <c r="K52" s="24">
        <f t="shared" si="16"/>
        <v>1</v>
      </c>
      <c r="L52" s="674"/>
      <c r="M52" s="24">
        <f t="shared" si="17"/>
        <v>1</v>
      </c>
      <c r="N52" s="674"/>
      <c r="O52" s="24">
        <f t="shared" si="18"/>
        <v>1</v>
      </c>
      <c r="P52" s="674"/>
      <c r="Q52" s="24">
        <f t="shared" si="19"/>
        <v>1</v>
      </c>
      <c r="R52" s="670">
        <f t="shared" si="20"/>
        <v>0</v>
      </c>
      <c r="S52" s="322">
        <f t="shared" si="11"/>
        <v>0</v>
      </c>
    </row>
    <row r="53" spans="1:19">
      <c r="A53" s="155"/>
      <c r="B53" s="57"/>
      <c r="C53" s="24">
        <f t="shared" si="12"/>
        <v>1</v>
      </c>
      <c r="D53" s="674"/>
      <c r="E53" s="24">
        <f t="shared" si="13"/>
        <v>1</v>
      </c>
      <c r="F53" s="674"/>
      <c r="G53" s="24">
        <f t="shared" si="14"/>
        <v>1</v>
      </c>
      <c r="H53" s="674"/>
      <c r="I53" s="24">
        <f t="shared" si="15"/>
        <v>1</v>
      </c>
      <c r="J53" s="674"/>
      <c r="K53" s="24">
        <f t="shared" si="16"/>
        <v>1</v>
      </c>
      <c r="L53" s="674"/>
      <c r="M53" s="24">
        <f t="shared" si="17"/>
        <v>1</v>
      </c>
      <c r="N53" s="674"/>
      <c r="O53" s="24">
        <f t="shared" si="18"/>
        <v>1</v>
      </c>
      <c r="P53" s="674"/>
      <c r="Q53" s="24">
        <f t="shared" si="19"/>
        <v>1</v>
      </c>
      <c r="R53" s="670">
        <f t="shared" si="20"/>
        <v>0</v>
      </c>
      <c r="S53" s="322">
        <f t="shared" si="11"/>
        <v>0</v>
      </c>
    </row>
    <row r="54" spans="1:19">
      <c r="A54" s="155"/>
      <c r="B54" s="57"/>
      <c r="C54" s="24">
        <f t="shared" si="12"/>
        <v>1</v>
      </c>
      <c r="D54" s="674"/>
      <c r="E54" s="24">
        <f t="shared" si="13"/>
        <v>1</v>
      </c>
      <c r="F54" s="674"/>
      <c r="G54" s="24">
        <f t="shared" si="14"/>
        <v>1</v>
      </c>
      <c r="H54" s="674"/>
      <c r="I54" s="24">
        <f t="shared" si="15"/>
        <v>1</v>
      </c>
      <c r="J54" s="674"/>
      <c r="K54" s="24">
        <f t="shared" si="16"/>
        <v>1</v>
      </c>
      <c r="L54" s="674"/>
      <c r="M54" s="24">
        <f t="shared" si="17"/>
        <v>1</v>
      </c>
      <c r="N54" s="674"/>
      <c r="O54" s="24">
        <f t="shared" si="18"/>
        <v>1</v>
      </c>
      <c r="P54" s="674"/>
      <c r="Q54" s="24">
        <f t="shared" si="19"/>
        <v>1</v>
      </c>
      <c r="R54" s="670">
        <f t="shared" si="20"/>
        <v>0</v>
      </c>
      <c r="S54" s="322">
        <f t="shared" si="11"/>
        <v>0</v>
      </c>
    </row>
    <row r="55" spans="1:19">
      <c r="A55" s="155"/>
      <c r="B55" s="57"/>
      <c r="C55" s="24">
        <f t="shared" si="12"/>
        <v>1</v>
      </c>
      <c r="D55" s="674"/>
      <c r="E55" s="24">
        <f t="shared" si="13"/>
        <v>1</v>
      </c>
      <c r="F55" s="674"/>
      <c r="G55" s="24">
        <f t="shared" si="14"/>
        <v>1</v>
      </c>
      <c r="H55" s="674"/>
      <c r="I55" s="24">
        <f t="shared" si="15"/>
        <v>1</v>
      </c>
      <c r="J55" s="674"/>
      <c r="K55" s="24">
        <f t="shared" si="16"/>
        <v>1</v>
      </c>
      <c r="L55" s="674"/>
      <c r="M55" s="24">
        <f t="shared" si="17"/>
        <v>1</v>
      </c>
      <c r="N55" s="674"/>
      <c r="O55" s="24">
        <f t="shared" si="18"/>
        <v>1</v>
      </c>
      <c r="P55" s="674"/>
      <c r="Q55" s="24">
        <f t="shared" si="19"/>
        <v>1</v>
      </c>
      <c r="R55" s="670">
        <f t="shared" si="20"/>
        <v>0</v>
      </c>
      <c r="S55" s="322">
        <f t="shared" ref="S55:S77" si="21">ROUND(R55*B55/10000,0)</f>
        <v>0</v>
      </c>
    </row>
    <row r="56" spans="1:19">
      <c r="A56" s="155"/>
      <c r="B56" s="57"/>
      <c r="C56" s="24">
        <f t="shared" si="12"/>
        <v>1</v>
      </c>
      <c r="D56" s="674"/>
      <c r="E56" s="24">
        <f t="shared" si="13"/>
        <v>1</v>
      </c>
      <c r="F56" s="674"/>
      <c r="G56" s="24">
        <f t="shared" si="14"/>
        <v>1</v>
      </c>
      <c r="H56" s="674"/>
      <c r="I56" s="24">
        <f t="shared" si="15"/>
        <v>1</v>
      </c>
      <c r="J56" s="674"/>
      <c r="K56" s="24">
        <f t="shared" si="16"/>
        <v>1</v>
      </c>
      <c r="L56" s="674"/>
      <c r="M56" s="24">
        <f t="shared" si="17"/>
        <v>1</v>
      </c>
      <c r="N56" s="674"/>
      <c r="O56" s="24">
        <f t="shared" si="18"/>
        <v>1</v>
      </c>
      <c r="P56" s="674"/>
      <c r="Q56" s="24">
        <f t="shared" si="19"/>
        <v>1</v>
      </c>
      <c r="R56" s="670">
        <f t="shared" si="20"/>
        <v>0</v>
      </c>
      <c r="S56" s="322">
        <f t="shared" si="21"/>
        <v>0</v>
      </c>
    </row>
    <row r="57" spans="1:19">
      <c r="A57" s="155"/>
      <c r="B57" s="57"/>
      <c r="C57" s="24">
        <f t="shared" si="12"/>
        <v>1</v>
      </c>
      <c r="D57" s="674"/>
      <c r="E57" s="24">
        <f t="shared" si="13"/>
        <v>1</v>
      </c>
      <c r="F57" s="674"/>
      <c r="G57" s="24">
        <f t="shared" si="14"/>
        <v>1</v>
      </c>
      <c r="H57" s="674"/>
      <c r="I57" s="24">
        <f t="shared" si="15"/>
        <v>1</v>
      </c>
      <c r="J57" s="674"/>
      <c r="K57" s="24">
        <f t="shared" si="16"/>
        <v>1</v>
      </c>
      <c r="L57" s="674"/>
      <c r="M57" s="24">
        <f t="shared" si="17"/>
        <v>1</v>
      </c>
      <c r="N57" s="674"/>
      <c r="O57" s="24">
        <f t="shared" si="18"/>
        <v>1</v>
      </c>
      <c r="P57" s="674"/>
      <c r="Q57" s="24">
        <f t="shared" si="19"/>
        <v>1</v>
      </c>
      <c r="R57" s="670">
        <f t="shared" si="20"/>
        <v>0</v>
      </c>
      <c r="S57" s="322">
        <f t="shared" si="21"/>
        <v>0</v>
      </c>
    </row>
    <row r="58" spans="1:19">
      <c r="A58" s="155"/>
      <c r="B58" s="57"/>
      <c r="C58" s="24">
        <f t="shared" si="12"/>
        <v>1</v>
      </c>
      <c r="D58" s="674"/>
      <c r="E58" s="24">
        <f t="shared" si="13"/>
        <v>1</v>
      </c>
      <c r="F58" s="674"/>
      <c r="G58" s="24">
        <f t="shared" si="14"/>
        <v>1</v>
      </c>
      <c r="H58" s="674"/>
      <c r="I58" s="24">
        <f t="shared" si="15"/>
        <v>1</v>
      </c>
      <c r="J58" s="674"/>
      <c r="K58" s="24">
        <f t="shared" si="16"/>
        <v>1</v>
      </c>
      <c r="L58" s="674"/>
      <c r="M58" s="24">
        <f t="shared" si="17"/>
        <v>1</v>
      </c>
      <c r="N58" s="674"/>
      <c r="O58" s="24">
        <f t="shared" si="18"/>
        <v>1</v>
      </c>
      <c r="P58" s="674"/>
      <c r="Q58" s="24">
        <f t="shared" si="19"/>
        <v>1</v>
      </c>
      <c r="R58" s="670">
        <f t="shared" si="20"/>
        <v>0</v>
      </c>
      <c r="S58" s="322">
        <f t="shared" si="21"/>
        <v>0</v>
      </c>
    </row>
    <row r="59" spans="1:19">
      <c r="A59" s="155"/>
      <c r="B59" s="57"/>
      <c r="C59" s="24">
        <f t="shared" si="12"/>
        <v>1</v>
      </c>
      <c r="D59" s="674"/>
      <c r="E59" s="24">
        <f t="shared" si="13"/>
        <v>1</v>
      </c>
      <c r="F59" s="674"/>
      <c r="G59" s="24">
        <f t="shared" si="14"/>
        <v>1</v>
      </c>
      <c r="H59" s="674"/>
      <c r="I59" s="24">
        <f t="shared" si="15"/>
        <v>1</v>
      </c>
      <c r="J59" s="674"/>
      <c r="K59" s="24">
        <f t="shared" si="16"/>
        <v>1</v>
      </c>
      <c r="L59" s="674"/>
      <c r="M59" s="24">
        <f t="shared" si="17"/>
        <v>1</v>
      </c>
      <c r="N59" s="674"/>
      <c r="O59" s="24">
        <f t="shared" si="18"/>
        <v>1</v>
      </c>
      <c r="P59" s="674"/>
      <c r="Q59" s="24">
        <f t="shared" si="19"/>
        <v>1</v>
      </c>
      <c r="R59" s="670">
        <f t="shared" si="20"/>
        <v>0</v>
      </c>
      <c r="S59" s="322">
        <f t="shared" si="21"/>
        <v>0</v>
      </c>
    </row>
    <row r="60" spans="1:19">
      <c r="A60" s="155"/>
      <c r="B60" s="57"/>
      <c r="C60" s="24">
        <f t="shared" si="12"/>
        <v>1</v>
      </c>
      <c r="D60" s="674"/>
      <c r="E60" s="24">
        <f t="shared" si="13"/>
        <v>1</v>
      </c>
      <c r="F60" s="674"/>
      <c r="G60" s="24">
        <f t="shared" si="14"/>
        <v>1</v>
      </c>
      <c r="H60" s="674"/>
      <c r="I60" s="24">
        <f t="shared" si="15"/>
        <v>1</v>
      </c>
      <c r="J60" s="674"/>
      <c r="K60" s="24">
        <f t="shared" si="16"/>
        <v>1</v>
      </c>
      <c r="L60" s="674"/>
      <c r="M60" s="24">
        <f t="shared" si="17"/>
        <v>1</v>
      </c>
      <c r="N60" s="674"/>
      <c r="O60" s="24">
        <f t="shared" si="18"/>
        <v>1</v>
      </c>
      <c r="P60" s="674"/>
      <c r="Q60" s="24">
        <f t="shared" si="19"/>
        <v>1</v>
      </c>
      <c r="R60" s="670">
        <f t="shared" si="20"/>
        <v>0</v>
      </c>
      <c r="S60" s="322">
        <f t="shared" si="21"/>
        <v>0</v>
      </c>
    </row>
    <row r="61" spans="1:19">
      <c r="A61" s="155"/>
      <c r="B61" s="57"/>
      <c r="C61" s="24">
        <f t="shared" si="12"/>
        <v>1</v>
      </c>
      <c r="D61" s="674"/>
      <c r="E61" s="24">
        <f t="shared" si="13"/>
        <v>1</v>
      </c>
      <c r="F61" s="674"/>
      <c r="G61" s="24">
        <f t="shared" si="14"/>
        <v>1</v>
      </c>
      <c r="H61" s="674"/>
      <c r="I61" s="24">
        <f t="shared" si="15"/>
        <v>1</v>
      </c>
      <c r="J61" s="674"/>
      <c r="K61" s="24">
        <f t="shared" si="16"/>
        <v>1</v>
      </c>
      <c r="L61" s="674"/>
      <c r="M61" s="24">
        <f t="shared" si="17"/>
        <v>1</v>
      </c>
      <c r="N61" s="674"/>
      <c r="O61" s="24">
        <f t="shared" si="18"/>
        <v>1</v>
      </c>
      <c r="P61" s="674"/>
      <c r="Q61" s="24">
        <f t="shared" si="19"/>
        <v>1</v>
      </c>
      <c r="R61" s="670">
        <f t="shared" si="20"/>
        <v>0</v>
      </c>
      <c r="S61" s="322">
        <f t="shared" si="21"/>
        <v>0</v>
      </c>
    </row>
    <row r="62" spans="1:19">
      <c r="A62" s="155"/>
      <c r="B62" s="57"/>
      <c r="C62" s="24">
        <f t="shared" si="12"/>
        <v>1</v>
      </c>
      <c r="D62" s="674"/>
      <c r="E62" s="24">
        <f t="shared" si="13"/>
        <v>1</v>
      </c>
      <c r="F62" s="674"/>
      <c r="G62" s="24">
        <f t="shared" si="14"/>
        <v>1</v>
      </c>
      <c r="H62" s="674"/>
      <c r="I62" s="24">
        <f t="shared" si="15"/>
        <v>1</v>
      </c>
      <c r="J62" s="674"/>
      <c r="K62" s="24">
        <f t="shared" si="16"/>
        <v>1</v>
      </c>
      <c r="L62" s="674"/>
      <c r="M62" s="24">
        <f t="shared" si="17"/>
        <v>1</v>
      </c>
      <c r="N62" s="674"/>
      <c r="O62" s="24">
        <f t="shared" si="18"/>
        <v>1</v>
      </c>
      <c r="P62" s="674"/>
      <c r="Q62" s="24">
        <f t="shared" si="19"/>
        <v>1</v>
      </c>
      <c r="R62" s="670">
        <f t="shared" si="20"/>
        <v>0</v>
      </c>
      <c r="S62" s="322">
        <f t="shared" si="21"/>
        <v>0</v>
      </c>
    </row>
    <row r="63" spans="1:19">
      <c r="A63" s="155"/>
      <c r="B63" s="57"/>
      <c r="C63" s="24">
        <f t="shared" si="12"/>
        <v>1</v>
      </c>
      <c r="D63" s="674"/>
      <c r="E63" s="24">
        <f t="shared" si="13"/>
        <v>1</v>
      </c>
      <c r="F63" s="674"/>
      <c r="G63" s="24">
        <f t="shared" si="14"/>
        <v>1</v>
      </c>
      <c r="H63" s="674"/>
      <c r="I63" s="24">
        <f t="shared" si="15"/>
        <v>1</v>
      </c>
      <c r="J63" s="674"/>
      <c r="K63" s="24">
        <f t="shared" si="16"/>
        <v>1</v>
      </c>
      <c r="L63" s="674"/>
      <c r="M63" s="24">
        <f t="shared" si="17"/>
        <v>1</v>
      </c>
      <c r="N63" s="674"/>
      <c r="O63" s="24">
        <f t="shared" si="18"/>
        <v>1</v>
      </c>
      <c r="P63" s="674"/>
      <c r="Q63" s="24">
        <f t="shared" si="19"/>
        <v>1</v>
      </c>
      <c r="R63" s="670">
        <f t="shared" si="20"/>
        <v>0</v>
      </c>
      <c r="S63" s="322">
        <f t="shared" si="21"/>
        <v>0</v>
      </c>
    </row>
    <row r="64" spans="1:19">
      <c r="A64" s="155"/>
      <c r="B64" s="57"/>
      <c r="C64" s="24">
        <f t="shared" si="12"/>
        <v>1</v>
      </c>
      <c r="D64" s="674"/>
      <c r="E64" s="24">
        <f t="shared" si="13"/>
        <v>1</v>
      </c>
      <c r="F64" s="674"/>
      <c r="G64" s="24">
        <f t="shared" si="14"/>
        <v>1</v>
      </c>
      <c r="H64" s="674"/>
      <c r="I64" s="24">
        <f t="shared" si="15"/>
        <v>1</v>
      </c>
      <c r="J64" s="674"/>
      <c r="K64" s="24">
        <f t="shared" si="16"/>
        <v>1</v>
      </c>
      <c r="L64" s="674"/>
      <c r="M64" s="24">
        <f t="shared" si="17"/>
        <v>1</v>
      </c>
      <c r="N64" s="674"/>
      <c r="O64" s="24">
        <f t="shared" si="18"/>
        <v>1</v>
      </c>
      <c r="P64" s="674"/>
      <c r="Q64" s="24">
        <f t="shared" si="19"/>
        <v>1</v>
      </c>
      <c r="R64" s="670">
        <f t="shared" si="20"/>
        <v>0</v>
      </c>
      <c r="S64" s="322">
        <f t="shared" si="21"/>
        <v>0</v>
      </c>
    </row>
    <row r="65" spans="1:19">
      <c r="A65" s="155"/>
      <c r="B65" s="57"/>
      <c r="C65" s="24">
        <f t="shared" si="12"/>
        <v>1</v>
      </c>
      <c r="D65" s="674"/>
      <c r="E65" s="24">
        <f t="shared" si="13"/>
        <v>1</v>
      </c>
      <c r="F65" s="674"/>
      <c r="G65" s="24">
        <f t="shared" si="14"/>
        <v>1</v>
      </c>
      <c r="H65" s="674"/>
      <c r="I65" s="24">
        <f t="shared" si="15"/>
        <v>1</v>
      </c>
      <c r="J65" s="674"/>
      <c r="K65" s="24">
        <f t="shared" si="16"/>
        <v>1</v>
      </c>
      <c r="L65" s="674"/>
      <c r="M65" s="24">
        <f t="shared" si="17"/>
        <v>1</v>
      </c>
      <c r="N65" s="674"/>
      <c r="O65" s="24">
        <f t="shared" si="18"/>
        <v>1</v>
      </c>
      <c r="P65" s="674"/>
      <c r="Q65" s="24">
        <f t="shared" si="19"/>
        <v>1</v>
      </c>
      <c r="R65" s="670">
        <f t="shared" si="20"/>
        <v>0</v>
      </c>
      <c r="S65" s="322">
        <f t="shared" si="21"/>
        <v>0</v>
      </c>
    </row>
    <row r="66" spans="1:19">
      <c r="A66" s="155"/>
      <c r="B66" s="57"/>
      <c r="C66" s="24">
        <f t="shared" si="12"/>
        <v>1</v>
      </c>
      <c r="D66" s="674"/>
      <c r="E66" s="24">
        <f t="shared" si="13"/>
        <v>1</v>
      </c>
      <c r="F66" s="674"/>
      <c r="G66" s="24">
        <f t="shared" si="14"/>
        <v>1</v>
      </c>
      <c r="H66" s="674"/>
      <c r="I66" s="24">
        <f t="shared" si="15"/>
        <v>1</v>
      </c>
      <c r="J66" s="674"/>
      <c r="K66" s="24">
        <f t="shared" si="16"/>
        <v>1</v>
      </c>
      <c r="L66" s="674"/>
      <c r="M66" s="24">
        <f t="shared" si="17"/>
        <v>1</v>
      </c>
      <c r="N66" s="674"/>
      <c r="O66" s="24">
        <f t="shared" si="18"/>
        <v>1</v>
      </c>
      <c r="P66" s="674"/>
      <c r="Q66" s="24">
        <f t="shared" si="19"/>
        <v>1</v>
      </c>
      <c r="R66" s="670">
        <f t="shared" si="20"/>
        <v>0</v>
      </c>
      <c r="S66" s="322">
        <f t="shared" si="21"/>
        <v>0</v>
      </c>
    </row>
    <row r="67" spans="1:19">
      <c r="A67" s="155"/>
      <c r="B67" s="57"/>
      <c r="C67" s="24">
        <f t="shared" si="12"/>
        <v>1</v>
      </c>
      <c r="D67" s="674"/>
      <c r="E67" s="24">
        <f t="shared" si="13"/>
        <v>1</v>
      </c>
      <c r="F67" s="674"/>
      <c r="G67" s="24">
        <f t="shared" si="14"/>
        <v>1</v>
      </c>
      <c r="H67" s="674"/>
      <c r="I67" s="24">
        <f t="shared" si="15"/>
        <v>1</v>
      </c>
      <c r="J67" s="674"/>
      <c r="K67" s="24">
        <f t="shared" si="16"/>
        <v>1</v>
      </c>
      <c r="L67" s="674"/>
      <c r="M67" s="24">
        <f t="shared" si="17"/>
        <v>1</v>
      </c>
      <c r="N67" s="674"/>
      <c r="O67" s="24">
        <f t="shared" si="18"/>
        <v>1</v>
      </c>
      <c r="P67" s="674"/>
      <c r="Q67" s="24">
        <f t="shared" si="19"/>
        <v>1</v>
      </c>
      <c r="R67" s="670">
        <f t="shared" si="20"/>
        <v>0</v>
      </c>
      <c r="S67" s="322">
        <f t="shared" si="21"/>
        <v>0</v>
      </c>
    </row>
    <row r="68" spans="1:19">
      <c r="A68" s="155"/>
      <c r="B68" s="57"/>
      <c r="C68" s="24">
        <f t="shared" si="12"/>
        <v>1</v>
      </c>
      <c r="D68" s="674"/>
      <c r="E68" s="24">
        <f t="shared" si="13"/>
        <v>1</v>
      </c>
      <c r="F68" s="674"/>
      <c r="G68" s="24">
        <f t="shared" si="14"/>
        <v>1</v>
      </c>
      <c r="H68" s="674"/>
      <c r="I68" s="24">
        <f t="shared" si="15"/>
        <v>1</v>
      </c>
      <c r="J68" s="674"/>
      <c r="K68" s="24">
        <f t="shared" si="16"/>
        <v>1</v>
      </c>
      <c r="L68" s="674"/>
      <c r="M68" s="24">
        <f t="shared" si="17"/>
        <v>1</v>
      </c>
      <c r="N68" s="674"/>
      <c r="O68" s="24">
        <f t="shared" si="18"/>
        <v>1</v>
      </c>
      <c r="P68" s="674"/>
      <c r="Q68" s="24">
        <f t="shared" si="19"/>
        <v>1</v>
      </c>
      <c r="R68" s="670">
        <f t="shared" si="20"/>
        <v>0</v>
      </c>
      <c r="S68" s="322">
        <f t="shared" si="21"/>
        <v>0</v>
      </c>
    </row>
    <row r="69" spans="1:19">
      <c r="A69" s="155"/>
      <c r="B69" s="57"/>
      <c r="C69" s="24">
        <f t="shared" si="12"/>
        <v>1</v>
      </c>
      <c r="D69" s="674"/>
      <c r="E69" s="24">
        <f t="shared" si="13"/>
        <v>1</v>
      </c>
      <c r="F69" s="674"/>
      <c r="G69" s="24">
        <f t="shared" si="14"/>
        <v>1</v>
      </c>
      <c r="H69" s="674"/>
      <c r="I69" s="24">
        <f t="shared" si="15"/>
        <v>1</v>
      </c>
      <c r="J69" s="674"/>
      <c r="K69" s="24">
        <f t="shared" si="16"/>
        <v>1</v>
      </c>
      <c r="L69" s="674"/>
      <c r="M69" s="24">
        <f t="shared" si="17"/>
        <v>1</v>
      </c>
      <c r="N69" s="674"/>
      <c r="O69" s="24">
        <f t="shared" si="18"/>
        <v>1</v>
      </c>
      <c r="P69" s="674"/>
      <c r="Q69" s="24">
        <f t="shared" si="19"/>
        <v>1</v>
      </c>
      <c r="R69" s="670">
        <f t="shared" si="20"/>
        <v>0</v>
      </c>
      <c r="S69" s="322">
        <f t="shared" si="21"/>
        <v>0</v>
      </c>
    </row>
    <row r="70" spans="1:19">
      <c r="A70" s="155"/>
      <c r="B70" s="57"/>
      <c r="C70" s="24">
        <f t="shared" si="12"/>
        <v>1</v>
      </c>
      <c r="D70" s="674"/>
      <c r="E70" s="24">
        <f t="shared" si="13"/>
        <v>1</v>
      </c>
      <c r="F70" s="674"/>
      <c r="G70" s="24">
        <f t="shared" si="14"/>
        <v>1</v>
      </c>
      <c r="H70" s="674"/>
      <c r="I70" s="24">
        <f t="shared" si="15"/>
        <v>1</v>
      </c>
      <c r="J70" s="674"/>
      <c r="K70" s="24">
        <f t="shared" si="16"/>
        <v>1</v>
      </c>
      <c r="L70" s="674"/>
      <c r="M70" s="24">
        <f t="shared" si="17"/>
        <v>1</v>
      </c>
      <c r="N70" s="674"/>
      <c r="O70" s="24">
        <f t="shared" si="18"/>
        <v>1</v>
      </c>
      <c r="P70" s="674"/>
      <c r="Q70" s="24">
        <f t="shared" si="19"/>
        <v>1</v>
      </c>
      <c r="R70" s="670">
        <f t="shared" si="20"/>
        <v>0</v>
      </c>
      <c r="S70" s="322">
        <f t="shared" si="21"/>
        <v>0</v>
      </c>
    </row>
    <row r="71" spans="1:19">
      <c r="A71" s="155"/>
      <c r="B71" s="57"/>
      <c r="C71" s="24">
        <f t="shared" si="12"/>
        <v>1</v>
      </c>
      <c r="D71" s="674"/>
      <c r="E71" s="24">
        <f t="shared" si="13"/>
        <v>1</v>
      </c>
      <c r="F71" s="674"/>
      <c r="G71" s="24">
        <f t="shared" si="14"/>
        <v>1</v>
      </c>
      <c r="H71" s="674"/>
      <c r="I71" s="24">
        <f t="shared" si="15"/>
        <v>1</v>
      </c>
      <c r="J71" s="674"/>
      <c r="K71" s="24">
        <f t="shared" si="16"/>
        <v>1</v>
      </c>
      <c r="L71" s="674"/>
      <c r="M71" s="24">
        <f t="shared" si="17"/>
        <v>1</v>
      </c>
      <c r="N71" s="674"/>
      <c r="O71" s="24">
        <f t="shared" si="18"/>
        <v>1</v>
      </c>
      <c r="P71" s="674"/>
      <c r="Q71" s="24">
        <f t="shared" si="19"/>
        <v>1</v>
      </c>
      <c r="R71" s="670">
        <f t="shared" si="20"/>
        <v>0</v>
      </c>
      <c r="S71" s="322">
        <f t="shared" si="21"/>
        <v>0</v>
      </c>
    </row>
    <row r="72" spans="1:19">
      <c r="A72" s="155"/>
      <c r="B72" s="57"/>
      <c r="C72" s="24">
        <f t="shared" si="12"/>
        <v>1</v>
      </c>
      <c r="D72" s="674"/>
      <c r="E72" s="24">
        <f t="shared" si="13"/>
        <v>1</v>
      </c>
      <c r="F72" s="674"/>
      <c r="G72" s="24">
        <f t="shared" si="14"/>
        <v>1</v>
      </c>
      <c r="H72" s="674"/>
      <c r="I72" s="24">
        <f t="shared" si="15"/>
        <v>1</v>
      </c>
      <c r="J72" s="674"/>
      <c r="K72" s="24">
        <f t="shared" si="16"/>
        <v>1</v>
      </c>
      <c r="L72" s="674"/>
      <c r="M72" s="24">
        <f t="shared" si="17"/>
        <v>1</v>
      </c>
      <c r="N72" s="674"/>
      <c r="O72" s="24">
        <f t="shared" si="18"/>
        <v>1</v>
      </c>
      <c r="P72" s="674"/>
      <c r="Q72" s="24">
        <f t="shared" si="19"/>
        <v>1</v>
      </c>
      <c r="R72" s="670">
        <f t="shared" si="20"/>
        <v>0</v>
      </c>
      <c r="S72" s="322">
        <f t="shared" si="21"/>
        <v>0</v>
      </c>
    </row>
    <row r="73" spans="1:19">
      <c r="A73" s="155"/>
      <c r="B73" s="57"/>
      <c r="C73" s="24">
        <f t="shared" si="12"/>
        <v>1</v>
      </c>
      <c r="D73" s="674"/>
      <c r="E73" s="24">
        <f t="shared" si="13"/>
        <v>1</v>
      </c>
      <c r="F73" s="674"/>
      <c r="G73" s="24">
        <f t="shared" si="14"/>
        <v>1</v>
      </c>
      <c r="H73" s="674"/>
      <c r="I73" s="24">
        <f t="shared" si="15"/>
        <v>1</v>
      </c>
      <c r="J73" s="674"/>
      <c r="K73" s="24">
        <f t="shared" si="16"/>
        <v>1</v>
      </c>
      <c r="L73" s="674"/>
      <c r="M73" s="24">
        <f t="shared" si="17"/>
        <v>1</v>
      </c>
      <c r="N73" s="674"/>
      <c r="O73" s="24">
        <f t="shared" si="18"/>
        <v>1</v>
      </c>
      <c r="P73" s="674"/>
      <c r="Q73" s="24">
        <f t="shared" si="19"/>
        <v>1</v>
      </c>
      <c r="R73" s="670">
        <f t="shared" si="20"/>
        <v>0</v>
      </c>
      <c r="S73" s="322">
        <f t="shared" si="21"/>
        <v>0</v>
      </c>
    </row>
    <row r="74" spans="1:19">
      <c r="A74" s="155"/>
      <c r="B74" s="57"/>
      <c r="C74" s="24">
        <f t="shared" si="12"/>
        <v>1</v>
      </c>
      <c r="D74" s="674"/>
      <c r="E74" s="24">
        <f t="shared" si="13"/>
        <v>1</v>
      </c>
      <c r="F74" s="674"/>
      <c r="G74" s="24">
        <f t="shared" si="14"/>
        <v>1</v>
      </c>
      <c r="H74" s="674"/>
      <c r="I74" s="24">
        <f t="shared" si="15"/>
        <v>1</v>
      </c>
      <c r="J74" s="674"/>
      <c r="K74" s="24">
        <f t="shared" si="16"/>
        <v>1</v>
      </c>
      <c r="L74" s="674"/>
      <c r="M74" s="24">
        <f t="shared" si="17"/>
        <v>1</v>
      </c>
      <c r="N74" s="674"/>
      <c r="O74" s="24">
        <f t="shared" si="18"/>
        <v>1</v>
      </c>
      <c r="P74" s="674"/>
      <c r="Q74" s="24">
        <f t="shared" si="19"/>
        <v>1</v>
      </c>
      <c r="R74" s="670">
        <f t="shared" si="20"/>
        <v>0</v>
      </c>
      <c r="S74" s="322">
        <f t="shared" si="21"/>
        <v>0</v>
      </c>
    </row>
    <row r="75" spans="1:19">
      <c r="A75" s="155"/>
      <c r="B75" s="57"/>
      <c r="C75" s="24">
        <f t="shared" si="12"/>
        <v>1</v>
      </c>
      <c r="D75" s="674"/>
      <c r="E75" s="24">
        <f t="shared" si="13"/>
        <v>1</v>
      </c>
      <c r="F75" s="674"/>
      <c r="G75" s="24">
        <f t="shared" si="14"/>
        <v>1</v>
      </c>
      <c r="H75" s="674"/>
      <c r="I75" s="24">
        <f t="shared" si="15"/>
        <v>1</v>
      </c>
      <c r="J75" s="674"/>
      <c r="K75" s="24">
        <f t="shared" si="16"/>
        <v>1</v>
      </c>
      <c r="L75" s="674"/>
      <c r="M75" s="24">
        <f t="shared" si="17"/>
        <v>1</v>
      </c>
      <c r="N75" s="674"/>
      <c r="O75" s="24">
        <f t="shared" si="18"/>
        <v>1</v>
      </c>
      <c r="P75" s="674"/>
      <c r="Q75" s="24">
        <f t="shared" si="19"/>
        <v>1</v>
      </c>
      <c r="R75" s="670">
        <f t="shared" si="20"/>
        <v>0</v>
      </c>
      <c r="S75" s="322">
        <f t="shared" si="21"/>
        <v>0</v>
      </c>
    </row>
    <row r="76" spans="1:19">
      <c r="A76" s="155"/>
      <c r="B76" s="57"/>
      <c r="C76" s="24">
        <f t="shared" si="12"/>
        <v>1</v>
      </c>
      <c r="D76" s="674"/>
      <c r="E76" s="24">
        <f t="shared" si="13"/>
        <v>1</v>
      </c>
      <c r="F76" s="674"/>
      <c r="G76" s="24">
        <f t="shared" si="14"/>
        <v>1</v>
      </c>
      <c r="H76" s="674"/>
      <c r="I76" s="24">
        <f t="shared" si="15"/>
        <v>1</v>
      </c>
      <c r="J76" s="674"/>
      <c r="K76" s="24">
        <f t="shared" si="16"/>
        <v>1</v>
      </c>
      <c r="L76" s="674"/>
      <c r="M76" s="24">
        <f t="shared" si="17"/>
        <v>1</v>
      </c>
      <c r="N76" s="674"/>
      <c r="O76" s="24">
        <f t="shared" si="18"/>
        <v>1</v>
      </c>
      <c r="P76" s="674"/>
      <c r="Q76" s="24">
        <f t="shared" si="19"/>
        <v>1</v>
      </c>
      <c r="R76" s="670">
        <f t="shared" si="20"/>
        <v>0</v>
      </c>
      <c r="S76" s="322">
        <f t="shared" si="21"/>
        <v>0</v>
      </c>
    </row>
    <row r="77" spans="1:19">
      <c r="A77" s="155"/>
      <c r="B77" s="57"/>
      <c r="C77" s="24">
        <f t="shared" si="12"/>
        <v>1</v>
      </c>
      <c r="D77" s="674"/>
      <c r="E77" s="24">
        <f t="shared" si="13"/>
        <v>1</v>
      </c>
      <c r="F77" s="674"/>
      <c r="G77" s="24">
        <f t="shared" si="14"/>
        <v>1</v>
      </c>
      <c r="H77" s="674"/>
      <c r="I77" s="24">
        <f t="shared" si="15"/>
        <v>1</v>
      </c>
      <c r="J77" s="674"/>
      <c r="K77" s="24">
        <f t="shared" si="16"/>
        <v>1</v>
      </c>
      <c r="L77" s="674"/>
      <c r="M77" s="24">
        <f t="shared" si="17"/>
        <v>1</v>
      </c>
      <c r="N77" s="674"/>
      <c r="O77" s="24">
        <f t="shared" si="18"/>
        <v>1</v>
      </c>
      <c r="P77" s="674"/>
      <c r="Q77" s="24">
        <f t="shared" si="19"/>
        <v>1</v>
      </c>
      <c r="R77" s="670">
        <f t="shared" si="20"/>
        <v>0</v>
      </c>
      <c r="S77" s="322">
        <f t="shared" si="21"/>
        <v>0</v>
      </c>
    </row>
    <row r="78" spans="1:19">
      <c r="A78" s="155"/>
      <c r="B78" s="57"/>
      <c r="C78" s="24">
        <f t="shared" si="12"/>
        <v>1</v>
      </c>
      <c r="D78" s="674"/>
      <c r="E78" s="24">
        <f t="shared" si="13"/>
        <v>1</v>
      </c>
      <c r="F78" s="674"/>
      <c r="G78" s="24">
        <f t="shared" si="14"/>
        <v>1</v>
      </c>
      <c r="H78" s="674"/>
      <c r="I78" s="24">
        <f t="shared" si="15"/>
        <v>1</v>
      </c>
      <c r="J78" s="674"/>
      <c r="K78" s="24">
        <f t="shared" si="16"/>
        <v>1</v>
      </c>
      <c r="L78" s="674"/>
      <c r="M78" s="24">
        <f t="shared" si="17"/>
        <v>1</v>
      </c>
      <c r="N78" s="674"/>
      <c r="O78" s="24">
        <f t="shared" si="18"/>
        <v>1</v>
      </c>
      <c r="P78" s="674"/>
      <c r="Q78" s="24">
        <f t="shared" si="19"/>
        <v>1</v>
      </c>
      <c r="R78" s="670">
        <f t="shared" si="20"/>
        <v>0</v>
      </c>
      <c r="S78" s="322">
        <f t="shared" ref="S78:S122" si="22">ROUND(R78*B78/10000,0)</f>
        <v>0</v>
      </c>
    </row>
    <row r="79" spans="1:19">
      <c r="A79" s="155"/>
      <c r="B79" s="57"/>
      <c r="C79" s="24">
        <f t="shared" si="12"/>
        <v>1</v>
      </c>
      <c r="D79" s="674"/>
      <c r="E79" s="24">
        <f t="shared" si="13"/>
        <v>1</v>
      </c>
      <c r="F79" s="674"/>
      <c r="G79" s="24">
        <f t="shared" si="14"/>
        <v>1</v>
      </c>
      <c r="H79" s="674"/>
      <c r="I79" s="24">
        <f t="shared" si="15"/>
        <v>1</v>
      </c>
      <c r="J79" s="674"/>
      <c r="K79" s="24">
        <f t="shared" si="16"/>
        <v>1</v>
      </c>
      <c r="L79" s="674"/>
      <c r="M79" s="24">
        <f t="shared" si="17"/>
        <v>1</v>
      </c>
      <c r="N79" s="674"/>
      <c r="O79" s="24">
        <f t="shared" si="18"/>
        <v>1</v>
      </c>
      <c r="P79" s="674"/>
      <c r="Q79" s="24">
        <f t="shared" si="19"/>
        <v>1</v>
      </c>
      <c r="R79" s="670">
        <f t="shared" si="20"/>
        <v>0</v>
      </c>
      <c r="S79" s="322">
        <f t="shared" si="22"/>
        <v>0</v>
      </c>
    </row>
    <row r="80" spans="1:19">
      <c r="A80" s="155"/>
      <c r="B80" s="57"/>
      <c r="C80" s="24">
        <f t="shared" si="12"/>
        <v>1</v>
      </c>
      <c r="D80" s="674"/>
      <c r="E80" s="24">
        <f t="shared" si="13"/>
        <v>1</v>
      </c>
      <c r="F80" s="674"/>
      <c r="G80" s="24">
        <f t="shared" si="14"/>
        <v>1</v>
      </c>
      <c r="H80" s="674"/>
      <c r="I80" s="24">
        <f t="shared" si="15"/>
        <v>1</v>
      </c>
      <c r="J80" s="674"/>
      <c r="K80" s="24">
        <f t="shared" si="16"/>
        <v>1</v>
      </c>
      <c r="L80" s="674"/>
      <c r="M80" s="24">
        <f t="shared" si="17"/>
        <v>1</v>
      </c>
      <c r="N80" s="674"/>
      <c r="O80" s="24">
        <f t="shared" si="18"/>
        <v>1</v>
      </c>
      <c r="P80" s="674"/>
      <c r="Q80" s="24">
        <f t="shared" si="19"/>
        <v>1</v>
      </c>
      <c r="R80" s="670">
        <f t="shared" si="20"/>
        <v>0</v>
      </c>
      <c r="S80" s="322">
        <f t="shared" si="22"/>
        <v>0</v>
      </c>
    </row>
    <row r="81" spans="1:19">
      <c r="A81" s="155"/>
      <c r="B81" s="57"/>
      <c r="C81" s="24">
        <f t="shared" si="12"/>
        <v>1</v>
      </c>
      <c r="D81" s="674"/>
      <c r="E81" s="24">
        <f t="shared" si="13"/>
        <v>1</v>
      </c>
      <c r="F81" s="674"/>
      <c r="G81" s="24">
        <f t="shared" si="14"/>
        <v>1</v>
      </c>
      <c r="H81" s="674"/>
      <c r="I81" s="24">
        <f t="shared" si="15"/>
        <v>1</v>
      </c>
      <c r="J81" s="674"/>
      <c r="K81" s="24">
        <f t="shared" si="16"/>
        <v>1</v>
      </c>
      <c r="L81" s="674"/>
      <c r="M81" s="24">
        <f t="shared" si="17"/>
        <v>1</v>
      </c>
      <c r="N81" s="674"/>
      <c r="O81" s="24">
        <f t="shared" si="18"/>
        <v>1</v>
      </c>
      <c r="P81" s="674"/>
      <c r="Q81" s="24">
        <f t="shared" si="19"/>
        <v>1</v>
      </c>
      <c r="R81" s="670">
        <f t="shared" si="20"/>
        <v>0</v>
      </c>
      <c r="S81" s="322">
        <f t="shared" si="22"/>
        <v>0</v>
      </c>
    </row>
    <row r="82" spans="1:19">
      <c r="A82" s="155"/>
      <c r="B82" s="57"/>
      <c r="C82" s="24">
        <f t="shared" si="12"/>
        <v>1</v>
      </c>
      <c r="D82" s="674"/>
      <c r="E82" s="24">
        <f t="shared" si="13"/>
        <v>1</v>
      </c>
      <c r="F82" s="674"/>
      <c r="G82" s="24">
        <f t="shared" si="14"/>
        <v>1</v>
      </c>
      <c r="H82" s="674"/>
      <c r="I82" s="24">
        <f t="shared" si="15"/>
        <v>1</v>
      </c>
      <c r="J82" s="674"/>
      <c r="K82" s="24">
        <f t="shared" si="16"/>
        <v>1</v>
      </c>
      <c r="L82" s="674"/>
      <c r="M82" s="24">
        <f t="shared" si="17"/>
        <v>1</v>
      </c>
      <c r="N82" s="674"/>
      <c r="O82" s="24">
        <f t="shared" si="18"/>
        <v>1</v>
      </c>
      <c r="P82" s="674"/>
      <c r="Q82" s="24">
        <f t="shared" si="19"/>
        <v>1</v>
      </c>
      <c r="R82" s="670">
        <f t="shared" si="20"/>
        <v>0</v>
      </c>
      <c r="S82" s="322">
        <f t="shared" si="22"/>
        <v>0</v>
      </c>
    </row>
    <row r="83" spans="1:19">
      <c r="A83" s="155"/>
      <c r="B83" s="57"/>
      <c r="C83" s="24">
        <f t="shared" si="12"/>
        <v>1</v>
      </c>
      <c r="D83" s="674"/>
      <c r="E83" s="24">
        <f t="shared" si="13"/>
        <v>1</v>
      </c>
      <c r="F83" s="674"/>
      <c r="G83" s="24">
        <f t="shared" si="14"/>
        <v>1</v>
      </c>
      <c r="H83" s="674"/>
      <c r="I83" s="24">
        <f t="shared" si="15"/>
        <v>1</v>
      </c>
      <c r="J83" s="674"/>
      <c r="K83" s="24">
        <f t="shared" si="16"/>
        <v>1</v>
      </c>
      <c r="L83" s="674"/>
      <c r="M83" s="24">
        <f t="shared" si="17"/>
        <v>1</v>
      </c>
      <c r="N83" s="674"/>
      <c r="O83" s="24">
        <f t="shared" si="18"/>
        <v>1</v>
      </c>
      <c r="P83" s="674"/>
      <c r="Q83" s="24">
        <f t="shared" si="19"/>
        <v>1</v>
      </c>
      <c r="R83" s="670">
        <f t="shared" si="20"/>
        <v>0</v>
      </c>
      <c r="S83" s="322">
        <f t="shared" si="22"/>
        <v>0</v>
      </c>
    </row>
    <row r="84" spans="1:19">
      <c r="A84" s="155"/>
      <c r="B84" s="57"/>
      <c r="C84" s="24">
        <f t="shared" si="12"/>
        <v>1</v>
      </c>
      <c r="D84" s="674"/>
      <c r="E84" s="24">
        <f t="shared" si="13"/>
        <v>1</v>
      </c>
      <c r="F84" s="674"/>
      <c r="G84" s="24">
        <f t="shared" si="14"/>
        <v>1</v>
      </c>
      <c r="H84" s="674"/>
      <c r="I84" s="24">
        <f t="shared" si="15"/>
        <v>1</v>
      </c>
      <c r="J84" s="674"/>
      <c r="K84" s="24">
        <f t="shared" si="16"/>
        <v>1</v>
      </c>
      <c r="L84" s="674"/>
      <c r="M84" s="24">
        <f t="shared" si="17"/>
        <v>1</v>
      </c>
      <c r="N84" s="674"/>
      <c r="O84" s="24">
        <f t="shared" si="18"/>
        <v>1</v>
      </c>
      <c r="P84" s="674"/>
      <c r="Q84" s="24">
        <f t="shared" si="19"/>
        <v>1</v>
      </c>
      <c r="R84" s="670">
        <f t="shared" si="20"/>
        <v>0</v>
      </c>
      <c r="S84" s="322">
        <f t="shared" si="22"/>
        <v>0</v>
      </c>
    </row>
    <row r="85" spans="1:19">
      <c r="A85" s="155"/>
      <c r="B85" s="57"/>
      <c r="C85" s="24">
        <f t="shared" si="12"/>
        <v>1</v>
      </c>
      <c r="D85" s="674"/>
      <c r="E85" s="24">
        <f t="shared" si="13"/>
        <v>1</v>
      </c>
      <c r="F85" s="674"/>
      <c r="G85" s="24">
        <f t="shared" si="14"/>
        <v>1</v>
      </c>
      <c r="H85" s="674"/>
      <c r="I85" s="24">
        <f t="shared" si="15"/>
        <v>1</v>
      </c>
      <c r="J85" s="674"/>
      <c r="K85" s="24">
        <f t="shared" si="16"/>
        <v>1</v>
      </c>
      <c r="L85" s="674"/>
      <c r="M85" s="24">
        <f t="shared" si="17"/>
        <v>1</v>
      </c>
      <c r="N85" s="674"/>
      <c r="O85" s="24">
        <f t="shared" si="18"/>
        <v>1</v>
      </c>
      <c r="P85" s="674"/>
      <c r="Q85" s="24">
        <f t="shared" si="19"/>
        <v>1</v>
      </c>
      <c r="R85" s="670">
        <f t="shared" si="20"/>
        <v>0</v>
      </c>
      <c r="S85" s="322">
        <f t="shared" si="22"/>
        <v>0</v>
      </c>
    </row>
    <row r="86" spans="1:19">
      <c r="A86" s="155"/>
      <c r="B86" s="57"/>
      <c r="C86" s="24">
        <f t="shared" si="12"/>
        <v>1</v>
      </c>
      <c r="D86" s="674"/>
      <c r="E86" s="24">
        <f t="shared" si="13"/>
        <v>1</v>
      </c>
      <c r="F86" s="674"/>
      <c r="G86" s="24">
        <f t="shared" si="14"/>
        <v>1</v>
      </c>
      <c r="H86" s="674"/>
      <c r="I86" s="24">
        <f t="shared" si="15"/>
        <v>1</v>
      </c>
      <c r="J86" s="674"/>
      <c r="K86" s="24">
        <f t="shared" si="16"/>
        <v>1</v>
      </c>
      <c r="L86" s="674"/>
      <c r="M86" s="24">
        <f t="shared" si="17"/>
        <v>1</v>
      </c>
      <c r="N86" s="674"/>
      <c r="O86" s="24">
        <f t="shared" si="18"/>
        <v>1</v>
      </c>
      <c r="P86" s="674"/>
      <c r="Q86" s="24">
        <f t="shared" si="19"/>
        <v>1</v>
      </c>
      <c r="R86" s="670">
        <f t="shared" si="20"/>
        <v>0</v>
      </c>
      <c r="S86" s="322">
        <f t="shared" si="22"/>
        <v>0</v>
      </c>
    </row>
    <row r="87" spans="1:19">
      <c r="A87" s="155"/>
      <c r="B87" s="57"/>
      <c r="C87" s="24">
        <f t="shared" si="12"/>
        <v>1</v>
      </c>
      <c r="D87" s="674"/>
      <c r="E87" s="24">
        <f t="shared" si="13"/>
        <v>1</v>
      </c>
      <c r="F87" s="674"/>
      <c r="G87" s="24">
        <f t="shared" si="14"/>
        <v>1</v>
      </c>
      <c r="H87" s="674"/>
      <c r="I87" s="24">
        <f t="shared" si="15"/>
        <v>1</v>
      </c>
      <c r="J87" s="674"/>
      <c r="K87" s="24">
        <f t="shared" si="16"/>
        <v>1</v>
      </c>
      <c r="L87" s="674"/>
      <c r="M87" s="24">
        <f t="shared" si="17"/>
        <v>1</v>
      </c>
      <c r="N87" s="674"/>
      <c r="O87" s="24">
        <f t="shared" si="18"/>
        <v>1</v>
      </c>
      <c r="P87" s="674"/>
      <c r="Q87" s="24">
        <f t="shared" si="19"/>
        <v>1</v>
      </c>
      <c r="R87" s="670">
        <f t="shared" si="20"/>
        <v>0</v>
      </c>
      <c r="S87" s="322">
        <f t="shared" si="22"/>
        <v>0</v>
      </c>
    </row>
    <row r="88" spans="1:19">
      <c r="A88" s="155"/>
      <c r="B88" s="57"/>
      <c r="C88" s="24">
        <f t="shared" si="12"/>
        <v>1</v>
      </c>
      <c r="D88" s="674"/>
      <c r="E88" s="24">
        <f t="shared" si="13"/>
        <v>1</v>
      </c>
      <c r="F88" s="674"/>
      <c r="G88" s="24">
        <f t="shared" si="14"/>
        <v>1</v>
      </c>
      <c r="H88" s="674"/>
      <c r="I88" s="24">
        <f t="shared" si="15"/>
        <v>1</v>
      </c>
      <c r="J88" s="674"/>
      <c r="K88" s="24">
        <f t="shared" si="16"/>
        <v>1</v>
      </c>
      <c r="L88" s="674"/>
      <c r="M88" s="24">
        <f t="shared" si="17"/>
        <v>1</v>
      </c>
      <c r="N88" s="674"/>
      <c r="O88" s="24">
        <f t="shared" si="18"/>
        <v>1</v>
      </c>
      <c r="P88" s="674"/>
      <c r="Q88" s="24">
        <f t="shared" si="19"/>
        <v>1</v>
      </c>
      <c r="R88" s="670">
        <f t="shared" si="20"/>
        <v>0</v>
      </c>
      <c r="S88" s="322">
        <f t="shared" si="22"/>
        <v>0</v>
      </c>
    </row>
    <row r="89" spans="1:19">
      <c r="A89" s="155"/>
      <c r="B89" s="57"/>
      <c r="C89" s="24">
        <f t="shared" si="12"/>
        <v>1</v>
      </c>
      <c r="D89" s="674"/>
      <c r="E89" s="24">
        <f t="shared" si="13"/>
        <v>1</v>
      </c>
      <c r="F89" s="674"/>
      <c r="G89" s="24">
        <f t="shared" si="14"/>
        <v>1</v>
      </c>
      <c r="H89" s="674"/>
      <c r="I89" s="24">
        <f t="shared" si="15"/>
        <v>1</v>
      </c>
      <c r="J89" s="674"/>
      <c r="K89" s="24">
        <f t="shared" si="16"/>
        <v>1</v>
      </c>
      <c r="L89" s="674"/>
      <c r="M89" s="24">
        <f t="shared" si="17"/>
        <v>1</v>
      </c>
      <c r="N89" s="674"/>
      <c r="O89" s="24">
        <f t="shared" si="18"/>
        <v>1</v>
      </c>
      <c r="P89" s="674"/>
      <c r="Q89" s="24">
        <f t="shared" si="19"/>
        <v>1</v>
      </c>
      <c r="R89" s="670">
        <f t="shared" si="20"/>
        <v>0</v>
      </c>
      <c r="S89" s="322">
        <f t="shared" si="22"/>
        <v>0</v>
      </c>
    </row>
    <row r="90" spans="1:19">
      <c r="A90" s="155"/>
      <c r="B90" s="57"/>
      <c r="C90" s="24">
        <f t="shared" ref="C90:C153" si="23">IF(B90="",1,(LOOKUP(B90,$3:$3,$4:$4)-LOOKUP($B$24,$3:$3,$4:$4)+100)/100)</f>
        <v>1</v>
      </c>
      <c r="D90" s="674"/>
      <c r="E90" s="24">
        <f t="shared" ref="E90:E153" si="24">(SUMIF($5:$5,D90,$6:$6)-SUMIF($5:$5,$D$24,$6:$6)+100)/100</f>
        <v>1</v>
      </c>
      <c r="F90" s="674"/>
      <c r="G90" s="24">
        <f t="shared" ref="G90:G153" si="25">(SUMIF($7:$7,F90,$8:$8)-SUMIF($7:$7,$F$24,$8:$8)+100)/100</f>
        <v>1</v>
      </c>
      <c r="H90" s="674"/>
      <c r="I90" s="24">
        <f t="shared" ref="I90:I153" si="26">(SUMIF($9:$9,H90,$10:$10)-SUMIF($9:$9,$H$24,$10:$10)+100)/100</f>
        <v>1</v>
      </c>
      <c r="J90" s="674"/>
      <c r="K90" s="24">
        <f t="shared" ref="K90:K153" si="27">(SUMIF($11:$11,J90,$12:$12)-SUMIF($11:$11,$J$24,$12:$12)+100)/100</f>
        <v>1</v>
      </c>
      <c r="L90" s="674"/>
      <c r="M90" s="24">
        <f t="shared" ref="M90:M153" si="28">(SUMIF($13:$13,L90,$14:$14)-SUMIF($13:$13,$L$24,$14:$14)+100)/100</f>
        <v>1</v>
      </c>
      <c r="N90" s="674"/>
      <c r="O90" s="24">
        <f t="shared" ref="O90:O153" si="29">(SUMIF($15:$15,N90,$16:$16)-SUMIF($15:$15,$N$24,$16:$16)+100)/100</f>
        <v>1</v>
      </c>
      <c r="P90" s="674"/>
      <c r="Q90" s="24">
        <f t="shared" ref="Q90:Q153" si="30">(SUMIF($17:$17,P90,$18:$18)-SUMIF($17:$17,$P$24,$18:$18)+100)/100</f>
        <v>1</v>
      </c>
      <c r="R90" s="670">
        <f t="shared" ref="R90:R153" si="31">IF(B90="",0,ROUND($R$24*C90*E90*G90*I90*K90*M90*O90*Q90,0))</f>
        <v>0</v>
      </c>
      <c r="S90" s="322">
        <f t="shared" si="22"/>
        <v>0</v>
      </c>
    </row>
    <row r="91" spans="1:19">
      <c r="A91" s="155"/>
      <c r="B91" s="57"/>
      <c r="C91" s="24">
        <f t="shared" si="23"/>
        <v>1</v>
      </c>
      <c r="D91" s="674"/>
      <c r="E91" s="24">
        <f t="shared" si="24"/>
        <v>1</v>
      </c>
      <c r="F91" s="674"/>
      <c r="G91" s="24">
        <f t="shared" si="25"/>
        <v>1</v>
      </c>
      <c r="H91" s="674"/>
      <c r="I91" s="24">
        <f t="shared" si="26"/>
        <v>1</v>
      </c>
      <c r="J91" s="674"/>
      <c r="K91" s="24">
        <f t="shared" si="27"/>
        <v>1</v>
      </c>
      <c r="L91" s="674"/>
      <c r="M91" s="24">
        <f t="shared" si="28"/>
        <v>1</v>
      </c>
      <c r="N91" s="674"/>
      <c r="O91" s="24">
        <f t="shared" si="29"/>
        <v>1</v>
      </c>
      <c r="P91" s="674"/>
      <c r="Q91" s="24">
        <f t="shared" si="30"/>
        <v>1</v>
      </c>
      <c r="R91" s="670">
        <f t="shared" si="31"/>
        <v>0</v>
      </c>
      <c r="S91" s="322">
        <f t="shared" si="22"/>
        <v>0</v>
      </c>
    </row>
    <row r="92" spans="1:19">
      <c r="A92" s="155"/>
      <c r="B92" s="57"/>
      <c r="C92" s="24">
        <f t="shared" si="23"/>
        <v>1</v>
      </c>
      <c r="D92" s="674"/>
      <c r="E92" s="24">
        <f t="shared" si="24"/>
        <v>1</v>
      </c>
      <c r="F92" s="674"/>
      <c r="G92" s="24">
        <f t="shared" si="25"/>
        <v>1</v>
      </c>
      <c r="H92" s="674"/>
      <c r="I92" s="24">
        <f t="shared" si="26"/>
        <v>1</v>
      </c>
      <c r="J92" s="674"/>
      <c r="K92" s="24">
        <f t="shared" si="27"/>
        <v>1</v>
      </c>
      <c r="L92" s="674"/>
      <c r="M92" s="24">
        <f t="shared" si="28"/>
        <v>1</v>
      </c>
      <c r="N92" s="674"/>
      <c r="O92" s="24">
        <f t="shared" si="29"/>
        <v>1</v>
      </c>
      <c r="P92" s="674"/>
      <c r="Q92" s="24">
        <f t="shared" si="30"/>
        <v>1</v>
      </c>
      <c r="R92" s="670">
        <f t="shared" si="31"/>
        <v>0</v>
      </c>
      <c r="S92" s="322">
        <f t="shared" si="22"/>
        <v>0</v>
      </c>
    </row>
    <row r="93" spans="1:19">
      <c r="A93" s="155"/>
      <c r="B93" s="57"/>
      <c r="C93" s="24">
        <f t="shared" si="23"/>
        <v>1</v>
      </c>
      <c r="D93" s="674"/>
      <c r="E93" s="24">
        <f t="shared" si="24"/>
        <v>1</v>
      </c>
      <c r="F93" s="674"/>
      <c r="G93" s="24">
        <f t="shared" si="25"/>
        <v>1</v>
      </c>
      <c r="H93" s="674"/>
      <c r="I93" s="24">
        <f t="shared" si="26"/>
        <v>1</v>
      </c>
      <c r="J93" s="674"/>
      <c r="K93" s="24">
        <f t="shared" si="27"/>
        <v>1</v>
      </c>
      <c r="L93" s="674"/>
      <c r="M93" s="24">
        <f t="shared" si="28"/>
        <v>1</v>
      </c>
      <c r="N93" s="674"/>
      <c r="O93" s="24">
        <f t="shared" si="29"/>
        <v>1</v>
      </c>
      <c r="P93" s="674"/>
      <c r="Q93" s="24">
        <f t="shared" si="30"/>
        <v>1</v>
      </c>
      <c r="R93" s="670">
        <f t="shared" si="31"/>
        <v>0</v>
      </c>
      <c r="S93" s="322">
        <f t="shared" si="22"/>
        <v>0</v>
      </c>
    </row>
    <row r="94" spans="1:19">
      <c r="A94" s="155"/>
      <c r="B94" s="57"/>
      <c r="C94" s="24">
        <f t="shared" si="23"/>
        <v>1</v>
      </c>
      <c r="D94" s="674"/>
      <c r="E94" s="24">
        <f t="shared" si="24"/>
        <v>1</v>
      </c>
      <c r="F94" s="674"/>
      <c r="G94" s="24">
        <f t="shared" si="25"/>
        <v>1</v>
      </c>
      <c r="H94" s="674"/>
      <c r="I94" s="24">
        <f t="shared" si="26"/>
        <v>1</v>
      </c>
      <c r="J94" s="674"/>
      <c r="K94" s="24">
        <f t="shared" si="27"/>
        <v>1</v>
      </c>
      <c r="L94" s="674"/>
      <c r="M94" s="24">
        <f t="shared" si="28"/>
        <v>1</v>
      </c>
      <c r="N94" s="674"/>
      <c r="O94" s="24">
        <f t="shared" si="29"/>
        <v>1</v>
      </c>
      <c r="P94" s="674"/>
      <c r="Q94" s="24">
        <f t="shared" si="30"/>
        <v>1</v>
      </c>
      <c r="R94" s="670">
        <f t="shared" si="31"/>
        <v>0</v>
      </c>
      <c r="S94" s="322">
        <f t="shared" si="22"/>
        <v>0</v>
      </c>
    </row>
    <row r="95" spans="1:19">
      <c r="A95" s="155"/>
      <c r="B95" s="57"/>
      <c r="C95" s="24">
        <f t="shared" si="23"/>
        <v>1</v>
      </c>
      <c r="D95" s="674"/>
      <c r="E95" s="24">
        <f t="shared" si="24"/>
        <v>1</v>
      </c>
      <c r="F95" s="674"/>
      <c r="G95" s="24">
        <f t="shared" si="25"/>
        <v>1</v>
      </c>
      <c r="H95" s="674"/>
      <c r="I95" s="24">
        <f t="shared" si="26"/>
        <v>1</v>
      </c>
      <c r="J95" s="674"/>
      <c r="K95" s="24">
        <f t="shared" si="27"/>
        <v>1</v>
      </c>
      <c r="L95" s="674"/>
      <c r="M95" s="24">
        <f t="shared" si="28"/>
        <v>1</v>
      </c>
      <c r="N95" s="674"/>
      <c r="O95" s="24">
        <f t="shared" si="29"/>
        <v>1</v>
      </c>
      <c r="P95" s="674"/>
      <c r="Q95" s="24">
        <f t="shared" si="30"/>
        <v>1</v>
      </c>
      <c r="R95" s="670">
        <f t="shared" si="31"/>
        <v>0</v>
      </c>
      <c r="S95" s="322">
        <f t="shared" si="22"/>
        <v>0</v>
      </c>
    </row>
    <row r="96" spans="1:19">
      <c r="A96" s="155"/>
      <c r="B96" s="57"/>
      <c r="C96" s="24">
        <f t="shared" si="23"/>
        <v>1</v>
      </c>
      <c r="D96" s="674"/>
      <c r="E96" s="24">
        <f t="shared" si="24"/>
        <v>1</v>
      </c>
      <c r="F96" s="674"/>
      <c r="G96" s="24">
        <f t="shared" si="25"/>
        <v>1</v>
      </c>
      <c r="H96" s="674"/>
      <c r="I96" s="24">
        <f t="shared" si="26"/>
        <v>1</v>
      </c>
      <c r="J96" s="674"/>
      <c r="K96" s="24">
        <f t="shared" si="27"/>
        <v>1</v>
      </c>
      <c r="L96" s="674"/>
      <c r="M96" s="24">
        <f t="shared" si="28"/>
        <v>1</v>
      </c>
      <c r="N96" s="674"/>
      <c r="O96" s="24">
        <f t="shared" si="29"/>
        <v>1</v>
      </c>
      <c r="P96" s="674"/>
      <c r="Q96" s="24">
        <f t="shared" si="30"/>
        <v>1</v>
      </c>
      <c r="R96" s="670">
        <f t="shared" si="31"/>
        <v>0</v>
      </c>
      <c r="S96" s="322">
        <f t="shared" si="22"/>
        <v>0</v>
      </c>
    </row>
    <row r="97" spans="1:19">
      <c r="A97" s="155"/>
      <c r="B97" s="57"/>
      <c r="C97" s="24">
        <f t="shared" si="23"/>
        <v>1</v>
      </c>
      <c r="D97" s="674"/>
      <c r="E97" s="24">
        <f t="shared" si="24"/>
        <v>1</v>
      </c>
      <c r="F97" s="674"/>
      <c r="G97" s="24">
        <f t="shared" si="25"/>
        <v>1</v>
      </c>
      <c r="H97" s="674"/>
      <c r="I97" s="24">
        <f t="shared" si="26"/>
        <v>1</v>
      </c>
      <c r="J97" s="674"/>
      <c r="K97" s="24">
        <f t="shared" si="27"/>
        <v>1</v>
      </c>
      <c r="L97" s="674"/>
      <c r="M97" s="24">
        <f t="shared" si="28"/>
        <v>1</v>
      </c>
      <c r="N97" s="674"/>
      <c r="O97" s="24">
        <f t="shared" si="29"/>
        <v>1</v>
      </c>
      <c r="P97" s="674"/>
      <c r="Q97" s="24">
        <f t="shared" si="30"/>
        <v>1</v>
      </c>
      <c r="R97" s="670">
        <f t="shared" si="31"/>
        <v>0</v>
      </c>
      <c r="S97" s="322">
        <f t="shared" si="22"/>
        <v>0</v>
      </c>
    </row>
    <row r="98" spans="1:19">
      <c r="A98" s="155"/>
      <c r="B98" s="57"/>
      <c r="C98" s="24">
        <f t="shared" si="23"/>
        <v>1</v>
      </c>
      <c r="D98" s="674"/>
      <c r="E98" s="24">
        <f t="shared" si="24"/>
        <v>1</v>
      </c>
      <c r="F98" s="674"/>
      <c r="G98" s="24">
        <f t="shared" si="25"/>
        <v>1</v>
      </c>
      <c r="H98" s="674"/>
      <c r="I98" s="24">
        <f t="shared" si="26"/>
        <v>1</v>
      </c>
      <c r="J98" s="674"/>
      <c r="K98" s="24">
        <f t="shared" si="27"/>
        <v>1</v>
      </c>
      <c r="L98" s="674"/>
      <c r="M98" s="24">
        <f t="shared" si="28"/>
        <v>1</v>
      </c>
      <c r="N98" s="674"/>
      <c r="O98" s="24">
        <f t="shared" si="29"/>
        <v>1</v>
      </c>
      <c r="P98" s="674"/>
      <c r="Q98" s="24">
        <f t="shared" si="30"/>
        <v>1</v>
      </c>
      <c r="R98" s="670">
        <f t="shared" si="31"/>
        <v>0</v>
      </c>
      <c r="S98" s="322">
        <f t="shared" si="22"/>
        <v>0</v>
      </c>
    </row>
    <row r="99" spans="1:19">
      <c r="A99" s="155"/>
      <c r="B99" s="57"/>
      <c r="C99" s="24">
        <f t="shared" si="23"/>
        <v>1</v>
      </c>
      <c r="D99" s="674"/>
      <c r="E99" s="24">
        <f t="shared" si="24"/>
        <v>1</v>
      </c>
      <c r="F99" s="674"/>
      <c r="G99" s="24">
        <f t="shared" si="25"/>
        <v>1</v>
      </c>
      <c r="H99" s="674"/>
      <c r="I99" s="24">
        <f t="shared" si="26"/>
        <v>1</v>
      </c>
      <c r="J99" s="674"/>
      <c r="K99" s="24">
        <f t="shared" si="27"/>
        <v>1</v>
      </c>
      <c r="L99" s="674"/>
      <c r="M99" s="24">
        <f t="shared" si="28"/>
        <v>1</v>
      </c>
      <c r="N99" s="674"/>
      <c r="O99" s="24">
        <f t="shared" si="29"/>
        <v>1</v>
      </c>
      <c r="P99" s="674"/>
      <c r="Q99" s="24">
        <f t="shared" si="30"/>
        <v>1</v>
      </c>
      <c r="R99" s="670">
        <f t="shared" si="31"/>
        <v>0</v>
      </c>
      <c r="S99" s="322">
        <f t="shared" si="22"/>
        <v>0</v>
      </c>
    </row>
    <row r="100" spans="1:19">
      <c r="A100" s="155"/>
      <c r="B100" s="57"/>
      <c r="C100" s="24">
        <f t="shared" si="23"/>
        <v>1</v>
      </c>
      <c r="D100" s="674"/>
      <c r="E100" s="24">
        <f t="shared" si="24"/>
        <v>1</v>
      </c>
      <c r="F100" s="674"/>
      <c r="G100" s="24">
        <f t="shared" si="25"/>
        <v>1</v>
      </c>
      <c r="H100" s="674"/>
      <c r="I100" s="24">
        <f t="shared" si="26"/>
        <v>1</v>
      </c>
      <c r="J100" s="674"/>
      <c r="K100" s="24">
        <f t="shared" si="27"/>
        <v>1</v>
      </c>
      <c r="L100" s="674"/>
      <c r="M100" s="24">
        <f t="shared" si="28"/>
        <v>1</v>
      </c>
      <c r="N100" s="674"/>
      <c r="O100" s="24">
        <f t="shared" si="29"/>
        <v>1</v>
      </c>
      <c r="P100" s="674"/>
      <c r="Q100" s="24">
        <f t="shared" si="30"/>
        <v>1</v>
      </c>
      <c r="R100" s="670">
        <f t="shared" si="31"/>
        <v>0</v>
      </c>
      <c r="S100" s="322">
        <f t="shared" si="22"/>
        <v>0</v>
      </c>
    </row>
    <row r="101" spans="1:19">
      <c r="A101" s="155"/>
      <c r="B101" s="57"/>
      <c r="C101" s="24">
        <f t="shared" si="23"/>
        <v>1</v>
      </c>
      <c r="D101" s="674"/>
      <c r="E101" s="24">
        <f t="shared" si="24"/>
        <v>1</v>
      </c>
      <c r="F101" s="674"/>
      <c r="G101" s="24">
        <f t="shared" si="25"/>
        <v>1</v>
      </c>
      <c r="H101" s="674"/>
      <c r="I101" s="24">
        <f t="shared" si="26"/>
        <v>1</v>
      </c>
      <c r="J101" s="674"/>
      <c r="K101" s="24">
        <f t="shared" si="27"/>
        <v>1</v>
      </c>
      <c r="L101" s="674"/>
      <c r="M101" s="24">
        <f t="shared" si="28"/>
        <v>1</v>
      </c>
      <c r="N101" s="674"/>
      <c r="O101" s="24">
        <f t="shared" si="29"/>
        <v>1</v>
      </c>
      <c r="P101" s="674"/>
      <c r="Q101" s="24">
        <f t="shared" si="30"/>
        <v>1</v>
      </c>
      <c r="R101" s="670">
        <f t="shared" si="31"/>
        <v>0</v>
      </c>
      <c r="S101" s="322">
        <f t="shared" si="22"/>
        <v>0</v>
      </c>
    </row>
    <row r="102" spans="1:19">
      <c r="A102" s="155"/>
      <c r="B102" s="57"/>
      <c r="C102" s="24">
        <f t="shared" si="23"/>
        <v>1</v>
      </c>
      <c r="D102" s="674"/>
      <c r="E102" s="24">
        <f t="shared" si="24"/>
        <v>1</v>
      </c>
      <c r="F102" s="674"/>
      <c r="G102" s="24">
        <f t="shared" si="25"/>
        <v>1</v>
      </c>
      <c r="H102" s="674"/>
      <c r="I102" s="24">
        <f t="shared" si="26"/>
        <v>1</v>
      </c>
      <c r="J102" s="674"/>
      <c r="K102" s="24">
        <f t="shared" si="27"/>
        <v>1</v>
      </c>
      <c r="L102" s="674"/>
      <c r="M102" s="24">
        <f t="shared" si="28"/>
        <v>1</v>
      </c>
      <c r="N102" s="674"/>
      <c r="O102" s="24">
        <f t="shared" si="29"/>
        <v>1</v>
      </c>
      <c r="P102" s="674"/>
      <c r="Q102" s="24">
        <f t="shared" si="30"/>
        <v>1</v>
      </c>
      <c r="R102" s="670">
        <f t="shared" si="31"/>
        <v>0</v>
      </c>
      <c r="S102" s="322">
        <f t="shared" si="22"/>
        <v>0</v>
      </c>
    </row>
    <row r="103" spans="1:19">
      <c r="A103" s="155"/>
      <c r="B103" s="57"/>
      <c r="C103" s="24">
        <f t="shared" si="23"/>
        <v>1</v>
      </c>
      <c r="D103" s="674"/>
      <c r="E103" s="24">
        <f t="shared" si="24"/>
        <v>1</v>
      </c>
      <c r="F103" s="674"/>
      <c r="G103" s="24">
        <f t="shared" si="25"/>
        <v>1</v>
      </c>
      <c r="H103" s="674"/>
      <c r="I103" s="24">
        <f t="shared" si="26"/>
        <v>1</v>
      </c>
      <c r="J103" s="674"/>
      <c r="K103" s="24">
        <f t="shared" si="27"/>
        <v>1</v>
      </c>
      <c r="L103" s="674"/>
      <c r="M103" s="24">
        <f t="shared" si="28"/>
        <v>1</v>
      </c>
      <c r="N103" s="674"/>
      <c r="O103" s="24">
        <f t="shared" si="29"/>
        <v>1</v>
      </c>
      <c r="P103" s="674"/>
      <c r="Q103" s="24">
        <f t="shared" si="30"/>
        <v>1</v>
      </c>
      <c r="R103" s="670">
        <f t="shared" si="31"/>
        <v>0</v>
      </c>
      <c r="S103" s="322">
        <f t="shared" si="22"/>
        <v>0</v>
      </c>
    </row>
    <row r="104" spans="1:19">
      <c r="A104" s="155"/>
      <c r="B104" s="57"/>
      <c r="C104" s="24">
        <f t="shared" si="23"/>
        <v>1</v>
      </c>
      <c r="D104" s="674"/>
      <c r="E104" s="24">
        <f t="shared" si="24"/>
        <v>1</v>
      </c>
      <c r="F104" s="674"/>
      <c r="G104" s="24">
        <f t="shared" si="25"/>
        <v>1</v>
      </c>
      <c r="H104" s="674"/>
      <c r="I104" s="24">
        <f t="shared" si="26"/>
        <v>1</v>
      </c>
      <c r="J104" s="674"/>
      <c r="K104" s="24">
        <f t="shared" si="27"/>
        <v>1</v>
      </c>
      <c r="L104" s="674"/>
      <c r="M104" s="24">
        <f t="shared" si="28"/>
        <v>1</v>
      </c>
      <c r="N104" s="674"/>
      <c r="O104" s="24">
        <f t="shared" si="29"/>
        <v>1</v>
      </c>
      <c r="P104" s="674"/>
      <c r="Q104" s="24">
        <f t="shared" si="30"/>
        <v>1</v>
      </c>
      <c r="R104" s="670">
        <f t="shared" si="31"/>
        <v>0</v>
      </c>
      <c r="S104" s="322">
        <f t="shared" si="22"/>
        <v>0</v>
      </c>
    </row>
    <row r="105" spans="1:19">
      <c r="A105" s="155"/>
      <c r="B105" s="57"/>
      <c r="C105" s="24">
        <f t="shared" si="23"/>
        <v>1</v>
      </c>
      <c r="D105" s="674"/>
      <c r="E105" s="24">
        <f t="shared" si="24"/>
        <v>1</v>
      </c>
      <c r="F105" s="674"/>
      <c r="G105" s="24">
        <f t="shared" si="25"/>
        <v>1</v>
      </c>
      <c r="H105" s="674"/>
      <c r="I105" s="24">
        <f t="shared" si="26"/>
        <v>1</v>
      </c>
      <c r="J105" s="674"/>
      <c r="K105" s="24">
        <f t="shared" si="27"/>
        <v>1</v>
      </c>
      <c r="L105" s="674"/>
      <c r="M105" s="24">
        <f t="shared" si="28"/>
        <v>1</v>
      </c>
      <c r="N105" s="674"/>
      <c r="O105" s="24">
        <f t="shared" si="29"/>
        <v>1</v>
      </c>
      <c r="P105" s="674"/>
      <c r="Q105" s="24">
        <f t="shared" si="30"/>
        <v>1</v>
      </c>
      <c r="R105" s="670">
        <f t="shared" si="31"/>
        <v>0</v>
      </c>
      <c r="S105" s="322">
        <f t="shared" si="22"/>
        <v>0</v>
      </c>
    </row>
    <row r="106" spans="1:19">
      <c r="A106" s="155"/>
      <c r="B106" s="57"/>
      <c r="C106" s="24">
        <f t="shared" si="23"/>
        <v>1</v>
      </c>
      <c r="D106" s="674"/>
      <c r="E106" s="24">
        <f t="shared" si="24"/>
        <v>1</v>
      </c>
      <c r="F106" s="674"/>
      <c r="G106" s="24">
        <f t="shared" si="25"/>
        <v>1</v>
      </c>
      <c r="H106" s="674"/>
      <c r="I106" s="24">
        <f t="shared" si="26"/>
        <v>1</v>
      </c>
      <c r="J106" s="674"/>
      <c r="K106" s="24">
        <f t="shared" si="27"/>
        <v>1</v>
      </c>
      <c r="L106" s="674"/>
      <c r="M106" s="24">
        <f t="shared" si="28"/>
        <v>1</v>
      </c>
      <c r="N106" s="674"/>
      <c r="O106" s="24">
        <f t="shared" si="29"/>
        <v>1</v>
      </c>
      <c r="P106" s="674"/>
      <c r="Q106" s="24">
        <f t="shared" si="30"/>
        <v>1</v>
      </c>
      <c r="R106" s="670">
        <f t="shared" si="31"/>
        <v>0</v>
      </c>
      <c r="S106" s="322">
        <f t="shared" si="22"/>
        <v>0</v>
      </c>
    </row>
    <row r="107" spans="1:19">
      <c r="A107" s="155"/>
      <c r="B107" s="57"/>
      <c r="C107" s="24">
        <f t="shared" si="23"/>
        <v>1</v>
      </c>
      <c r="D107" s="674"/>
      <c r="E107" s="24">
        <f t="shared" si="24"/>
        <v>1</v>
      </c>
      <c r="F107" s="674"/>
      <c r="G107" s="24">
        <f t="shared" si="25"/>
        <v>1</v>
      </c>
      <c r="H107" s="674"/>
      <c r="I107" s="24">
        <f t="shared" si="26"/>
        <v>1</v>
      </c>
      <c r="J107" s="674"/>
      <c r="K107" s="24">
        <f t="shared" si="27"/>
        <v>1</v>
      </c>
      <c r="L107" s="674"/>
      <c r="M107" s="24">
        <f t="shared" si="28"/>
        <v>1</v>
      </c>
      <c r="N107" s="674"/>
      <c r="O107" s="24">
        <f t="shared" si="29"/>
        <v>1</v>
      </c>
      <c r="P107" s="674"/>
      <c r="Q107" s="24">
        <f t="shared" si="30"/>
        <v>1</v>
      </c>
      <c r="R107" s="670">
        <f t="shared" si="31"/>
        <v>0</v>
      </c>
      <c r="S107" s="322">
        <f t="shared" si="22"/>
        <v>0</v>
      </c>
    </row>
    <row r="108" spans="1:19">
      <c r="A108" s="155"/>
      <c r="B108" s="57"/>
      <c r="C108" s="24">
        <f t="shared" si="23"/>
        <v>1</v>
      </c>
      <c r="D108" s="674"/>
      <c r="E108" s="24">
        <f t="shared" si="24"/>
        <v>1</v>
      </c>
      <c r="F108" s="674"/>
      <c r="G108" s="24">
        <f t="shared" si="25"/>
        <v>1</v>
      </c>
      <c r="H108" s="674"/>
      <c r="I108" s="24">
        <f t="shared" si="26"/>
        <v>1</v>
      </c>
      <c r="J108" s="674"/>
      <c r="K108" s="24">
        <f t="shared" si="27"/>
        <v>1</v>
      </c>
      <c r="L108" s="674"/>
      <c r="M108" s="24">
        <f t="shared" si="28"/>
        <v>1</v>
      </c>
      <c r="N108" s="674"/>
      <c r="O108" s="24">
        <f t="shared" si="29"/>
        <v>1</v>
      </c>
      <c r="P108" s="674"/>
      <c r="Q108" s="24">
        <f t="shared" si="30"/>
        <v>1</v>
      </c>
      <c r="R108" s="670">
        <f t="shared" si="31"/>
        <v>0</v>
      </c>
      <c r="S108" s="322">
        <f t="shared" si="22"/>
        <v>0</v>
      </c>
    </row>
    <row r="109" spans="1:19">
      <c r="A109" s="155"/>
      <c r="B109" s="57"/>
      <c r="C109" s="24">
        <f t="shared" si="23"/>
        <v>1</v>
      </c>
      <c r="D109" s="674"/>
      <c r="E109" s="24">
        <f t="shared" si="24"/>
        <v>1</v>
      </c>
      <c r="F109" s="674"/>
      <c r="G109" s="24">
        <f t="shared" si="25"/>
        <v>1</v>
      </c>
      <c r="H109" s="674"/>
      <c r="I109" s="24">
        <f t="shared" si="26"/>
        <v>1</v>
      </c>
      <c r="J109" s="674"/>
      <c r="K109" s="24">
        <f t="shared" si="27"/>
        <v>1</v>
      </c>
      <c r="L109" s="674"/>
      <c r="M109" s="24">
        <f t="shared" si="28"/>
        <v>1</v>
      </c>
      <c r="N109" s="674"/>
      <c r="O109" s="24">
        <f t="shared" si="29"/>
        <v>1</v>
      </c>
      <c r="P109" s="674"/>
      <c r="Q109" s="24">
        <f t="shared" si="30"/>
        <v>1</v>
      </c>
      <c r="R109" s="670">
        <f t="shared" si="31"/>
        <v>0</v>
      </c>
      <c r="S109" s="322">
        <f t="shared" si="22"/>
        <v>0</v>
      </c>
    </row>
    <row r="110" spans="1:19">
      <c r="A110" s="155"/>
      <c r="B110" s="57"/>
      <c r="C110" s="24">
        <f t="shared" si="23"/>
        <v>1</v>
      </c>
      <c r="D110" s="674"/>
      <c r="E110" s="24">
        <f t="shared" si="24"/>
        <v>1</v>
      </c>
      <c r="F110" s="674"/>
      <c r="G110" s="24">
        <f t="shared" si="25"/>
        <v>1</v>
      </c>
      <c r="H110" s="674"/>
      <c r="I110" s="24">
        <f t="shared" si="26"/>
        <v>1</v>
      </c>
      <c r="J110" s="674"/>
      <c r="K110" s="24">
        <f t="shared" si="27"/>
        <v>1</v>
      </c>
      <c r="L110" s="674"/>
      <c r="M110" s="24">
        <f t="shared" si="28"/>
        <v>1</v>
      </c>
      <c r="N110" s="674"/>
      <c r="O110" s="24">
        <f t="shared" si="29"/>
        <v>1</v>
      </c>
      <c r="P110" s="674"/>
      <c r="Q110" s="24">
        <f t="shared" si="30"/>
        <v>1</v>
      </c>
      <c r="R110" s="670">
        <f t="shared" si="31"/>
        <v>0</v>
      </c>
      <c r="S110" s="322">
        <f t="shared" si="22"/>
        <v>0</v>
      </c>
    </row>
    <row r="111" spans="1:19">
      <c r="A111" s="155"/>
      <c r="B111" s="57"/>
      <c r="C111" s="24">
        <f t="shared" si="23"/>
        <v>1</v>
      </c>
      <c r="D111" s="674"/>
      <c r="E111" s="24">
        <f t="shared" si="24"/>
        <v>1</v>
      </c>
      <c r="F111" s="674"/>
      <c r="G111" s="24">
        <f t="shared" si="25"/>
        <v>1</v>
      </c>
      <c r="H111" s="674"/>
      <c r="I111" s="24">
        <f t="shared" si="26"/>
        <v>1</v>
      </c>
      <c r="J111" s="674"/>
      <c r="K111" s="24">
        <f t="shared" si="27"/>
        <v>1</v>
      </c>
      <c r="L111" s="674"/>
      <c r="M111" s="24">
        <f t="shared" si="28"/>
        <v>1</v>
      </c>
      <c r="N111" s="674"/>
      <c r="O111" s="24">
        <f t="shared" si="29"/>
        <v>1</v>
      </c>
      <c r="P111" s="674"/>
      <c r="Q111" s="24">
        <f t="shared" si="30"/>
        <v>1</v>
      </c>
      <c r="R111" s="670">
        <f t="shared" si="31"/>
        <v>0</v>
      </c>
      <c r="S111" s="322">
        <f t="shared" si="22"/>
        <v>0</v>
      </c>
    </row>
    <row r="112" spans="1:19">
      <c r="A112" s="155"/>
      <c r="B112" s="57"/>
      <c r="C112" s="24">
        <f t="shared" si="23"/>
        <v>1</v>
      </c>
      <c r="D112" s="674"/>
      <c r="E112" s="24">
        <f t="shared" si="24"/>
        <v>1</v>
      </c>
      <c r="F112" s="674"/>
      <c r="G112" s="24">
        <f t="shared" si="25"/>
        <v>1</v>
      </c>
      <c r="H112" s="674"/>
      <c r="I112" s="24">
        <f t="shared" si="26"/>
        <v>1</v>
      </c>
      <c r="J112" s="674"/>
      <c r="K112" s="24">
        <f t="shared" si="27"/>
        <v>1</v>
      </c>
      <c r="L112" s="674"/>
      <c r="M112" s="24">
        <f t="shared" si="28"/>
        <v>1</v>
      </c>
      <c r="N112" s="674"/>
      <c r="O112" s="24">
        <f t="shared" si="29"/>
        <v>1</v>
      </c>
      <c r="P112" s="674"/>
      <c r="Q112" s="24">
        <f t="shared" si="30"/>
        <v>1</v>
      </c>
      <c r="R112" s="670">
        <f t="shared" si="31"/>
        <v>0</v>
      </c>
      <c r="S112" s="322">
        <f t="shared" si="22"/>
        <v>0</v>
      </c>
    </row>
    <row r="113" spans="1:19">
      <c r="A113" s="155"/>
      <c r="B113" s="57"/>
      <c r="C113" s="24">
        <f t="shared" si="23"/>
        <v>1</v>
      </c>
      <c r="D113" s="674"/>
      <c r="E113" s="24">
        <f t="shared" si="24"/>
        <v>1</v>
      </c>
      <c r="F113" s="674"/>
      <c r="G113" s="24">
        <f t="shared" si="25"/>
        <v>1</v>
      </c>
      <c r="H113" s="674"/>
      <c r="I113" s="24">
        <f t="shared" si="26"/>
        <v>1</v>
      </c>
      <c r="J113" s="674"/>
      <c r="K113" s="24">
        <f t="shared" si="27"/>
        <v>1</v>
      </c>
      <c r="L113" s="674"/>
      <c r="M113" s="24">
        <f t="shared" si="28"/>
        <v>1</v>
      </c>
      <c r="N113" s="674"/>
      <c r="O113" s="24">
        <f t="shared" si="29"/>
        <v>1</v>
      </c>
      <c r="P113" s="674"/>
      <c r="Q113" s="24">
        <f t="shared" si="30"/>
        <v>1</v>
      </c>
      <c r="R113" s="670">
        <f t="shared" si="31"/>
        <v>0</v>
      </c>
      <c r="S113" s="322">
        <f t="shared" si="22"/>
        <v>0</v>
      </c>
    </row>
    <row r="114" spans="1:19">
      <c r="A114" s="155"/>
      <c r="B114" s="57"/>
      <c r="C114" s="24">
        <f t="shared" si="23"/>
        <v>1</v>
      </c>
      <c r="D114" s="674"/>
      <c r="E114" s="24">
        <f t="shared" si="24"/>
        <v>1</v>
      </c>
      <c r="F114" s="674"/>
      <c r="G114" s="24">
        <f t="shared" si="25"/>
        <v>1</v>
      </c>
      <c r="H114" s="674"/>
      <c r="I114" s="24">
        <f t="shared" si="26"/>
        <v>1</v>
      </c>
      <c r="J114" s="674"/>
      <c r="K114" s="24">
        <f t="shared" si="27"/>
        <v>1</v>
      </c>
      <c r="L114" s="674"/>
      <c r="M114" s="24">
        <f t="shared" si="28"/>
        <v>1</v>
      </c>
      <c r="N114" s="674"/>
      <c r="O114" s="24">
        <f t="shared" si="29"/>
        <v>1</v>
      </c>
      <c r="P114" s="674"/>
      <c r="Q114" s="24">
        <f t="shared" si="30"/>
        <v>1</v>
      </c>
      <c r="R114" s="670">
        <f t="shared" si="31"/>
        <v>0</v>
      </c>
      <c r="S114" s="322">
        <f t="shared" si="22"/>
        <v>0</v>
      </c>
    </row>
    <row r="115" spans="1:19">
      <c r="A115" s="155"/>
      <c r="B115" s="57"/>
      <c r="C115" s="24">
        <f t="shared" si="23"/>
        <v>1</v>
      </c>
      <c r="D115" s="674"/>
      <c r="E115" s="24">
        <f t="shared" si="24"/>
        <v>1</v>
      </c>
      <c r="F115" s="674"/>
      <c r="G115" s="24">
        <f t="shared" si="25"/>
        <v>1</v>
      </c>
      <c r="H115" s="674"/>
      <c r="I115" s="24">
        <f t="shared" si="26"/>
        <v>1</v>
      </c>
      <c r="J115" s="674"/>
      <c r="K115" s="24">
        <f t="shared" si="27"/>
        <v>1</v>
      </c>
      <c r="L115" s="674"/>
      <c r="M115" s="24">
        <f t="shared" si="28"/>
        <v>1</v>
      </c>
      <c r="N115" s="674"/>
      <c r="O115" s="24">
        <f t="shared" si="29"/>
        <v>1</v>
      </c>
      <c r="P115" s="674"/>
      <c r="Q115" s="24">
        <f t="shared" si="30"/>
        <v>1</v>
      </c>
      <c r="R115" s="670">
        <f t="shared" si="31"/>
        <v>0</v>
      </c>
      <c r="S115" s="322">
        <f t="shared" si="22"/>
        <v>0</v>
      </c>
    </row>
    <row r="116" spans="1:19">
      <c r="A116" s="155"/>
      <c r="B116" s="57"/>
      <c r="C116" s="24">
        <f t="shared" si="23"/>
        <v>1</v>
      </c>
      <c r="D116" s="674"/>
      <c r="E116" s="24">
        <f t="shared" si="24"/>
        <v>1</v>
      </c>
      <c r="F116" s="674"/>
      <c r="G116" s="24">
        <f t="shared" si="25"/>
        <v>1</v>
      </c>
      <c r="H116" s="674"/>
      <c r="I116" s="24">
        <f t="shared" si="26"/>
        <v>1</v>
      </c>
      <c r="J116" s="674"/>
      <c r="K116" s="24">
        <f t="shared" si="27"/>
        <v>1</v>
      </c>
      <c r="L116" s="674"/>
      <c r="M116" s="24">
        <f t="shared" si="28"/>
        <v>1</v>
      </c>
      <c r="N116" s="674"/>
      <c r="O116" s="24">
        <f t="shared" si="29"/>
        <v>1</v>
      </c>
      <c r="P116" s="674"/>
      <c r="Q116" s="24">
        <f t="shared" si="30"/>
        <v>1</v>
      </c>
      <c r="R116" s="670">
        <f t="shared" si="31"/>
        <v>0</v>
      </c>
      <c r="S116" s="322">
        <f t="shared" si="22"/>
        <v>0</v>
      </c>
    </row>
    <row r="117" spans="1:19">
      <c r="A117" s="155"/>
      <c r="B117" s="57"/>
      <c r="C117" s="24">
        <f t="shared" si="23"/>
        <v>1</v>
      </c>
      <c r="D117" s="674"/>
      <c r="E117" s="24">
        <f t="shared" si="24"/>
        <v>1</v>
      </c>
      <c r="F117" s="674"/>
      <c r="G117" s="24">
        <f t="shared" si="25"/>
        <v>1</v>
      </c>
      <c r="H117" s="674"/>
      <c r="I117" s="24">
        <f t="shared" si="26"/>
        <v>1</v>
      </c>
      <c r="J117" s="674"/>
      <c r="K117" s="24">
        <f t="shared" si="27"/>
        <v>1</v>
      </c>
      <c r="L117" s="674"/>
      <c r="M117" s="24">
        <f t="shared" si="28"/>
        <v>1</v>
      </c>
      <c r="N117" s="674"/>
      <c r="O117" s="24">
        <f t="shared" si="29"/>
        <v>1</v>
      </c>
      <c r="P117" s="674"/>
      <c r="Q117" s="24">
        <f t="shared" si="30"/>
        <v>1</v>
      </c>
      <c r="R117" s="670">
        <f t="shared" si="31"/>
        <v>0</v>
      </c>
      <c r="S117" s="322">
        <f t="shared" si="22"/>
        <v>0</v>
      </c>
    </row>
    <row r="118" spans="1:19">
      <c r="A118" s="155"/>
      <c r="B118" s="57"/>
      <c r="C118" s="24">
        <f t="shared" si="23"/>
        <v>1</v>
      </c>
      <c r="D118" s="674"/>
      <c r="E118" s="24">
        <f t="shared" si="24"/>
        <v>1</v>
      </c>
      <c r="F118" s="674"/>
      <c r="G118" s="24">
        <f t="shared" si="25"/>
        <v>1</v>
      </c>
      <c r="H118" s="674"/>
      <c r="I118" s="24">
        <f t="shared" si="26"/>
        <v>1</v>
      </c>
      <c r="J118" s="674"/>
      <c r="K118" s="24">
        <f t="shared" si="27"/>
        <v>1</v>
      </c>
      <c r="L118" s="674"/>
      <c r="M118" s="24">
        <f t="shared" si="28"/>
        <v>1</v>
      </c>
      <c r="N118" s="674"/>
      <c r="O118" s="24">
        <f t="shared" si="29"/>
        <v>1</v>
      </c>
      <c r="P118" s="674"/>
      <c r="Q118" s="24">
        <f t="shared" si="30"/>
        <v>1</v>
      </c>
      <c r="R118" s="670">
        <f t="shared" si="31"/>
        <v>0</v>
      </c>
      <c r="S118" s="322">
        <f t="shared" si="22"/>
        <v>0</v>
      </c>
    </row>
    <row r="119" spans="1:19">
      <c r="A119" s="155"/>
      <c r="B119" s="57"/>
      <c r="C119" s="24">
        <f t="shared" si="23"/>
        <v>1</v>
      </c>
      <c r="D119" s="674"/>
      <c r="E119" s="24">
        <f t="shared" si="24"/>
        <v>1</v>
      </c>
      <c r="F119" s="674"/>
      <c r="G119" s="24">
        <f t="shared" si="25"/>
        <v>1</v>
      </c>
      <c r="H119" s="674"/>
      <c r="I119" s="24">
        <f t="shared" si="26"/>
        <v>1</v>
      </c>
      <c r="J119" s="674"/>
      <c r="K119" s="24">
        <f t="shared" si="27"/>
        <v>1</v>
      </c>
      <c r="L119" s="674"/>
      <c r="M119" s="24">
        <f t="shared" si="28"/>
        <v>1</v>
      </c>
      <c r="N119" s="674"/>
      <c r="O119" s="24">
        <f t="shared" si="29"/>
        <v>1</v>
      </c>
      <c r="P119" s="674"/>
      <c r="Q119" s="24">
        <f t="shared" si="30"/>
        <v>1</v>
      </c>
      <c r="R119" s="670">
        <f t="shared" si="31"/>
        <v>0</v>
      </c>
      <c r="S119" s="322">
        <f t="shared" si="22"/>
        <v>0</v>
      </c>
    </row>
    <row r="120" spans="1:19">
      <c r="A120" s="155"/>
      <c r="B120" s="57"/>
      <c r="C120" s="24">
        <f t="shared" si="23"/>
        <v>1</v>
      </c>
      <c r="D120" s="674"/>
      <c r="E120" s="24">
        <f t="shared" si="24"/>
        <v>1</v>
      </c>
      <c r="F120" s="674"/>
      <c r="G120" s="24">
        <f t="shared" si="25"/>
        <v>1</v>
      </c>
      <c r="H120" s="674"/>
      <c r="I120" s="24">
        <f t="shared" si="26"/>
        <v>1</v>
      </c>
      <c r="J120" s="674"/>
      <c r="K120" s="24">
        <f t="shared" si="27"/>
        <v>1</v>
      </c>
      <c r="L120" s="674"/>
      <c r="M120" s="24">
        <f t="shared" si="28"/>
        <v>1</v>
      </c>
      <c r="N120" s="674"/>
      <c r="O120" s="24">
        <f t="shared" si="29"/>
        <v>1</v>
      </c>
      <c r="P120" s="674"/>
      <c r="Q120" s="24">
        <f t="shared" si="30"/>
        <v>1</v>
      </c>
      <c r="R120" s="670">
        <f t="shared" si="31"/>
        <v>0</v>
      </c>
      <c r="S120" s="322">
        <f t="shared" si="22"/>
        <v>0</v>
      </c>
    </row>
    <row r="121" spans="1:19">
      <c r="A121" s="155"/>
      <c r="B121" s="57"/>
      <c r="C121" s="24">
        <f t="shared" si="23"/>
        <v>1</v>
      </c>
      <c r="D121" s="674"/>
      <c r="E121" s="24">
        <f t="shared" si="24"/>
        <v>1</v>
      </c>
      <c r="F121" s="674"/>
      <c r="G121" s="24">
        <f t="shared" si="25"/>
        <v>1</v>
      </c>
      <c r="H121" s="674"/>
      <c r="I121" s="24">
        <f t="shared" si="26"/>
        <v>1</v>
      </c>
      <c r="J121" s="674"/>
      <c r="K121" s="24">
        <f t="shared" si="27"/>
        <v>1</v>
      </c>
      <c r="L121" s="674"/>
      <c r="M121" s="24">
        <f t="shared" si="28"/>
        <v>1</v>
      </c>
      <c r="N121" s="674"/>
      <c r="O121" s="24">
        <f t="shared" si="29"/>
        <v>1</v>
      </c>
      <c r="P121" s="674"/>
      <c r="Q121" s="24">
        <f t="shared" si="30"/>
        <v>1</v>
      </c>
      <c r="R121" s="670">
        <f t="shared" si="31"/>
        <v>0</v>
      </c>
      <c r="S121" s="322">
        <f t="shared" si="22"/>
        <v>0</v>
      </c>
    </row>
    <row r="122" spans="1:19">
      <c r="A122" s="155"/>
      <c r="B122" s="57"/>
      <c r="C122" s="24">
        <f t="shared" si="23"/>
        <v>1</v>
      </c>
      <c r="D122" s="674"/>
      <c r="E122" s="24">
        <f t="shared" si="24"/>
        <v>1</v>
      </c>
      <c r="F122" s="674"/>
      <c r="G122" s="24">
        <f t="shared" si="25"/>
        <v>1</v>
      </c>
      <c r="H122" s="674"/>
      <c r="I122" s="24">
        <f t="shared" si="26"/>
        <v>1</v>
      </c>
      <c r="J122" s="674"/>
      <c r="K122" s="24">
        <f t="shared" si="27"/>
        <v>1</v>
      </c>
      <c r="L122" s="674"/>
      <c r="M122" s="24">
        <f t="shared" si="28"/>
        <v>1</v>
      </c>
      <c r="N122" s="674"/>
      <c r="O122" s="24">
        <f t="shared" si="29"/>
        <v>1</v>
      </c>
      <c r="P122" s="674"/>
      <c r="Q122" s="24">
        <f t="shared" si="30"/>
        <v>1</v>
      </c>
      <c r="R122" s="670">
        <f t="shared" si="31"/>
        <v>0</v>
      </c>
      <c r="S122" s="322">
        <f t="shared" si="22"/>
        <v>0</v>
      </c>
    </row>
    <row r="123" spans="1:19">
      <c r="A123" s="155"/>
      <c r="B123" s="57"/>
      <c r="C123" s="24">
        <f t="shared" si="23"/>
        <v>1</v>
      </c>
      <c r="D123" s="674"/>
      <c r="E123" s="24">
        <f t="shared" si="24"/>
        <v>1</v>
      </c>
      <c r="F123" s="674"/>
      <c r="G123" s="24">
        <f t="shared" si="25"/>
        <v>1</v>
      </c>
      <c r="H123" s="674"/>
      <c r="I123" s="24">
        <f t="shared" si="26"/>
        <v>1</v>
      </c>
      <c r="J123" s="674"/>
      <c r="K123" s="24">
        <f t="shared" si="27"/>
        <v>1</v>
      </c>
      <c r="L123" s="674"/>
      <c r="M123" s="24">
        <f t="shared" si="28"/>
        <v>1</v>
      </c>
      <c r="N123" s="674"/>
      <c r="O123" s="24">
        <f t="shared" si="29"/>
        <v>1</v>
      </c>
      <c r="P123" s="674"/>
      <c r="Q123" s="24">
        <f t="shared" si="30"/>
        <v>1</v>
      </c>
      <c r="R123" s="670">
        <f t="shared" si="31"/>
        <v>0</v>
      </c>
      <c r="S123" s="322">
        <f t="shared" ref="S123:S186" si="32">ROUND(R123*B123/10000,0)</f>
        <v>0</v>
      </c>
    </row>
    <row r="124" spans="1:19">
      <c r="A124" s="155"/>
      <c r="B124" s="57"/>
      <c r="C124" s="24">
        <f t="shared" si="23"/>
        <v>1</v>
      </c>
      <c r="D124" s="674"/>
      <c r="E124" s="24">
        <f t="shared" si="24"/>
        <v>1</v>
      </c>
      <c r="F124" s="674"/>
      <c r="G124" s="24">
        <f t="shared" si="25"/>
        <v>1</v>
      </c>
      <c r="H124" s="674"/>
      <c r="I124" s="24">
        <f t="shared" si="26"/>
        <v>1</v>
      </c>
      <c r="J124" s="674"/>
      <c r="K124" s="24">
        <f t="shared" si="27"/>
        <v>1</v>
      </c>
      <c r="L124" s="674"/>
      <c r="M124" s="24">
        <f t="shared" si="28"/>
        <v>1</v>
      </c>
      <c r="N124" s="674"/>
      <c r="O124" s="24">
        <f t="shared" si="29"/>
        <v>1</v>
      </c>
      <c r="P124" s="674"/>
      <c r="Q124" s="24">
        <f t="shared" si="30"/>
        <v>1</v>
      </c>
      <c r="R124" s="670">
        <f t="shared" si="31"/>
        <v>0</v>
      </c>
      <c r="S124" s="322">
        <f t="shared" si="32"/>
        <v>0</v>
      </c>
    </row>
    <row r="125" spans="1:19">
      <c r="A125" s="155"/>
      <c r="B125" s="57"/>
      <c r="C125" s="24">
        <f t="shared" si="23"/>
        <v>1</v>
      </c>
      <c r="D125" s="674"/>
      <c r="E125" s="24">
        <f t="shared" si="24"/>
        <v>1</v>
      </c>
      <c r="F125" s="674"/>
      <c r="G125" s="24">
        <f t="shared" si="25"/>
        <v>1</v>
      </c>
      <c r="H125" s="674"/>
      <c r="I125" s="24">
        <f t="shared" si="26"/>
        <v>1</v>
      </c>
      <c r="J125" s="674"/>
      <c r="K125" s="24">
        <f t="shared" si="27"/>
        <v>1</v>
      </c>
      <c r="L125" s="674"/>
      <c r="M125" s="24">
        <f t="shared" si="28"/>
        <v>1</v>
      </c>
      <c r="N125" s="674"/>
      <c r="O125" s="24">
        <f t="shared" si="29"/>
        <v>1</v>
      </c>
      <c r="P125" s="674"/>
      <c r="Q125" s="24">
        <f t="shared" si="30"/>
        <v>1</v>
      </c>
      <c r="R125" s="670">
        <f t="shared" si="31"/>
        <v>0</v>
      </c>
      <c r="S125" s="322">
        <f t="shared" si="32"/>
        <v>0</v>
      </c>
    </row>
    <row r="126" spans="1:19">
      <c r="A126" s="155"/>
      <c r="B126" s="57"/>
      <c r="C126" s="24">
        <f t="shared" si="23"/>
        <v>1</v>
      </c>
      <c r="D126" s="674"/>
      <c r="E126" s="24">
        <f t="shared" si="24"/>
        <v>1</v>
      </c>
      <c r="F126" s="674"/>
      <c r="G126" s="24">
        <f t="shared" si="25"/>
        <v>1</v>
      </c>
      <c r="H126" s="674"/>
      <c r="I126" s="24">
        <f t="shared" si="26"/>
        <v>1</v>
      </c>
      <c r="J126" s="674"/>
      <c r="K126" s="24">
        <f t="shared" si="27"/>
        <v>1</v>
      </c>
      <c r="L126" s="674"/>
      <c r="M126" s="24">
        <f t="shared" si="28"/>
        <v>1</v>
      </c>
      <c r="N126" s="674"/>
      <c r="O126" s="24">
        <f t="shared" si="29"/>
        <v>1</v>
      </c>
      <c r="P126" s="674"/>
      <c r="Q126" s="24">
        <f t="shared" si="30"/>
        <v>1</v>
      </c>
      <c r="R126" s="670">
        <f t="shared" si="31"/>
        <v>0</v>
      </c>
      <c r="S126" s="322">
        <f t="shared" si="32"/>
        <v>0</v>
      </c>
    </row>
    <row r="127" spans="1:19">
      <c r="A127" s="155"/>
      <c r="B127" s="57"/>
      <c r="C127" s="24">
        <f t="shared" si="23"/>
        <v>1</v>
      </c>
      <c r="D127" s="674"/>
      <c r="E127" s="24">
        <f t="shared" si="24"/>
        <v>1</v>
      </c>
      <c r="F127" s="674"/>
      <c r="G127" s="24">
        <f t="shared" si="25"/>
        <v>1</v>
      </c>
      <c r="H127" s="674"/>
      <c r="I127" s="24">
        <f t="shared" si="26"/>
        <v>1</v>
      </c>
      <c r="J127" s="674"/>
      <c r="K127" s="24">
        <f t="shared" si="27"/>
        <v>1</v>
      </c>
      <c r="L127" s="674"/>
      <c r="M127" s="24">
        <f t="shared" si="28"/>
        <v>1</v>
      </c>
      <c r="N127" s="674"/>
      <c r="O127" s="24">
        <f t="shared" si="29"/>
        <v>1</v>
      </c>
      <c r="P127" s="674"/>
      <c r="Q127" s="24">
        <f t="shared" si="30"/>
        <v>1</v>
      </c>
      <c r="R127" s="670">
        <f t="shared" si="31"/>
        <v>0</v>
      </c>
      <c r="S127" s="322">
        <f t="shared" si="32"/>
        <v>0</v>
      </c>
    </row>
    <row r="128" spans="1:19">
      <c r="A128" s="155"/>
      <c r="B128" s="57"/>
      <c r="C128" s="24">
        <f t="shared" si="23"/>
        <v>1</v>
      </c>
      <c r="D128" s="674"/>
      <c r="E128" s="24">
        <f t="shared" si="24"/>
        <v>1</v>
      </c>
      <c r="F128" s="674"/>
      <c r="G128" s="24">
        <f t="shared" si="25"/>
        <v>1</v>
      </c>
      <c r="H128" s="674"/>
      <c r="I128" s="24">
        <f t="shared" si="26"/>
        <v>1</v>
      </c>
      <c r="J128" s="674"/>
      <c r="K128" s="24">
        <f t="shared" si="27"/>
        <v>1</v>
      </c>
      <c r="L128" s="674"/>
      <c r="M128" s="24">
        <f t="shared" si="28"/>
        <v>1</v>
      </c>
      <c r="N128" s="674"/>
      <c r="O128" s="24">
        <f t="shared" si="29"/>
        <v>1</v>
      </c>
      <c r="P128" s="674"/>
      <c r="Q128" s="24">
        <f t="shared" si="30"/>
        <v>1</v>
      </c>
      <c r="R128" s="670">
        <f t="shared" si="31"/>
        <v>0</v>
      </c>
      <c r="S128" s="322">
        <f t="shared" si="32"/>
        <v>0</v>
      </c>
    </row>
    <row r="129" spans="1:19">
      <c r="A129" s="155"/>
      <c r="B129" s="57"/>
      <c r="C129" s="24">
        <f t="shared" si="23"/>
        <v>1</v>
      </c>
      <c r="D129" s="674"/>
      <c r="E129" s="24">
        <f t="shared" si="24"/>
        <v>1</v>
      </c>
      <c r="F129" s="674"/>
      <c r="G129" s="24">
        <f t="shared" si="25"/>
        <v>1</v>
      </c>
      <c r="H129" s="674"/>
      <c r="I129" s="24">
        <f t="shared" si="26"/>
        <v>1</v>
      </c>
      <c r="J129" s="674"/>
      <c r="K129" s="24">
        <f t="shared" si="27"/>
        <v>1</v>
      </c>
      <c r="L129" s="674"/>
      <c r="M129" s="24">
        <f t="shared" si="28"/>
        <v>1</v>
      </c>
      <c r="N129" s="674"/>
      <c r="O129" s="24">
        <f t="shared" si="29"/>
        <v>1</v>
      </c>
      <c r="P129" s="674"/>
      <c r="Q129" s="24">
        <f t="shared" si="30"/>
        <v>1</v>
      </c>
      <c r="R129" s="670">
        <f t="shared" si="31"/>
        <v>0</v>
      </c>
      <c r="S129" s="322">
        <f t="shared" si="32"/>
        <v>0</v>
      </c>
    </row>
    <row r="130" spans="1:19">
      <c r="A130" s="155"/>
      <c r="B130" s="57"/>
      <c r="C130" s="24">
        <f t="shared" si="23"/>
        <v>1</v>
      </c>
      <c r="D130" s="674"/>
      <c r="E130" s="24">
        <f t="shared" si="24"/>
        <v>1</v>
      </c>
      <c r="F130" s="674"/>
      <c r="G130" s="24">
        <f t="shared" si="25"/>
        <v>1</v>
      </c>
      <c r="H130" s="674"/>
      <c r="I130" s="24">
        <f t="shared" si="26"/>
        <v>1</v>
      </c>
      <c r="J130" s="674"/>
      <c r="K130" s="24">
        <f t="shared" si="27"/>
        <v>1</v>
      </c>
      <c r="L130" s="674"/>
      <c r="M130" s="24">
        <f t="shared" si="28"/>
        <v>1</v>
      </c>
      <c r="N130" s="674"/>
      <c r="O130" s="24">
        <f t="shared" si="29"/>
        <v>1</v>
      </c>
      <c r="P130" s="674"/>
      <c r="Q130" s="24">
        <f t="shared" si="30"/>
        <v>1</v>
      </c>
      <c r="R130" s="670">
        <f t="shared" si="31"/>
        <v>0</v>
      </c>
      <c r="S130" s="322">
        <f t="shared" si="32"/>
        <v>0</v>
      </c>
    </row>
    <row r="131" spans="1:19">
      <c r="A131" s="155"/>
      <c r="B131" s="57"/>
      <c r="C131" s="24">
        <f t="shared" si="23"/>
        <v>1</v>
      </c>
      <c r="D131" s="674"/>
      <c r="E131" s="24">
        <f t="shared" si="24"/>
        <v>1</v>
      </c>
      <c r="F131" s="674"/>
      <c r="G131" s="24">
        <f t="shared" si="25"/>
        <v>1</v>
      </c>
      <c r="H131" s="674"/>
      <c r="I131" s="24">
        <f t="shared" si="26"/>
        <v>1</v>
      </c>
      <c r="J131" s="674"/>
      <c r="K131" s="24">
        <f t="shared" si="27"/>
        <v>1</v>
      </c>
      <c r="L131" s="674"/>
      <c r="M131" s="24">
        <f t="shared" si="28"/>
        <v>1</v>
      </c>
      <c r="N131" s="674"/>
      <c r="O131" s="24">
        <f t="shared" si="29"/>
        <v>1</v>
      </c>
      <c r="P131" s="674"/>
      <c r="Q131" s="24">
        <f t="shared" si="30"/>
        <v>1</v>
      </c>
      <c r="R131" s="670">
        <f t="shared" si="31"/>
        <v>0</v>
      </c>
      <c r="S131" s="322">
        <f t="shared" si="32"/>
        <v>0</v>
      </c>
    </row>
    <row r="132" spans="1:19">
      <c r="A132" s="155"/>
      <c r="B132" s="57"/>
      <c r="C132" s="24">
        <f t="shared" si="23"/>
        <v>1</v>
      </c>
      <c r="D132" s="674"/>
      <c r="E132" s="24">
        <f t="shared" si="24"/>
        <v>1</v>
      </c>
      <c r="F132" s="674"/>
      <c r="G132" s="24">
        <f t="shared" si="25"/>
        <v>1</v>
      </c>
      <c r="H132" s="674"/>
      <c r="I132" s="24">
        <f t="shared" si="26"/>
        <v>1</v>
      </c>
      <c r="J132" s="674"/>
      <c r="K132" s="24">
        <f t="shared" si="27"/>
        <v>1</v>
      </c>
      <c r="L132" s="674"/>
      <c r="M132" s="24">
        <f t="shared" si="28"/>
        <v>1</v>
      </c>
      <c r="N132" s="674"/>
      <c r="O132" s="24">
        <f t="shared" si="29"/>
        <v>1</v>
      </c>
      <c r="P132" s="674"/>
      <c r="Q132" s="24">
        <f t="shared" si="30"/>
        <v>1</v>
      </c>
      <c r="R132" s="670">
        <f t="shared" si="31"/>
        <v>0</v>
      </c>
      <c r="S132" s="322">
        <f t="shared" si="32"/>
        <v>0</v>
      </c>
    </row>
    <row r="133" spans="1:19">
      <c r="A133" s="155"/>
      <c r="B133" s="57"/>
      <c r="C133" s="24">
        <f t="shared" si="23"/>
        <v>1</v>
      </c>
      <c r="D133" s="674"/>
      <c r="E133" s="24">
        <f t="shared" si="24"/>
        <v>1</v>
      </c>
      <c r="F133" s="674"/>
      <c r="G133" s="24">
        <f t="shared" si="25"/>
        <v>1</v>
      </c>
      <c r="H133" s="674"/>
      <c r="I133" s="24">
        <f t="shared" si="26"/>
        <v>1</v>
      </c>
      <c r="J133" s="674"/>
      <c r="K133" s="24">
        <f t="shared" si="27"/>
        <v>1</v>
      </c>
      <c r="L133" s="674"/>
      <c r="M133" s="24">
        <f t="shared" si="28"/>
        <v>1</v>
      </c>
      <c r="N133" s="674"/>
      <c r="O133" s="24">
        <f t="shared" si="29"/>
        <v>1</v>
      </c>
      <c r="P133" s="674"/>
      <c r="Q133" s="24">
        <f t="shared" si="30"/>
        <v>1</v>
      </c>
      <c r="R133" s="670">
        <f t="shared" si="31"/>
        <v>0</v>
      </c>
      <c r="S133" s="322">
        <f t="shared" si="32"/>
        <v>0</v>
      </c>
    </row>
    <row r="134" spans="1:19">
      <c r="A134" s="155"/>
      <c r="B134" s="57"/>
      <c r="C134" s="24">
        <f t="shared" si="23"/>
        <v>1</v>
      </c>
      <c r="D134" s="674"/>
      <c r="E134" s="24">
        <f t="shared" si="24"/>
        <v>1</v>
      </c>
      <c r="F134" s="674"/>
      <c r="G134" s="24">
        <f t="shared" si="25"/>
        <v>1</v>
      </c>
      <c r="H134" s="674"/>
      <c r="I134" s="24">
        <f t="shared" si="26"/>
        <v>1</v>
      </c>
      <c r="J134" s="674"/>
      <c r="K134" s="24">
        <f t="shared" si="27"/>
        <v>1</v>
      </c>
      <c r="L134" s="674"/>
      <c r="M134" s="24">
        <f t="shared" si="28"/>
        <v>1</v>
      </c>
      <c r="N134" s="674"/>
      <c r="O134" s="24">
        <f t="shared" si="29"/>
        <v>1</v>
      </c>
      <c r="P134" s="674"/>
      <c r="Q134" s="24">
        <f t="shared" si="30"/>
        <v>1</v>
      </c>
      <c r="R134" s="670">
        <f t="shared" si="31"/>
        <v>0</v>
      </c>
      <c r="S134" s="322">
        <f t="shared" si="32"/>
        <v>0</v>
      </c>
    </row>
    <row r="135" spans="1:19">
      <c r="A135" s="155"/>
      <c r="B135" s="57"/>
      <c r="C135" s="24">
        <f t="shared" si="23"/>
        <v>1</v>
      </c>
      <c r="D135" s="674"/>
      <c r="E135" s="24">
        <f t="shared" si="24"/>
        <v>1</v>
      </c>
      <c r="F135" s="674"/>
      <c r="G135" s="24">
        <f t="shared" si="25"/>
        <v>1</v>
      </c>
      <c r="H135" s="674"/>
      <c r="I135" s="24">
        <f t="shared" si="26"/>
        <v>1</v>
      </c>
      <c r="J135" s="674"/>
      <c r="K135" s="24">
        <f t="shared" si="27"/>
        <v>1</v>
      </c>
      <c r="L135" s="674"/>
      <c r="M135" s="24">
        <f t="shared" si="28"/>
        <v>1</v>
      </c>
      <c r="N135" s="674"/>
      <c r="O135" s="24">
        <f t="shared" si="29"/>
        <v>1</v>
      </c>
      <c r="P135" s="674"/>
      <c r="Q135" s="24">
        <f t="shared" si="30"/>
        <v>1</v>
      </c>
      <c r="R135" s="670">
        <f t="shared" si="31"/>
        <v>0</v>
      </c>
      <c r="S135" s="322">
        <f t="shared" si="32"/>
        <v>0</v>
      </c>
    </row>
    <row r="136" spans="1:19">
      <c r="A136" s="155"/>
      <c r="B136" s="57"/>
      <c r="C136" s="24">
        <f t="shared" si="23"/>
        <v>1</v>
      </c>
      <c r="D136" s="674"/>
      <c r="E136" s="24">
        <f t="shared" si="24"/>
        <v>1</v>
      </c>
      <c r="F136" s="674"/>
      <c r="G136" s="24">
        <f t="shared" si="25"/>
        <v>1</v>
      </c>
      <c r="H136" s="674"/>
      <c r="I136" s="24">
        <f t="shared" si="26"/>
        <v>1</v>
      </c>
      <c r="J136" s="674"/>
      <c r="K136" s="24">
        <f t="shared" si="27"/>
        <v>1</v>
      </c>
      <c r="L136" s="674"/>
      <c r="M136" s="24">
        <f t="shared" si="28"/>
        <v>1</v>
      </c>
      <c r="N136" s="674"/>
      <c r="O136" s="24">
        <f t="shared" si="29"/>
        <v>1</v>
      </c>
      <c r="P136" s="674"/>
      <c r="Q136" s="24">
        <f t="shared" si="30"/>
        <v>1</v>
      </c>
      <c r="R136" s="670">
        <f t="shared" si="31"/>
        <v>0</v>
      </c>
      <c r="S136" s="322">
        <f t="shared" si="32"/>
        <v>0</v>
      </c>
    </row>
    <row r="137" spans="1:19">
      <c r="A137" s="155"/>
      <c r="B137" s="57"/>
      <c r="C137" s="24">
        <f t="shared" si="23"/>
        <v>1</v>
      </c>
      <c r="D137" s="674"/>
      <c r="E137" s="24">
        <f t="shared" si="24"/>
        <v>1</v>
      </c>
      <c r="F137" s="674"/>
      <c r="G137" s="24">
        <f t="shared" si="25"/>
        <v>1</v>
      </c>
      <c r="H137" s="674"/>
      <c r="I137" s="24">
        <f t="shared" si="26"/>
        <v>1</v>
      </c>
      <c r="J137" s="674"/>
      <c r="K137" s="24">
        <f t="shared" si="27"/>
        <v>1</v>
      </c>
      <c r="L137" s="674"/>
      <c r="M137" s="24">
        <f t="shared" si="28"/>
        <v>1</v>
      </c>
      <c r="N137" s="674"/>
      <c r="O137" s="24">
        <f t="shared" si="29"/>
        <v>1</v>
      </c>
      <c r="P137" s="674"/>
      <c r="Q137" s="24">
        <f t="shared" si="30"/>
        <v>1</v>
      </c>
      <c r="R137" s="670">
        <f t="shared" si="31"/>
        <v>0</v>
      </c>
      <c r="S137" s="322">
        <f t="shared" si="32"/>
        <v>0</v>
      </c>
    </row>
    <row r="138" spans="1:19">
      <c r="A138" s="155"/>
      <c r="B138" s="57"/>
      <c r="C138" s="24">
        <f t="shared" si="23"/>
        <v>1</v>
      </c>
      <c r="D138" s="674"/>
      <c r="E138" s="24">
        <f t="shared" si="24"/>
        <v>1</v>
      </c>
      <c r="F138" s="674"/>
      <c r="G138" s="24">
        <f t="shared" si="25"/>
        <v>1</v>
      </c>
      <c r="H138" s="674"/>
      <c r="I138" s="24">
        <f t="shared" si="26"/>
        <v>1</v>
      </c>
      <c r="J138" s="674"/>
      <c r="K138" s="24">
        <f t="shared" si="27"/>
        <v>1</v>
      </c>
      <c r="L138" s="674"/>
      <c r="M138" s="24">
        <f t="shared" si="28"/>
        <v>1</v>
      </c>
      <c r="N138" s="674"/>
      <c r="O138" s="24">
        <f t="shared" si="29"/>
        <v>1</v>
      </c>
      <c r="P138" s="674"/>
      <c r="Q138" s="24">
        <f t="shared" si="30"/>
        <v>1</v>
      </c>
      <c r="R138" s="670">
        <f t="shared" si="31"/>
        <v>0</v>
      </c>
      <c r="S138" s="322">
        <f t="shared" si="32"/>
        <v>0</v>
      </c>
    </row>
    <row r="139" spans="1:19">
      <c r="A139" s="155"/>
      <c r="B139" s="57"/>
      <c r="C139" s="24">
        <f t="shared" si="23"/>
        <v>1</v>
      </c>
      <c r="D139" s="674"/>
      <c r="E139" s="24">
        <f t="shared" si="24"/>
        <v>1</v>
      </c>
      <c r="F139" s="674"/>
      <c r="G139" s="24">
        <f t="shared" si="25"/>
        <v>1</v>
      </c>
      <c r="H139" s="674"/>
      <c r="I139" s="24">
        <f t="shared" si="26"/>
        <v>1</v>
      </c>
      <c r="J139" s="674"/>
      <c r="K139" s="24">
        <f t="shared" si="27"/>
        <v>1</v>
      </c>
      <c r="L139" s="674"/>
      <c r="M139" s="24">
        <f t="shared" si="28"/>
        <v>1</v>
      </c>
      <c r="N139" s="674"/>
      <c r="O139" s="24">
        <f t="shared" si="29"/>
        <v>1</v>
      </c>
      <c r="P139" s="674"/>
      <c r="Q139" s="24">
        <f t="shared" si="30"/>
        <v>1</v>
      </c>
      <c r="R139" s="670">
        <f t="shared" si="31"/>
        <v>0</v>
      </c>
      <c r="S139" s="322">
        <f t="shared" si="32"/>
        <v>0</v>
      </c>
    </row>
    <row r="140" spans="1:19">
      <c r="A140" s="155"/>
      <c r="B140" s="57"/>
      <c r="C140" s="24">
        <f t="shared" si="23"/>
        <v>1</v>
      </c>
      <c r="D140" s="674"/>
      <c r="E140" s="24">
        <f t="shared" si="24"/>
        <v>1</v>
      </c>
      <c r="F140" s="674"/>
      <c r="G140" s="24">
        <f t="shared" si="25"/>
        <v>1</v>
      </c>
      <c r="H140" s="674"/>
      <c r="I140" s="24">
        <f t="shared" si="26"/>
        <v>1</v>
      </c>
      <c r="J140" s="674"/>
      <c r="K140" s="24">
        <f t="shared" si="27"/>
        <v>1</v>
      </c>
      <c r="L140" s="674"/>
      <c r="M140" s="24">
        <f t="shared" si="28"/>
        <v>1</v>
      </c>
      <c r="N140" s="674"/>
      <c r="O140" s="24">
        <f t="shared" si="29"/>
        <v>1</v>
      </c>
      <c r="P140" s="674"/>
      <c r="Q140" s="24">
        <f t="shared" si="30"/>
        <v>1</v>
      </c>
      <c r="R140" s="670">
        <f t="shared" si="31"/>
        <v>0</v>
      </c>
      <c r="S140" s="322">
        <f t="shared" si="32"/>
        <v>0</v>
      </c>
    </row>
    <row r="141" spans="1:19">
      <c r="A141" s="155"/>
      <c r="B141" s="57"/>
      <c r="C141" s="24">
        <f t="shared" si="23"/>
        <v>1</v>
      </c>
      <c r="D141" s="674"/>
      <c r="E141" s="24">
        <f t="shared" si="24"/>
        <v>1</v>
      </c>
      <c r="F141" s="674"/>
      <c r="G141" s="24">
        <f t="shared" si="25"/>
        <v>1</v>
      </c>
      <c r="H141" s="674"/>
      <c r="I141" s="24">
        <f t="shared" si="26"/>
        <v>1</v>
      </c>
      <c r="J141" s="674"/>
      <c r="K141" s="24">
        <f t="shared" si="27"/>
        <v>1</v>
      </c>
      <c r="L141" s="674"/>
      <c r="M141" s="24">
        <f t="shared" si="28"/>
        <v>1</v>
      </c>
      <c r="N141" s="674"/>
      <c r="O141" s="24">
        <f t="shared" si="29"/>
        <v>1</v>
      </c>
      <c r="P141" s="674"/>
      <c r="Q141" s="24">
        <f t="shared" si="30"/>
        <v>1</v>
      </c>
      <c r="R141" s="670">
        <f t="shared" si="31"/>
        <v>0</v>
      </c>
      <c r="S141" s="322">
        <f t="shared" si="32"/>
        <v>0</v>
      </c>
    </row>
    <row r="142" spans="1:19">
      <c r="A142" s="155"/>
      <c r="B142" s="57"/>
      <c r="C142" s="24">
        <f t="shared" si="23"/>
        <v>1</v>
      </c>
      <c r="D142" s="674"/>
      <c r="E142" s="24">
        <f t="shared" si="24"/>
        <v>1</v>
      </c>
      <c r="F142" s="674"/>
      <c r="G142" s="24">
        <f t="shared" si="25"/>
        <v>1</v>
      </c>
      <c r="H142" s="674"/>
      <c r="I142" s="24">
        <f t="shared" si="26"/>
        <v>1</v>
      </c>
      <c r="J142" s="674"/>
      <c r="K142" s="24">
        <f t="shared" si="27"/>
        <v>1</v>
      </c>
      <c r="L142" s="674"/>
      <c r="M142" s="24">
        <f t="shared" si="28"/>
        <v>1</v>
      </c>
      <c r="N142" s="674"/>
      <c r="O142" s="24">
        <f t="shared" si="29"/>
        <v>1</v>
      </c>
      <c r="P142" s="674"/>
      <c r="Q142" s="24">
        <f t="shared" si="30"/>
        <v>1</v>
      </c>
      <c r="R142" s="670">
        <f t="shared" si="31"/>
        <v>0</v>
      </c>
      <c r="S142" s="322">
        <f t="shared" si="32"/>
        <v>0</v>
      </c>
    </row>
    <row r="143" spans="1:19">
      <c r="A143" s="155"/>
      <c r="B143" s="57"/>
      <c r="C143" s="24">
        <f t="shared" si="23"/>
        <v>1</v>
      </c>
      <c r="D143" s="674"/>
      <c r="E143" s="24">
        <f t="shared" si="24"/>
        <v>1</v>
      </c>
      <c r="F143" s="674"/>
      <c r="G143" s="24">
        <f t="shared" si="25"/>
        <v>1</v>
      </c>
      <c r="H143" s="674"/>
      <c r="I143" s="24">
        <f t="shared" si="26"/>
        <v>1</v>
      </c>
      <c r="J143" s="674"/>
      <c r="K143" s="24">
        <f t="shared" si="27"/>
        <v>1</v>
      </c>
      <c r="L143" s="674"/>
      <c r="M143" s="24">
        <f t="shared" si="28"/>
        <v>1</v>
      </c>
      <c r="N143" s="674"/>
      <c r="O143" s="24">
        <f t="shared" si="29"/>
        <v>1</v>
      </c>
      <c r="P143" s="674"/>
      <c r="Q143" s="24">
        <f t="shared" si="30"/>
        <v>1</v>
      </c>
      <c r="R143" s="670">
        <f t="shared" si="31"/>
        <v>0</v>
      </c>
      <c r="S143" s="322">
        <f t="shared" si="32"/>
        <v>0</v>
      </c>
    </row>
    <row r="144" spans="1:19">
      <c r="A144" s="155"/>
      <c r="B144" s="57"/>
      <c r="C144" s="24">
        <f t="shared" si="23"/>
        <v>1</v>
      </c>
      <c r="D144" s="674"/>
      <c r="E144" s="24">
        <f t="shared" si="24"/>
        <v>1</v>
      </c>
      <c r="F144" s="674"/>
      <c r="G144" s="24">
        <f t="shared" si="25"/>
        <v>1</v>
      </c>
      <c r="H144" s="674"/>
      <c r="I144" s="24">
        <f t="shared" si="26"/>
        <v>1</v>
      </c>
      <c r="J144" s="674"/>
      <c r="K144" s="24">
        <f t="shared" si="27"/>
        <v>1</v>
      </c>
      <c r="L144" s="674"/>
      <c r="M144" s="24">
        <f t="shared" si="28"/>
        <v>1</v>
      </c>
      <c r="N144" s="674"/>
      <c r="O144" s="24">
        <f t="shared" si="29"/>
        <v>1</v>
      </c>
      <c r="P144" s="674"/>
      <c r="Q144" s="24">
        <f t="shared" si="30"/>
        <v>1</v>
      </c>
      <c r="R144" s="670">
        <f t="shared" si="31"/>
        <v>0</v>
      </c>
      <c r="S144" s="322">
        <f t="shared" si="32"/>
        <v>0</v>
      </c>
    </row>
    <row r="145" spans="1:19">
      <c r="A145" s="155"/>
      <c r="B145" s="57"/>
      <c r="C145" s="24">
        <f t="shared" si="23"/>
        <v>1</v>
      </c>
      <c r="D145" s="674"/>
      <c r="E145" s="24">
        <f t="shared" si="24"/>
        <v>1</v>
      </c>
      <c r="F145" s="674"/>
      <c r="G145" s="24">
        <f t="shared" si="25"/>
        <v>1</v>
      </c>
      <c r="H145" s="674"/>
      <c r="I145" s="24">
        <f t="shared" si="26"/>
        <v>1</v>
      </c>
      <c r="J145" s="674"/>
      <c r="K145" s="24">
        <f t="shared" si="27"/>
        <v>1</v>
      </c>
      <c r="L145" s="674"/>
      <c r="M145" s="24">
        <f t="shared" si="28"/>
        <v>1</v>
      </c>
      <c r="N145" s="674"/>
      <c r="O145" s="24">
        <f t="shared" si="29"/>
        <v>1</v>
      </c>
      <c r="P145" s="674"/>
      <c r="Q145" s="24">
        <f t="shared" si="30"/>
        <v>1</v>
      </c>
      <c r="R145" s="670">
        <f t="shared" si="31"/>
        <v>0</v>
      </c>
      <c r="S145" s="322">
        <f t="shared" si="32"/>
        <v>0</v>
      </c>
    </row>
    <row r="146" spans="1:19">
      <c r="A146" s="155"/>
      <c r="B146" s="57"/>
      <c r="C146" s="24">
        <f t="shared" si="23"/>
        <v>1</v>
      </c>
      <c r="D146" s="674"/>
      <c r="E146" s="24">
        <f t="shared" si="24"/>
        <v>1</v>
      </c>
      <c r="F146" s="674"/>
      <c r="G146" s="24">
        <f t="shared" si="25"/>
        <v>1</v>
      </c>
      <c r="H146" s="674"/>
      <c r="I146" s="24">
        <f t="shared" si="26"/>
        <v>1</v>
      </c>
      <c r="J146" s="674"/>
      <c r="K146" s="24">
        <f t="shared" si="27"/>
        <v>1</v>
      </c>
      <c r="L146" s="674"/>
      <c r="M146" s="24">
        <f t="shared" si="28"/>
        <v>1</v>
      </c>
      <c r="N146" s="674"/>
      <c r="O146" s="24">
        <f t="shared" si="29"/>
        <v>1</v>
      </c>
      <c r="P146" s="674"/>
      <c r="Q146" s="24">
        <f t="shared" si="30"/>
        <v>1</v>
      </c>
      <c r="R146" s="670">
        <f t="shared" si="31"/>
        <v>0</v>
      </c>
      <c r="S146" s="322">
        <f t="shared" si="32"/>
        <v>0</v>
      </c>
    </row>
    <row r="147" spans="1:19">
      <c r="A147" s="155"/>
      <c r="B147" s="57"/>
      <c r="C147" s="24">
        <f t="shared" si="23"/>
        <v>1</v>
      </c>
      <c r="D147" s="674"/>
      <c r="E147" s="24">
        <f t="shared" si="24"/>
        <v>1</v>
      </c>
      <c r="F147" s="674"/>
      <c r="G147" s="24">
        <f t="shared" si="25"/>
        <v>1</v>
      </c>
      <c r="H147" s="674"/>
      <c r="I147" s="24">
        <f t="shared" si="26"/>
        <v>1</v>
      </c>
      <c r="J147" s="674"/>
      <c r="K147" s="24">
        <f t="shared" si="27"/>
        <v>1</v>
      </c>
      <c r="L147" s="674"/>
      <c r="M147" s="24">
        <f t="shared" si="28"/>
        <v>1</v>
      </c>
      <c r="N147" s="674"/>
      <c r="O147" s="24">
        <f t="shared" si="29"/>
        <v>1</v>
      </c>
      <c r="P147" s="674"/>
      <c r="Q147" s="24">
        <f t="shared" si="30"/>
        <v>1</v>
      </c>
      <c r="R147" s="670">
        <f t="shared" si="31"/>
        <v>0</v>
      </c>
      <c r="S147" s="322">
        <f t="shared" si="32"/>
        <v>0</v>
      </c>
    </row>
    <row r="148" spans="1:19">
      <c r="A148" s="155"/>
      <c r="B148" s="57"/>
      <c r="C148" s="24">
        <f t="shared" si="23"/>
        <v>1</v>
      </c>
      <c r="D148" s="674"/>
      <c r="E148" s="24">
        <f t="shared" si="24"/>
        <v>1</v>
      </c>
      <c r="F148" s="674"/>
      <c r="G148" s="24">
        <f t="shared" si="25"/>
        <v>1</v>
      </c>
      <c r="H148" s="674"/>
      <c r="I148" s="24">
        <f t="shared" si="26"/>
        <v>1</v>
      </c>
      <c r="J148" s="674"/>
      <c r="K148" s="24">
        <f t="shared" si="27"/>
        <v>1</v>
      </c>
      <c r="L148" s="674"/>
      <c r="M148" s="24">
        <f t="shared" si="28"/>
        <v>1</v>
      </c>
      <c r="N148" s="674"/>
      <c r="O148" s="24">
        <f t="shared" si="29"/>
        <v>1</v>
      </c>
      <c r="P148" s="674"/>
      <c r="Q148" s="24">
        <f t="shared" si="30"/>
        <v>1</v>
      </c>
      <c r="R148" s="670">
        <f t="shared" si="31"/>
        <v>0</v>
      </c>
      <c r="S148" s="322">
        <f t="shared" si="32"/>
        <v>0</v>
      </c>
    </row>
    <row r="149" spans="1:19">
      <c r="A149" s="155"/>
      <c r="B149" s="57"/>
      <c r="C149" s="24">
        <f t="shared" si="23"/>
        <v>1</v>
      </c>
      <c r="D149" s="674"/>
      <c r="E149" s="24">
        <f t="shared" si="24"/>
        <v>1</v>
      </c>
      <c r="F149" s="674"/>
      <c r="G149" s="24">
        <f t="shared" si="25"/>
        <v>1</v>
      </c>
      <c r="H149" s="674"/>
      <c r="I149" s="24">
        <f t="shared" si="26"/>
        <v>1</v>
      </c>
      <c r="J149" s="674"/>
      <c r="K149" s="24">
        <f t="shared" si="27"/>
        <v>1</v>
      </c>
      <c r="L149" s="674"/>
      <c r="M149" s="24">
        <f t="shared" si="28"/>
        <v>1</v>
      </c>
      <c r="N149" s="674"/>
      <c r="O149" s="24">
        <f t="shared" si="29"/>
        <v>1</v>
      </c>
      <c r="P149" s="674"/>
      <c r="Q149" s="24">
        <f t="shared" si="30"/>
        <v>1</v>
      </c>
      <c r="R149" s="670">
        <f t="shared" si="31"/>
        <v>0</v>
      </c>
      <c r="S149" s="322">
        <f t="shared" si="32"/>
        <v>0</v>
      </c>
    </row>
    <row r="150" spans="1:19">
      <c r="A150" s="155"/>
      <c r="B150" s="57"/>
      <c r="C150" s="24">
        <f t="shared" si="23"/>
        <v>1</v>
      </c>
      <c r="D150" s="674"/>
      <c r="E150" s="24">
        <f t="shared" si="24"/>
        <v>1</v>
      </c>
      <c r="F150" s="674"/>
      <c r="G150" s="24">
        <f t="shared" si="25"/>
        <v>1</v>
      </c>
      <c r="H150" s="674"/>
      <c r="I150" s="24">
        <f t="shared" si="26"/>
        <v>1</v>
      </c>
      <c r="J150" s="674"/>
      <c r="K150" s="24">
        <f t="shared" si="27"/>
        <v>1</v>
      </c>
      <c r="L150" s="674"/>
      <c r="M150" s="24">
        <f t="shared" si="28"/>
        <v>1</v>
      </c>
      <c r="N150" s="674"/>
      <c r="O150" s="24">
        <f t="shared" si="29"/>
        <v>1</v>
      </c>
      <c r="P150" s="674"/>
      <c r="Q150" s="24">
        <f t="shared" si="30"/>
        <v>1</v>
      </c>
      <c r="R150" s="670">
        <f t="shared" si="31"/>
        <v>0</v>
      </c>
      <c r="S150" s="322">
        <f t="shared" si="32"/>
        <v>0</v>
      </c>
    </row>
    <row r="151" spans="1:19">
      <c r="A151" s="155"/>
      <c r="B151" s="57"/>
      <c r="C151" s="24">
        <f t="shared" si="23"/>
        <v>1</v>
      </c>
      <c r="D151" s="674"/>
      <c r="E151" s="24">
        <f t="shared" si="24"/>
        <v>1</v>
      </c>
      <c r="F151" s="674"/>
      <c r="G151" s="24">
        <f t="shared" si="25"/>
        <v>1</v>
      </c>
      <c r="H151" s="674"/>
      <c r="I151" s="24">
        <f t="shared" si="26"/>
        <v>1</v>
      </c>
      <c r="J151" s="674"/>
      <c r="K151" s="24">
        <f t="shared" si="27"/>
        <v>1</v>
      </c>
      <c r="L151" s="674"/>
      <c r="M151" s="24">
        <f t="shared" si="28"/>
        <v>1</v>
      </c>
      <c r="N151" s="674"/>
      <c r="O151" s="24">
        <f t="shared" si="29"/>
        <v>1</v>
      </c>
      <c r="P151" s="674"/>
      <c r="Q151" s="24">
        <f t="shared" si="30"/>
        <v>1</v>
      </c>
      <c r="R151" s="670">
        <f t="shared" si="31"/>
        <v>0</v>
      </c>
      <c r="S151" s="322">
        <f t="shared" si="32"/>
        <v>0</v>
      </c>
    </row>
    <row r="152" spans="1:19">
      <c r="A152" s="155"/>
      <c r="B152" s="57"/>
      <c r="C152" s="24">
        <f t="shared" si="23"/>
        <v>1</v>
      </c>
      <c r="D152" s="674"/>
      <c r="E152" s="24">
        <f t="shared" si="24"/>
        <v>1</v>
      </c>
      <c r="F152" s="674"/>
      <c r="G152" s="24">
        <f t="shared" si="25"/>
        <v>1</v>
      </c>
      <c r="H152" s="674"/>
      <c r="I152" s="24">
        <f t="shared" si="26"/>
        <v>1</v>
      </c>
      <c r="J152" s="674"/>
      <c r="K152" s="24">
        <f t="shared" si="27"/>
        <v>1</v>
      </c>
      <c r="L152" s="674"/>
      <c r="M152" s="24">
        <f t="shared" si="28"/>
        <v>1</v>
      </c>
      <c r="N152" s="674"/>
      <c r="O152" s="24">
        <f t="shared" si="29"/>
        <v>1</v>
      </c>
      <c r="P152" s="674"/>
      <c r="Q152" s="24">
        <f t="shared" si="30"/>
        <v>1</v>
      </c>
      <c r="R152" s="670">
        <f t="shared" si="31"/>
        <v>0</v>
      </c>
      <c r="S152" s="322">
        <f t="shared" si="32"/>
        <v>0</v>
      </c>
    </row>
    <row r="153" spans="1:19">
      <c r="A153" s="155"/>
      <c r="B153" s="57"/>
      <c r="C153" s="24">
        <f t="shared" si="23"/>
        <v>1</v>
      </c>
      <c r="D153" s="674"/>
      <c r="E153" s="24">
        <f t="shared" si="24"/>
        <v>1</v>
      </c>
      <c r="F153" s="674"/>
      <c r="G153" s="24">
        <f t="shared" si="25"/>
        <v>1</v>
      </c>
      <c r="H153" s="674"/>
      <c r="I153" s="24">
        <f t="shared" si="26"/>
        <v>1</v>
      </c>
      <c r="J153" s="674"/>
      <c r="K153" s="24">
        <f t="shared" si="27"/>
        <v>1</v>
      </c>
      <c r="L153" s="674"/>
      <c r="M153" s="24">
        <f t="shared" si="28"/>
        <v>1</v>
      </c>
      <c r="N153" s="674"/>
      <c r="O153" s="24">
        <f t="shared" si="29"/>
        <v>1</v>
      </c>
      <c r="P153" s="674"/>
      <c r="Q153" s="24">
        <f t="shared" si="30"/>
        <v>1</v>
      </c>
      <c r="R153" s="670">
        <f t="shared" si="31"/>
        <v>0</v>
      </c>
      <c r="S153" s="322">
        <f t="shared" si="32"/>
        <v>0</v>
      </c>
    </row>
    <row r="154" spans="1:19">
      <c r="A154" s="155"/>
      <c r="B154" s="57"/>
      <c r="C154" s="24">
        <f t="shared" ref="C154:C217" si="33">IF(B154="",1,(LOOKUP(B154,$3:$3,$4:$4)-LOOKUP($B$24,$3:$3,$4:$4)+100)/100)</f>
        <v>1</v>
      </c>
      <c r="D154" s="674"/>
      <c r="E154" s="24">
        <f t="shared" ref="E154:E217" si="34">(SUMIF($5:$5,D154,$6:$6)-SUMIF($5:$5,$D$24,$6:$6)+100)/100</f>
        <v>1</v>
      </c>
      <c r="F154" s="674"/>
      <c r="G154" s="24">
        <f t="shared" ref="G154:G217" si="35">(SUMIF($7:$7,F154,$8:$8)-SUMIF($7:$7,$F$24,$8:$8)+100)/100</f>
        <v>1</v>
      </c>
      <c r="H154" s="674"/>
      <c r="I154" s="24">
        <f t="shared" ref="I154:I217" si="36">(SUMIF($9:$9,H154,$10:$10)-SUMIF($9:$9,$H$24,$10:$10)+100)/100</f>
        <v>1</v>
      </c>
      <c r="J154" s="674"/>
      <c r="K154" s="24">
        <f t="shared" ref="K154:K217" si="37">(SUMIF($11:$11,J154,$12:$12)-SUMIF($11:$11,$J$24,$12:$12)+100)/100</f>
        <v>1</v>
      </c>
      <c r="L154" s="674"/>
      <c r="M154" s="24">
        <f t="shared" ref="M154:M217" si="38">(SUMIF($13:$13,L154,$14:$14)-SUMIF($13:$13,$L$24,$14:$14)+100)/100</f>
        <v>1</v>
      </c>
      <c r="N154" s="674"/>
      <c r="O154" s="24">
        <f t="shared" ref="O154:O217" si="39">(SUMIF($15:$15,N154,$16:$16)-SUMIF($15:$15,$N$24,$16:$16)+100)/100</f>
        <v>1</v>
      </c>
      <c r="P154" s="674"/>
      <c r="Q154" s="24">
        <f t="shared" ref="Q154:Q217" si="40">(SUMIF($17:$17,P154,$18:$18)-SUMIF($17:$17,$P$24,$18:$18)+100)/100</f>
        <v>1</v>
      </c>
      <c r="R154" s="670">
        <f t="shared" ref="R154:R217" si="41">IF(B154="",0,ROUND($R$24*C154*E154*G154*I154*K154*M154*O154*Q154,0))</f>
        <v>0</v>
      </c>
      <c r="S154" s="322">
        <f t="shared" si="32"/>
        <v>0</v>
      </c>
    </row>
    <row r="155" spans="1:19">
      <c r="A155" s="155"/>
      <c r="B155" s="57"/>
      <c r="C155" s="24">
        <f t="shared" si="33"/>
        <v>1</v>
      </c>
      <c r="D155" s="674"/>
      <c r="E155" s="24">
        <f t="shared" si="34"/>
        <v>1</v>
      </c>
      <c r="F155" s="674"/>
      <c r="G155" s="24">
        <f t="shared" si="35"/>
        <v>1</v>
      </c>
      <c r="H155" s="674"/>
      <c r="I155" s="24">
        <f t="shared" si="36"/>
        <v>1</v>
      </c>
      <c r="J155" s="674"/>
      <c r="K155" s="24">
        <f t="shared" si="37"/>
        <v>1</v>
      </c>
      <c r="L155" s="674"/>
      <c r="M155" s="24">
        <f t="shared" si="38"/>
        <v>1</v>
      </c>
      <c r="N155" s="674"/>
      <c r="O155" s="24">
        <f t="shared" si="39"/>
        <v>1</v>
      </c>
      <c r="P155" s="674"/>
      <c r="Q155" s="24">
        <f t="shared" si="40"/>
        <v>1</v>
      </c>
      <c r="R155" s="670">
        <f t="shared" si="41"/>
        <v>0</v>
      </c>
      <c r="S155" s="322">
        <f t="shared" si="32"/>
        <v>0</v>
      </c>
    </row>
    <row r="156" spans="1:19">
      <c r="A156" s="155"/>
      <c r="B156" s="57"/>
      <c r="C156" s="24">
        <f t="shared" si="33"/>
        <v>1</v>
      </c>
      <c r="D156" s="674"/>
      <c r="E156" s="24">
        <f t="shared" si="34"/>
        <v>1</v>
      </c>
      <c r="F156" s="674"/>
      <c r="G156" s="24">
        <f t="shared" si="35"/>
        <v>1</v>
      </c>
      <c r="H156" s="674"/>
      <c r="I156" s="24">
        <f t="shared" si="36"/>
        <v>1</v>
      </c>
      <c r="J156" s="674"/>
      <c r="K156" s="24">
        <f t="shared" si="37"/>
        <v>1</v>
      </c>
      <c r="L156" s="674"/>
      <c r="M156" s="24">
        <f t="shared" si="38"/>
        <v>1</v>
      </c>
      <c r="N156" s="674"/>
      <c r="O156" s="24">
        <f t="shared" si="39"/>
        <v>1</v>
      </c>
      <c r="P156" s="674"/>
      <c r="Q156" s="24">
        <f t="shared" si="40"/>
        <v>1</v>
      </c>
      <c r="R156" s="670">
        <f t="shared" si="41"/>
        <v>0</v>
      </c>
      <c r="S156" s="322">
        <f t="shared" si="32"/>
        <v>0</v>
      </c>
    </row>
    <row r="157" spans="1:19">
      <c r="A157" s="155"/>
      <c r="B157" s="57"/>
      <c r="C157" s="24">
        <f t="shared" si="33"/>
        <v>1</v>
      </c>
      <c r="D157" s="674"/>
      <c r="E157" s="24">
        <f t="shared" si="34"/>
        <v>1</v>
      </c>
      <c r="F157" s="674"/>
      <c r="G157" s="24">
        <f t="shared" si="35"/>
        <v>1</v>
      </c>
      <c r="H157" s="674"/>
      <c r="I157" s="24">
        <f t="shared" si="36"/>
        <v>1</v>
      </c>
      <c r="J157" s="674"/>
      <c r="K157" s="24">
        <f t="shared" si="37"/>
        <v>1</v>
      </c>
      <c r="L157" s="674"/>
      <c r="M157" s="24">
        <f t="shared" si="38"/>
        <v>1</v>
      </c>
      <c r="N157" s="674"/>
      <c r="O157" s="24">
        <f t="shared" si="39"/>
        <v>1</v>
      </c>
      <c r="P157" s="674"/>
      <c r="Q157" s="24">
        <f t="shared" si="40"/>
        <v>1</v>
      </c>
      <c r="R157" s="670">
        <f t="shared" si="41"/>
        <v>0</v>
      </c>
      <c r="S157" s="322">
        <f t="shared" si="32"/>
        <v>0</v>
      </c>
    </row>
    <row r="158" spans="1:19">
      <c r="A158" s="155"/>
      <c r="B158" s="57"/>
      <c r="C158" s="24">
        <f t="shared" si="33"/>
        <v>1</v>
      </c>
      <c r="D158" s="674"/>
      <c r="E158" s="24">
        <f t="shared" si="34"/>
        <v>1</v>
      </c>
      <c r="F158" s="674"/>
      <c r="G158" s="24">
        <f t="shared" si="35"/>
        <v>1</v>
      </c>
      <c r="H158" s="674"/>
      <c r="I158" s="24">
        <f t="shared" si="36"/>
        <v>1</v>
      </c>
      <c r="J158" s="674"/>
      <c r="K158" s="24">
        <f t="shared" si="37"/>
        <v>1</v>
      </c>
      <c r="L158" s="674"/>
      <c r="M158" s="24">
        <f t="shared" si="38"/>
        <v>1</v>
      </c>
      <c r="N158" s="674"/>
      <c r="O158" s="24">
        <f t="shared" si="39"/>
        <v>1</v>
      </c>
      <c r="P158" s="674"/>
      <c r="Q158" s="24">
        <f t="shared" si="40"/>
        <v>1</v>
      </c>
      <c r="R158" s="670">
        <f t="shared" si="41"/>
        <v>0</v>
      </c>
      <c r="S158" s="322">
        <f t="shared" si="32"/>
        <v>0</v>
      </c>
    </row>
    <row r="159" spans="1:19">
      <c r="A159" s="155"/>
      <c r="B159" s="57"/>
      <c r="C159" s="24">
        <f t="shared" si="33"/>
        <v>1</v>
      </c>
      <c r="D159" s="674"/>
      <c r="E159" s="24">
        <f t="shared" si="34"/>
        <v>1</v>
      </c>
      <c r="F159" s="674"/>
      <c r="G159" s="24">
        <f t="shared" si="35"/>
        <v>1</v>
      </c>
      <c r="H159" s="674"/>
      <c r="I159" s="24">
        <f t="shared" si="36"/>
        <v>1</v>
      </c>
      <c r="J159" s="674"/>
      <c r="K159" s="24">
        <f t="shared" si="37"/>
        <v>1</v>
      </c>
      <c r="L159" s="674"/>
      <c r="M159" s="24">
        <f t="shared" si="38"/>
        <v>1</v>
      </c>
      <c r="N159" s="674"/>
      <c r="O159" s="24">
        <f t="shared" si="39"/>
        <v>1</v>
      </c>
      <c r="P159" s="674"/>
      <c r="Q159" s="24">
        <f t="shared" si="40"/>
        <v>1</v>
      </c>
      <c r="R159" s="670">
        <f t="shared" si="41"/>
        <v>0</v>
      </c>
      <c r="S159" s="322">
        <f t="shared" si="32"/>
        <v>0</v>
      </c>
    </row>
    <row r="160" spans="1:19">
      <c r="A160" s="155"/>
      <c r="B160" s="57"/>
      <c r="C160" s="24">
        <f t="shared" si="33"/>
        <v>1</v>
      </c>
      <c r="D160" s="674"/>
      <c r="E160" s="24">
        <f t="shared" si="34"/>
        <v>1</v>
      </c>
      <c r="F160" s="674"/>
      <c r="G160" s="24">
        <f t="shared" si="35"/>
        <v>1</v>
      </c>
      <c r="H160" s="674"/>
      <c r="I160" s="24">
        <f t="shared" si="36"/>
        <v>1</v>
      </c>
      <c r="J160" s="674"/>
      <c r="K160" s="24">
        <f t="shared" si="37"/>
        <v>1</v>
      </c>
      <c r="L160" s="674"/>
      <c r="M160" s="24">
        <f t="shared" si="38"/>
        <v>1</v>
      </c>
      <c r="N160" s="674"/>
      <c r="O160" s="24">
        <f t="shared" si="39"/>
        <v>1</v>
      </c>
      <c r="P160" s="674"/>
      <c r="Q160" s="24">
        <f t="shared" si="40"/>
        <v>1</v>
      </c>
      <c r="R160" s="670">
        <f t="shared" si="41"/>
        <v>0</v>
      </c>
      <c r="S160" s="322">
        <f t="shared" si="32"/>
        <v>0</v>
      </c>
    </row>
    <row r="161" spans="1:19">
      <c r="A161" s="155"/>
      <c r="B161" s="57"/>
      <c r="C161" s="24">
        <f t="shared" si="33"/>
        <v>1</v>
      </c>
      <c r="D161" s="674"/>
      <c r="E161" s="24">
        <f t="shared" si="34"/>
        <v>1</v>
      </c>
      <c r="F161" s="674"/>
      <c r="G161" s="24">
        <f t="shared" si="35"/>
        <v>1</v>
      </c>
      <c r="H161" s="674"/>
      <c r="I161" s="24">
        <f t="shared" si="36"/>
        <v>1</v>
      </c>
      <c r="J161" s="674"/>
      <c r="K161" s="24">
        <f t="shared" si="37"/>
        <v>1</v>
      </c>
      <c r="L161" s="674"/>
      <c r="M161" s="24">
        <f t="shared" si="38"/>
        <v>1</v>
      </c>
      <c r="N161" s="674"/>
      <c r="O161" s="24">
        <f t="shared" si="39"/>
        <v>1</v>
      </c>
      <c r="P161" s="674"/>
      <c r="Q161" s="24">
        <f t="shared" si="40"/>
        <v>1</v>
      </c>
      <c r="R161" s="670">
        <f t="shared" si="41"/>
        <v>0</v>
      </c>
      <c r="S161" s="322">
        <f t="shared" si="32"/>
        <v>0</v>
      </c>
    </row>
    <row r="162" spans="1:19">
      <c r="A162" s="155"/>
      <c r="B162" s="57"/>
      <c r="C162" s="24">
        <f t="shared" si="33"/>
        <v>1</v>
      </c>
      <c r="D162" s="674"/>
      <c r="E162" s="24">
        <f t="shared" si="34"/>
        <v>1</v>
      </c>
      <c r="F162" s="674"/>
      <c r="G162" s="24">
        <f t="shared" si="35"/>
        <v>1</v>
      </c>
      <c r="H162" s="674"/>
      <c r="I162" s="24">
        <f t="shared" si="36"/>
        <v>1</v>
      </c>
      <c r="J162" s="674"/>
      <c r="K162" s="24">
        <f t="shared" si="37"/>
        <v>1</v>
      </c>
      <c r="L162" s="674"/>
      <c r="M162" s="24">
        <f t="shared" si="38"/>
        <v>1</v>
      </c>
      <c r="N162" s="674"/>
      <c r="O162" s="24">
        <f t="shared" si="39"/>
        <v>1</v>
      </c>
      <c r="P162" s="674"/>
      <c r="Q162" s="24">
        <f t="shared" si="40"/>
        <v>1</v>
      </c>
      <c r="R162" s="670">
        <f t="shared" si="41"/>
        <v>0</v>
      </c>
      <c r="S162" s="322">
        <f t="shared" si="32"/>
        <v>0</v>
      </c>
    </row>
    <row r="163" spans="1:19">
      <c r="A163" s="155"/>
      <c r="B163" s="57"/>
      <c r="C163" s="24">
        <f t="shared" si="33"/>
        <v>1</v>
      </c>
      <c r="D163" s="674"/>
      <c r="E163" s="24">
        <f t="shared" si="34"/>
        <v>1</v>
      </c>
      <c r="F163" s="674"/>
      <c r="G163" s="24">
        <f t="shared" si="35"/>
        <v>1</v>
      </c>
      <c r="H163" s="674"/>
      <c r="I163" s="24">
        <f t="shared" si="36"/>
        <v>1</v>
      </c>
      <c r="J163" s="674"/>
      <c r="K163" s="24">
        <f t="shared" si="37"/>
        <v>1</v>
      </c>
      <c r="L163" s="674"/>
      <c r="M163" s="24">
        <f t="shared" si="38"/>
        <v>1</v>
      </c>
      <c r="N163" s="674"/>
      <c r="O163" s="24">
        <f t="shared" si="39"/>
        <v>1</v>
      </c>
      <c r="P163" s="674"/>
      <c r="Q163" s="24">
        <f t="shared" si="40"/>
        <v>1</v>
      </c>
      <c r="R163" s="670">
        <f t="shared" si="41"/>
        <v>0</v>
      </c>
      <c r="S163" s="322">
        <f t="shared" si="32"/>
        <v>0</v>
      </c>
    </row>
    <row r="164" spans="1:19">
      <c r="A164" s="155"/>
      <c r="B164" s="57"/>
      <c r="C164" s="24">
        <f t="shared" si="33"/>
        <v>1</v>
      </c>
      <c r="D164" s="674"/>
      <c r="E164" s="24">
        <f t="shared" si="34"/>
        <v>1</v>
      </c>
      <c r="F164" s="674"/>
      <c r="G164" s="24">
        <f t="shared" si="35"/>
        <v>1</v>
      </c>
      <c r="H164" s="674"/>
      <c r="I164" s="24">
        <f t="shared" si="36"/>
        <v>1</v>
      </c>
      <c r="J164" s="674"/>
      <c r="K164" s="24">
        <f t="shared" si="37"/>
        <v>1</v>
      </c>
      <c r="L164" s="674"/>
      <c r="M164" s="24">
        <f t="shared" si="38"/>
        <v>1</v>
      </c>
      <c r="N164" s="674"/>
      <c r="O164" s="24">
        <f t="shared" si="39"/>
        <v>1</v>
      </c>
      <c r="P164" s="674"/>
      <c r="Q164" s="24">
        <f t="shared" si="40"/>
        <v>1</v>
      </c>
      <c r="R164" s="670">
        <f t="shared" si="41"/>
        <v>0</v>
      </c>
      <c r="S164" s="322">
        <f t="shared" si="32"/>
        <v>0</v>
      </c>
    </row>
    <row r="165" spans="1:19">
      <c r="A165" s="155"/>
      <c r="B165" s="57"/>
      <c r="C165" s="24">
        <f t="shared" si="33"/>
        <v>1</v>
      </c>
      <c r="D165" s="674"/>
      <c r="E165" s="24">
        <f t="shared" si="34"/>
        <v>1</v>
      </c>
      <c r="F165" s="674"/>
      <c r="G165" s="24">
        <f t="shared" si="35"/>
        <v>1</v>
      </c>
      <c r="H165" s="674"/>
      <c r="I165" s="24">
        <f t="shared" si="36"/>
        <v>1</v>
      </c>
      <c r="J165" s="674"/>
      <c r="K165" s="24">
        <f t="shared" si="37"/>
        <v>1</v>
      </c>
      <c r="L165" s="674"/>
      <c r="M165" s="24">
        <f t="shared" si="38"/>
        <v>1</v>
      </c>
      <c r="N165" s="674"/>
      <c r="O165" s="24">
        <f t="shared" si="39"/>
        <v>1</v>
      </c>
      <c r="P165" s="674"/>
      <c r="Q165" s="24">
        <f t="shared" si="40"/>
        <v>1</v>
      </c>
      <c r="R165" s="670">
        <f t="shared" si="41"/>
        <v>0</v>
      </c>
      <c r="S165" s="322">
        <f t="shared" si="32"/>
        <v>0</v>
      </c>
    </row>
    <row r="166" spans="1:19">
      <c r="A166" s="155"/>
      <c r="B166" s="57"/>
      <c r="C166" s="24">
        <f t="shared" si="33"/>
        <v>1</v>
      </c>
      <c r="D166" s="674"/>
      <c r="E166" s="24">
        <f t="shared" si="34"/>
        <v>1</v>
      </c>
      <c r="F166" s="674"/>
      <c r="G166" s="24">
        <f t="shared" si="35"/>
        <v>1</v>
      </c>
      <c r="H166" s="674"/>
      <c r="I166" s="24">
        <f t="shared" si="36"/>
        <v>1</v>
      </c>
      <c r="J166" s="674"/>
      <c r="K166" s="24">
        <f t="shared" si="37"/>
        <v>1</v>
      </c>
      <c r="L166" s="674"/>
      <c r="M166" s="24">
        <f t="shared" si="38"/>
        <v>1</v>
      </c>
      <c r="N166" s="674"/>
      <c r="O166" s="24">
        <f t="shared" si="39"/>
        <v>1</v>
      </c>
      <c r="P166" s="674"/>
      <c r="Q166" s="24">
        <f t="shared" si="40"/>
        <v>1</v>
      </c>
      <c r="R166" s="670">
        <f t="shared" si="41"/>
        <v>0</v>
      </c>
      <c r="S166" s="322">
        <f t="shared" si="32"/>
        <v>0</v>
      </c>
    </row>
    <row r="167" spans="1:19">
      <c r="A167" s="155"/>
      <c r="B167" s="57"/>
      <c r="C167" s="24">
        <f t="shared" si="33"/>
        <v>1</v>
      </c>
      <c r="D167" s="674"/>
      <c r="E167" s="24">
        <f t="shared" si="34"/>
        <v>1</v>
      </c>
      <c r="F167" s="674"/>
      <c r="G167" s="24">
        <f t="shared" si="35"/>
        <v>1</v>
      </c>
      <c r="H167" s="674"/>
      <c r="I167" s="24">
        <f t="shared" si="36"/>
        <v>1</v>
      </c>
      <c r="J167" s="674"/>
      <c r="K167" s="24">
        <f t="shared" si="37"/>
        <v>1</v>
      </c>
      <c r="L167" s="674"/>
      <c r="M167" s="24">
        <f t="shared" si="38"/>
        <v>1</v>
      </c>
      <c r="N167" s="674"/>
      <c r="O167" s="24">
        <f t="shared" si="39"/>
        <v>1</v>
      </c>
      <c r="P167" s="674"/>
      <c r="Q167" s="24">
        <f t="shared" si="40"/>
        <v>1</v>
      </c>
      <c r="R167" s="670">
        <f t="shared" si="41"/>
        <v>0</v>
      </c>
      <c r="S167" s="322">
        <f t="shared" si="32"/>
        <v>0</v>
      </c>
    </row>
    <row r="168" spans="1:19">
      <c r="A168" s="155"/>
      <c r="B168" s="57"/>
      <c r="C168" s="24">
        <f t="shared" si="33"/>
        <v>1</v>
      </c>
      <c r="D168" s="674"/>
      <c r="E168" s="24">
        <f t="shared" si="34"/>
        <v>1</v>
      </c>
      <c r="F168" s="674"/>
      <c r="G168" s="24">
        <f t="shared" si="35"/>
        <v>1</v>
      </c>
      <c r="H168" s="674"/>
      <c r="I168" s="24">
        <f t="shared" si="36"/>
        <v>1</v>
      </c>
      <c r="J168" s="674"/>
      <c r="K168" s="24">
        <f t="shared" si="37"/>
        <v>1</v>
      </c>
      <c r="L168" s="674"/>
      <c r="M168" s="24">
        <f t="shared" si="38"/>
        <v>1</v>
      </c>
      <c r="N168" s="674"/>
      <c r="O168" s="24">
        <f t="shared" si="39"/>
        <v>1</v>
      </c>
      <c r="P168" s="674"/>
      <c r="Q168" s="24">
        <f t="shared" si="40"/>
        <v>1</v>
      </c>
      <c r="R168" s="670">
        <f t="shared" si="41"/>
        <v>0</v>
      </c>
      <c r="S168" s="322">
        <f t="shared" si="32"/>
        <v>0</v>
      </c>
    </row>
    <row r="169" spans="1:19">
      <c r="A169" s="155"/>
      <c r="B169" s="57"/>
      <c r="C169" s="24">
        <f t="shared" si="33"/>
        <v>1</v>
      </c>
      <c r="D169" s="674"/>
      <c r="E169" s="24">
        <f t="shared" si="34"/>
        <v>1</v>
      </c>
      <c r="F169" s="674"/>
      <c r="G169" s="24">
        <f t="shared" si="35"/>
        <v>1</v>
      </c>
      <c r="H169" s="674"/>
      <c r="I169" s="24">
        <f t="shared" si="36"/>
        <v>1</v>
      </c>
      <c r="J169" s="674"/>
      <c r="K169" s="24">
        <f t="shared" si="37"/>
        <v>1</v>
      </c>
      <c r="L169" s="674"/>
      <c r="M169" s="24">
        <f t="shared" si="38"/>
        <v>1</v>
      </c>
      <c r="N169" s="674"/>
      <c r="O169" s="24">
        <f t="shared" si="39"/>
        <v>1</v>
      </c>
      <c r="P169" s="674"/>
      <c r="Q169" s="24">
        <f t="shared" si="40"/>
        <v>1</v>
      </c>
      <c r="R169" s="670">
        <f t="shared" si="41"/>
        <v>0</v>
      </c>
      <c r="S169" s="322">
        <f t="shared" si="32"/>
        <v>0</v>
      </c>
    </row>
    <row r="170" spans="1:19">
      <c r="A170" s="155"/>
      <c r="B170" s="57"/>
      <c r="C170" s="24">
        <f t="shared" si="33"/>
        <v>1</v>
      </c>
      <c r="D170" s="674"/>
      <c r="E170" s="24">
        <f t="shared" si="34"/>
        <v>1</v>
      </c>
      <c r="F170" s="674"/>
      <c r="G170" s="24">
        <f t="shared" si="35"/>
        <v>1</v>
      </c>
      <c r="H170" s="674"/>
      <c r="I170" s="24">
        <f t="shared" si="36"/>
        <v>1</v>
      </c>
      <c r="J170" s="674"/>
      <c r="K170" s="24">
        <f t="shared" si="37"/>
        <v>1</v>
      </c>
      <c r="L170" s="674"/>
      <c r="M170" s="24">
        <f t="shared" si="38"/>
        <v>1</v>
      </c>
      <c r="N170" s="674"/>
      <c r="O170" s="24">
        <f t="shared" si="39"/>
        <v>1</v>
      </c>
      <c r="P170" s="674"/>
      <c r="Q170" s="24">
        <f t="shared" si="40"/>
        <v>1</v>
      </c>
      <c r="R170" s="670">
        <f t="shared" si="41"/>
        <v>0</v>
      </c>
      <c r="S170" s="322">
        <f t="shared" si="32"/>
        <v>0</v>
      </c>
    </row>
    <row r="171" spans="1:19">
      <c r="A171" s="155"/>
      <c r="B171" s="57"/>
      <c r="C171" s="24">
        <f t="shared" si="33"/>
        <v>1</v>
      </c>
      <c r="D171" s="674"/>
      <c r="E171" s="24">
        <f t="shared" si="34"/>
        <v>1</v>
      </c>
      <c r="F171" s="674"/>
      <c r="G171" s="24">
        <f t="shared" si="35"/>
        <v>1</v>
      </c>
      <c r="H171" s="674"/>
      <c r="I171" s="24">
        <f t="shared" si="36"/>
        <v>1</v>
      </c>
      <c r="J171" s="674"/>
      <c r="K171" s="24">
        <f t="shared" si="37"/>
        <v>1</v>
      </c>
      <c r="L171" s="674"/>
      <c r="M171" s="24">
        <f t="shared" si="38"/>
        <v>1</v>
      </c>
      <c r="N171" s="674"/>
      <c r="O171" s="24">
        <f t="shared" si="39"/>
        <v>1</v>
      </c>
      <c r="P171" s="674"/>
      <c r="Q171" s="24">
        <f t="shared" si="40"/>
        <v>1</v>
      </c>
      <c r="R171" s="670">
        <f t="shared" si="41"/>
        <v>0</v>
      </c>
      <c r="S171" s="322">
        <f t="shared" si="32"/>
        <v>0</v>
      </c>
    </row>
    <row r="172" spans="1:19">
      <c r="A172" s="155"/>
      <c r="B172" s="57"/>
      <c r="C172" s="24">
        <f t="shared" si="33"/>
        <v>1</v>
      </c>
      <c r="D172" s="674"/>
      <c r="E172" s="24">
        <f t="shared" si="34"/>
        <v>1</v>
      </c>
      <c r="F172" s="674"/>
      <c r="G172" s="24">
        <f t="shared" si="35"/>
        <v>1</v>
      </c>
      <c r="H172" s="674"/>
      <c r="I172" s="24">
        <f t="shared" si="36"/>
        <v>1</v>
      </c>
      <c r="J172" s="674"/>
      <c r="K172" s="24">
        <f t="shared" si="37"/>
        <v>1</v>
      </c>
      <c r="L172" s="674"/>
      <c r="M172" s="24">
        <f t="shared" si="38"/>
        <v>1</v>
      </c>
      <c r="N172" s="674"/>
      <c r="O172" s="24">
        <f t="shared" si="39"/>
        <v>1</v>
      </c>
      <c r="P172" s="674"/>
      <c r="Q172" s="24">
        <f t="shared" si="40"/>
        <v>1</v>
      </c>
      <c r="R172" s="670">
        <f t="shared" si="41"/>
        <v>0</v>
      </c>
      <c r="S172" s="322">
        <f t="shared" si="32"/>
        <v>0</v>
      </c>
    </row>
    <row r="173" spans="1:19">
      <c r="A173" s="155"/>
      <c r="B173" s="57"/>
      <c r="C173" s="24">
        <f t="shared" si="33"/>
        <v>1</v>
      </c>
      <c r="D173" s="674"/>
      <c r="E173" s="24">
        <f t="shared" si="34"/>
        <v>1</v>
      </c>
      <c r="F173" s="674"/>
      <c r="G173" s="24">
        <f t="shared" si="35"/>
        <v>1</v>
      </c>
      <c r="H173" s="674"/>
      <c r="I173" s="24">
        <f t="shared" si="36"/>
        <v>1</v>
      </c>
      <c r="J173" s="674"/>
      <c r="K173" s="24">
        <f t="shared" si="37"/>
        <v>1</v>
      </c>
      <c r="L173" s="674"/>
      <c r="M173" s="24">
        <f t="shared" si="38"/>
        <v>1</v>
      </c>
      <c r="N173" s="674"/>
      <c r="O173" s="24">
        <f t="shared" si="39"/>
        <v>1</v>
      </c>
      <c r="P173" s="674"/>
      <c r="Q173" s="24">
        <f t="shared" si="40"/>
        <v>1</v>
      </c>
      <c r="R173" s="670">
        <f t="shared" si="41"/>
        <v>0</v>
      </c>
      <c r="S173" s="322">
        <f t="shared" si="32"/>
        <v>0</v>
      </c>
    </row>
    <row r="174" spans="1:19">
      <c r="A174" s="155"/>
      <c r="B174" s="57"/>
      <c r="C174" s="24">
        <f t="shared" si="33"/>
        <v>1</v>
      </c>
      <c r="D174" s="674"/>
      <c r="E174" s="24">
        <f t="shared" si="34"/>
        <v>1</v>
      </c>
      <c r="F174" s="674"/>
      <c r="G174" s="24">
        <f t="shared" si="35"/>
        <v>1</v>
      </c>
      <c r="H174" s="674"/>
      <c r="I174" s="24">
        <f t="shared" si="36"/>
        <v>1</v>
      </c>
      <c r="J174" s="674"/>
      <c r="K174" s="24">
        <f t="shared" si="37"/>
        <v>1</v>
      </c>
      <c r="L174" s="674"/>
      <c r="M174" s="24">
        <f t="shared" si="38"/>
        <v>1</v>
      </c>
      <c r="N174" s="674"/>
      <c r="O174" s="24">
        <f t="shared" si="39"/>
        <v>1</v>
      </c>
      <c r="P174" s="674"/>
      <c r="Q174" s="24">
        <f t="shared" si="40"/>
        <v>1</v>
      </c>
      <c r="R174" s="670">
        <f t="shared" si="41"/>
        <v>0</v>
      </c>
      <c r="S174" s="322">
        <f t="shared" si="32"/>
        <v>0</v>
      </c>
    </row>
    <row r="175" spans="1:19">
      <c r="A175" s="155"/>
      <c r="B175" s="57"/>
      <c r="C175" s="24">
        <f t="shared" si="33"/>
        <v>1</v>
      </c>
      <c r="D175" s="674"/>
      <c r="E175" s="24">
        <f t="shared" si="34"/>
        <v>1</v>
      </c>
      <c r="F175" s="674"/>
      <c r="G175" s="24">
        <f t="shared" si="35"/>
        <v>1</v>
      </c>
      <c r="H175" s="674"/>
      <c r="I175" s="24">
        <f t="shared" si="36"/>
        <v>1</v>
      </c>
      <c r="J175" s="674"/>
      <c r="K175" s="24">
        <f t="shared" si="37"/>
        <v>1</v>
      </c>
      <c r="L175" s="674"/>
      <c r="M175" s="24">
        <f t="shared" si="38"/>
        <v>1</v>
      </c>
      <c r="N175" s="674"/>
      <c r="O175" s="24">
        <f t="shared" si="39"/>
        <v>1</v>
      </c>
      <c r="P175" s="674"/>
      <c r="Q175" s="24">
        <f t="shared" si="40"/>
        <v>1</v>
      </c>
      <c r="R175" s="670">
        <f t="shared" si="41"/>
        <v>0</v>
      </c>
      <c r="S175" s="322">
        <f t="shared" si="32"/>
        <v>0</v>
      </c>
    </row>
    <row r="176" spans="1:19">
      <c r="A176" s="155"/>
      <c r="B176" s="57"/>
      <c r="C176" s="24">
        <f t="shared" si="33"/>
        <v>1</v>
      </c>
      <c r="D176" s="674"/>
      <c r="E176" s="24">
        <f t="shared" si="34"/>
        <v>1</v>
      </c>
      <c r="F176" s="674"/>
      <c r="G176" s="24">
        <f t="shared" si="35"/>
        <v>1</v>
      </c>
      <c r="H176" s="674"/>
      <c r="I176" s="24">
        <f t="shared" si="36"/>
        <v>1</v>
      </c>
      <c r="J176" s="674"/>
      <c r="K176" s="24">
        <f t="shared" si="37"/>
        <v>1</v>
      </c>
      <c r="L176" s="674"/>
      <c r="M176" s="24">
        <f t="shared" si="38"/>
        <v>1</v>
      </c>
      <c r="N176" s="674"/>
      <c r="O176" s="24">
        <f t="shared" si="39"/>
        <v>1</v>
      </c>
      <c r="P176" s="674"/>
      <c r="Q176" s="24">
        <f t="shared" si="40"/>
        <v>1</v>
      </c>
      <c r="R176" s="670">
        <f t="shared" si="41"/>
        <v>0</v>
      </c>
      <c r="S176" s="322">
        <f t="shared" si="32"/>
        <v>0</v>
      </c>
    </row>
    <row r="177" spans="1:19">
      <c r="A177" s="155"/>
      <c r="B177" s="57"/>
      <c r="C177" s="24">
        <f t="shared" si="33"/>
        <v>1</v>
      </c>
      <c r="D177" s="674"/>
      <c r="E177" s="24">
        <f t="shared" si="34"/>
        <v>1</v>
      </c>
      <c r="F177" s="674"/>
      <c r="G177" s="24">
        <f t="shared" si="35"/>
        <v>1</v>
      </c>
      <c r="H177" s="674"/>
      <c r="I177" s="24">
        <f t="shared" si="36"/>
        <v>1</v>
      </c>
      <c r="J177" s="674"/>
      <c r="K177" s="24">
        <f t="shared" si="37"/>
        <v>1</v>
      </c>
      <c r="L177" s="674"/>
      <c r="M177" s="24">
        <f t="shared" si="38"/>
        <v>1</v>
      </c>
      <c r="N177" s="674"/>
      <c r="O177" s="24">
        <f t="shared" si="39"/>
        <v>1</v>
      </c>
      <c r="P177" s="674"/>
      <c r="Q177" s="24">
        <f t="shared" si="40"/>
        <v>1</v>
      </c>
      <c r="R177" s="670">
        <f t="shared" si="41"/>
        <v>0</v>
      </c>
      <c r="S177" s="322">
        <f t="shared" si="32"/>
        <v>0</v>
      </c>
    </row>
    <row r="178" spans="1:19">
      <c r="A178" s="155"/>
      <c r="B178" s="57"/>
      <c r="C178" s="24">
        <f t="shared" si="33"/>
        <v>1</v>
      </c>
      <c r="D178" s="674"/>
      <c r="E178" s="24">
        <f t="shared" si="34"/>
        <v>1</v>
      </c>
      <c r="F178" s="674"/>
      <c r="G178" s="24">
        <f t="shared" si="35"/>
        <v>1</v>
      </c>
      <c r="H178" s="674"/>
      <c r="I178" s="24">
        <f t="shared" si="36"/>
        <v>1</v>
      </c>
      <c r="J178" s="674"/>
      <c r="K178" s="24">
        <f t="shared" si="37"/>
        <v>1</v>
      </c>
      <c r="L178" s="674"/>
      <c r="M178" s="24">
        <f t="shared" si="38"/>
        <v>1</v>
      </c>
      <c r="N178" s="674"/>
      <c r="O178" s="24">
        <f t="shared" si="39"/>
        <v>1</v>
      </c>
      <c r="P178" s="674"/>
      <c r="Q178" s="24">
        <f t="shared" si="40"/>
        <v>1</v>
      </c>
      <c r="R178" s="670">
        <f t="shared" si="41"/>
        <v>0</v>
      </c>
      <c r="S178" s="322">
        <f t="shared" si="32"/>
        <v>0</v>
      </c>
    </row>
    <row r="179" spans="1:19">
      <c r="A179" s="155"/>
      <c r="B179" s="57"/>
      <c r="C179" s="24">
        <f t="shared" si="33"/>
        <v>1</v>
      </c>
      <c r="D179" s="674"/>
      <c r="E179" s="24">
        <f t="shared" si="34"/>
        <v>1</v>
      </c>
      <c r="F179" s="674"/>
      <c r="G179" s="24">
        <f t="shared" si="35"/>
        <v>1</v>
      </c>
      <c r="H179" s="674"/>
      <c r="I179" s="24">
        <f t="shared" si="36"/>
        <v>1</v>
      </c>
      <c r="J179" s="674"/>
      <c r="K179" s="24">
        <f t="shared" si="37"/>
        <v>1</v>
      </c>
      <c r="L179" s="674"/>
      <c r="M179" s="24">
        <f t="shared" si="38"/>
        <v>1</v>
      </c>
      <c r="N179" s="674"/>
      <c r="O179" s="24">
        <f t="shared" si="39"/>
        <v>1</v>
      </c>
      <c r="P179" s="674"/>
      <c r="Q179" s="24">
        <f t="shared" si="40"/>
        <v>1</v>
      </c>
      <c r="R179" s="670">
        <f t="shared" si="41"/>
        <v>0</v>
      </c>
      <c r="S179" s="322">
        <f t="shared" si="32"/>
        <v>0</v>
      </c>
    </row>
    <row r="180" spans="1:19">
      <c r="A180" s="155"/>
      <c r="B180" s="57"/>
      <c r="C180" s="24">
        <f t="shared" si="33"/>
        <v>1</v>
      </c>
      <c r="D180" s="674"/>
      <c r="E180" s="24">
        <f t="shared" si="34"/>
        <v>1</v>
      </c>
      <c r="F180" s="674"/>
      <c r="G180" s="24">
        <f t="shared" si="35"/>
        <v>1</v>
      </c>
      <c r="H180" s="674"/>
      <c r="I180" s="24">
        <f t="shared" si="36"/>
        <v>1</v>
      </c>
      <c r="J180" s="674"/>
      <c r="K180" s="24">
        <f t="shared" si="37"/>
        <v>1</v>
      </c>
      <c r="L180" s="674"/>
      <c r="M180" s="24">
        <f t="shared" si="38"/>
        <v>1</v>
      </c>
      <c r="N180" s="674"/>
      <c r="O180" s="24">
        <f t="shared" si="39"/>
        <v>1</v>
      </c>
      <c r="P180" s="674"/>
      <c r="Q180" s="24">
        <f t="shared" si="40"/>
        <v>1</v>
      </c>
      <c r="R180" s="670">
        <f t="shared" si="41"/>
        <v>0</v>
      </c>
      <c r="S180" s="322">
        <f t="shared" si="32"/>
        <v>0</v>
      </c>
    </row>
    <row r="181" spans="1:19">
      <c r="A181" s="155"/>
      <c r="B181" s="57"/>
      <c r="C181" s="24">
        <f t="shared" si="33"/>
        <v>1</v>
      </c>
      <c r="D181" s="674"/>
      <c r="E181" s="24">
        <f t="shared" si="34"/>
        <v>1</v>
      </c>
      <c r="F181" s="674"/>
      <c r="G181" s="24">
        <f t="shared" si="35"/>
        <v>1</v>
      </c>
      <c r="H181" s="674"/>
      <c r="I181" s="24">
        <f t="shared" si="36"/>
        <v>1</v>
      </c>
      <c r="J181" s="674"/>
      <c r="K181" s="24">
        <f t="shared" si="37"/>
        <v>1</v>
      </c>
      <c r="L181" s="674"/>
      <c r="M181" s="24">
        <f t="shared" si="38"/>
        <v>1</v>
      </c>
      <c r="N181" s="674"/>
      <c r="O181" s="24">
        <f t="shared" si="39"/>
        <v>1</v>
      </c>
      <c r="P181" s="674"/>
      <c r="Q181" s="24">
        <f t="shared" si="40"/>
        <v>1</v>
      </c>
      <c r="R181" s="670">
        <f t="shared" si="41"/>
        <v>0</v>
      </c>
      <c r="S181" s="322">
        <f t="shared" si="32"/>
        <v>0</v>
      </c>
    </row>
    <row r="182" spans="1:19">
      <c r="A182" s="155"/>
      <c r="B182" s="57"/>
      <c r="C182" s="24">
        <f t="shared" si="33"/>
        <v>1</v>
      </c>
      <c r="D182" s="674"/>
      <c r="E182" s="24">
        <f t="shared" si="34"/>
        <v>1</v>
      </c>
      <c r="F182" s="674"/>
      <c r="G182" s="24">
        <f t="shared" si="35"/>
        <v>1</v>
      </c>
      <c r="H182" s="674"/>
      <c r="I182" s="24">
        <f t="shared" si="36"/>
        <v>1</v>
      </c>
      <c r="J182" s="674"/>
      <c r="K182" s="24">
        <f t="shared" si="37"/>
        <v>1</v>
      </c>
      <c r="L182" s="674"/>
      <c r="M182" s="24">
        <f t="shared" si="38"/>
        <v>1</v>
      </c>
      <c r="N182" s="674"/>
      <c r="O182" s="24">
        <f t="shared" si="39"/>
        <v>1</v>
      </c>
      <c r="P182" s="674"/>
      <c r="Q182" s="24">
        <f t="shared" si="40"/>
        <v>1</v>
      </c>
      <c r="R182" s="670">
        <f t="shared" si="41"/>
        <v>0</v>
      </c>
      <c r="S182" s="322">
        <f t="shared" si="32"/>
        <v>0</v>
      </c>
    </row>
    <row r="183" spans="1:19">
      <c r="A183" s="155"/>
      <c r="B183" s="57"/>
      <c r="C183" s="24">
        <f t="shared" si="33"/>
        <v>1</v>
      </c>
      <c r="D183" s="674"/>
      <c r="E183" s="24">
        <f t="shared" si="34"/>
        <v>1</v>
      </c>
      <c r="F183" s="674"/>
      <c r="G183" s="24">
        <f t="shared" si="35"/>
        <v>1</v>
      </c>
      <c r="H183" s="674"/>
      <c r="I183" s="24">
        <f t="shared" si="36"/>
        <v>1</v>
      </c>
      <c r="J183" s="674"/>
      <c r="K183" s="24">
        <f t="shared" si="37"/>
        <v>1</v>
      </c>
      <c r="L183" s="674"/>
      <c r="M183" s="24">
        <f t="shared" si="38"/>
        <v>1</v>
      </c>
      <c r="N183" s="674"/>
      <c r="O183" s="24">
        <f t="shared" si="39"/>
        <v>1</v>
      </c>
      <c r="P183" s="674"/>
      <c r="Q183" s="24">
        <f t="shared" si="40"/>
        <v>1</v>
      </c>
      <c r="R183" s="670">
        <f t="shared" si="41"/>
        <v>0</v>
      </c>
      <c r="S183" s="322">
        <f t="shared" si="32"/>
        <v>0</v>
      </c>
    </row>
    <row r="184" spans="1:19">
      <c r="A184" s="155"/>
      <c r="B184" s="57"/>
      <c r="C184" s="24">
        <f t="shared" si="33"/>
        <v>1</v>
      </c>
      <c r="D184" s="674"/>
      <c r="E184" s="24">
        <f t="shared" si="34"/>
        <v>1</v>
      </c>
      <c r="F184" s="674"/>
      <c r="G184" s="24">
        <f t="shared" si="35"/>
        <v>1</v>
      </c>
      <c r="H184" s="674"/>
      <c r="I184" s="24">
        <f t="shared" si="36"/>
        <v>1</v>
      </c>
      <c r="J184" s="674"/>
      <c r="K184" s="24">
        <f t="shared" si="37"/>
        <v>1</v>
      </c>
      <c r="L184" s="674"/>
      <c r="M184" s="24">
        <f t="shared" si="38"/>
        <v>1</v>
      </c>
      <c r="N184" s="674"/>
      <c r="O184" s="24">
        <f t="shared" si="39"/>
        <v>1</v>
      </c>
      <c r="P184" s="674"/>
      <c r="Q184" s="24">
        <f t="shared" si="40"/>
        <v>1</v>
      </c>
      <c r="R184" s="670">
        <f t="shared" si="41"/>
        <v>0</v>
      </c>
      <c r="S184" s="322">
        <f t="shared" si="32"/>
        <v>0</v>
      </c>
    </row>
    <row r="185" spans="1:19">
      <c r="A185" s="155"/>
      <c r="B185" s="57"/>
      <c r="C185" s="24">
        <f t="shared" si="33"/>
        <v>1</v>
      </c>
      <c r="D185" s="674"/>
      <c r="E185" s="24">
        <f t="shared" si="34"/>
        <v>1</v>
      </c>
      <c r="F185" s="674"/>
      <c r="G185" s="24">
        <f t="shared" si="35"/>
        <v>1</v>
      </c>
      <c r="H185" s="674"/>
      <c r="I185" s="24">
        <f t="shared" si="36"/>
        <v>1</v>
      </c>
      <c r="J185" s="674"/>
      <c r="K185" s="24">
        <f t="shared" si="37"/>
        <v>1</v>
      </c>
      <c r="L185" s="674"/>
      <c r="M185" s="24">
        <f t="shared" si="38"/>
        <v>1</v>
      </c>
      <c r="N185" s="674"/>
      <c r="O185" s="24">
        <f t="shared" si="39"/>
        <v>1</v>
      </c>
      <c r="P185" s="674"/>
      <c r="Q185" s="24">
        <f t="shared" si="40"/>
        <v>1</v>
      </c>
      <c r="R185" s="670">
        <f t="shared" si="41"/>
        <v>0</v>
      </c>
      <c r="S185" s="322">
        <f t="shared" si="32"/>
        <v>0</v>
      </c>
    </row>
    <row r="186" spans="1:19">
      <c r="A186" s="155"/>
      <c r="B186" s="57"/>
      <c r="C186" s="24">
        <f t="shared" si="33"/>
        <v>1</v>
      </c>
      <c r="D186" s="674"/>
      <c r="E186" s="24">
        <f t="shared" si="34"/>
        <v>1</v>
      </c>
      <c r="F186" s="674"/>
      <c r="G186" s="24">
        <f t="shared" si="35"/>
        <v>1</v>
      </c>
      <c r="H186" s="674"/>
      <c r="I186" s="24">
        <f t="shared" si="36"/>
        <v>1</v>
      </c>
      <c r="J186" s="674"/>
      <c r="K186" s="24">
        <f t="shared" si="37"/>
        <v>1</v>
      </c>
      <c r="L186" s="674"/>
      <c r="M186" s="24">
        <f t="shared" si="38"/>
        <v>1</v>
      </c>
      <c r="N186" s="674"/>
      <c r="O186" s="24">
        <f t="shared" si="39"/>
        <v>1</v>
      </c>
      <c r="P186" s="674"/>
      <c r="Q186" s="24">
        <f t="shared" si="40"/>
        <v>1</v>
      </c>
      <c r="R186" s="670">
        <f t="shared" si="41"/>
        <v>0</v>
      </c>
      <c r="S186" s="322">
        <f t="shared" si="32"/>
        <v>0</v>
      </c>
    </row>
    <row r="187" spans="1:19">
      <c r="A187" s="155"/>
      <c r="B187" s="57"/>
      <c r="C187" s="24">
        <f t="shared" si="33"/>
        <v>1</v>
      </c>
      <c r="D187" s="674"/>
      <c r="E187" s="24">
        <f t="shared" si="34"/>
        <v>1</v>
      </c>
      <c r="F187" s="674"/>
      <c r="G187" s="24">
        <f t="shared" si="35"/>
        <v>1</v>
      </c>
      <c r="H187" s="674"/>
      <c r="I187" s="24">
        <f t="shared" si="36"/>
        <v>1</v>
      </c>
      <c r="J187" s="674"/>
      <c r="K187" s="24">
        <f t="shared" si="37"/>
        <v>1</v>
      </c>
      <c r="L187" s="674"/>
      <c r="M187" s="24">
        <f t="shared" si="38"/>
        <v>1</v>
      </c>
      <c r="N187" s="674"/>
      <c r="O187" s="24">
        <f t="shared" si="39"/>
        <v>1</v>
      </c>
      <c r="P187" s="674"/>
      <c r="Q187" s="24">
        <f t="shared" si="40"/>
        <v>1</v>
      </c>
      <c r="R187" s="670">
        <f t="shared" si="41"/>
        <v>0</v>
      </c>
      <c r="S187" s="322">
        <f t="shared" ref="S187:S222" si="42">ROUND(R187*B187/10000,0)</f>
        <v>0</v>
      </c>
    </row>
    <row r="188" spans="1:19">
      <c r="A188" s="155"/>
      <c r="B188" s="57"/>
      <c r="C188" s="24">
        <f t="shared" si="33"/>
        <v>1</v>
      </c>
      <c r="D188" s="674"/>
      <c r="E188" s="24">
        <f t="shared" si="34"/>
        <v>1</v>
      </c>
      <c r="F188" s="674"/>
      <c r="G188" s="24">
        <f t="shared" si="35"/>
        <v>1</v>
      </c>
      <c r="H188" s="674"/>
      <c r="I188" s="24">
        <f t="shared" si="36"/>
        <v>1</v>
      </c>
      <c r="J188" s="674"/>
      <c r="K188" s="24">
        <f t="shared" si="37"/>
        <v>1</v>
      </c>
      <c r="L188" s="674"/>
      <c r="M188" s="24">
        <f t="shared" si="38"/>
        <v>1</v>
      </c>
      <c r="N188" s="674"/>
      <c r="O188" s="24">
        <f t="shared" si="39"/>
        <v>1</v>
      </c>
      <c r="P188" s="674"/>
      <c r="Q188" s="24">
        <f t="shared" si="40"/>
        <v>1</v>
      </c>
      <c r="R188" s="670">
        <f t="shared" si="41"/>
        <v>0</v>
      </c>
      <c r="S188" s="322">
        <f t="shared" si="42"/>
        <v>0</v>
      </c>
    </row>
    <row r="189" spans="1:19">
      <c r="A189" s="155"/>
      <c r="B189" s="57"/>
      <c r="C189" s="24">
        <f t="shared" si="33"/>
        <v>1</v>
      </c>
      <c r="D189" s="674"/>
      <c r="E189" s="24">
        <f t="shared" si="34"/>
        <v>1</v>
      </c>
      <c r="F189" s="674"/>
      <c r="G189" s="24">
        <f t="shared" si="35"/>
        <v>1</v>
      </c>
      <c r="H189" s="674"/>
      <c r="I189" s="24">
        <f t="shared" si="36"/>
        <v>1</v>
      </c>
      <c r="J189" s="674"/>
      <c r="K189" s="24">
        <f t="shared" si="37"/>
        <v>1</v>
      </c>
      <c r="L189" s="674"/>
      <c r="M189" s="24">
        <f t="shared" si="38"/>
        <v>1</v>
      </c>
      <c r="N189" s="674"/>
      <c r="O189" s="24">
        <f t="shared" si="39"/>
        <v>1</v>
      </c>
      <c r="P189" s="674"/>
      <c r="Q189" s="24">
        <f t="shared" si="40"/>
        <v>1</v>
      </c>
      <c r="R189" s="670">
        <f t="shared" si="41"/>
        <v>0</v>
      </c>
      <c r="S189" s="322">
        <f t="shared" si="42"/>
        <v>0</v>
      </c>
    </row>
    <row r="190" spans="1:19">
      <c r="A190" s="155"/>
      <c r="B190" s="57"/>
      <c r="C190" s="24">
        <f t="shared" si="33"/>
        <v>1</v>
      </c>
      <c r="D190" s="674"/>
      <c r="E190" s="24">
        <f t="shared" si="34"/>
        <v>1</v>
      </c>
      <c r="F190" s="674"/>
      <c r="G190" s="24">
        <f t="shared" si="35"/>
        <v>1</v>
      </c>
      <c r="H190" s="674"/>
      <c r="I190" s="24">
        <f t="shared" si="36"/>
        <v>1</v>
      </c>
      <c r="J190" s="674"/>
      <c r="K190" s="24">
        <f t="shared" si="37"/>
        <v>1</v>
      </c>
      <c r="L190" s="674"/>
      <c r="M190" s="24">
        <f t="shared" si="38"/>
        <v>1</v>
      </c>
      <c r="N190" s="674"/>
      <c r="O190" s="24">
        <f t="shared" si="39"/>
        <v>1</v>
      </c>
      <c r="P190" s="674"/>
      <c r="Q190" s="24">
        <f t="shared" si="40"/>
        <v>1</v>
      </c>
      <c r="R190" s="670">
        <f t="shared" si="41"/>
        <v>0</v>
      </c>
      <c r="S190" s="322">
        <f t="shared" si="42"/>
        <v>0</v>
      </c>
    </row>
    <row r="191" spans="1:19">
      <c r="A191" s="155"/>
      <c r="B191" s="57"/>
      <c r="C191" s="24">
        <f t="shared" si="33"/>
        <v>1</v>
      </c>
      <c r="D191" s="674"/>
      <c r="E191" s="24">
        <f t="shared" si="34"/>
        <v>1</v>
      </c>
      <c r="F191" s="674"/>
      <c r="G191" s="24">
        <f t="shared" si="35"/>
        <v>1</v>
      </c>
      <c r="H191" s="674"/>
      <c r="I191" s="24">
        <f t="shared" si="36"/>
        <v>1</v>
      </c>
      <c r="J191" s="674"/>
      <c r="K191" s="24">
        <f t="shared" si="37"/>
        <v>1</v>
      </c>
      <c r="L191" s="674"/>
      <c r="M191" s="24">
        <f t="shared" si="38"/>
        <v>1</v>
      </c>
      <c r="N191" s="674"/>
      <c r="O191" s="24">
        <f t="shared" si="39"/>
        <v>1</v>
      </c>
      <c r="P191" s="674"/>
      <c r="Q191" s="24">
        <f t="shared" si="40"/>
        <v>1</v>
      </c>
      <c r="R191" s="670">
        <f t="shared" si="41"/>
        <v>0</v>
      </c>
      <c r="S191" s="322">
        <f t="shared" si="42"/>
        <v>0</v>
      </c>
    </row>
    <row r="192" spans="1:19">
      <c r="A192" s="155"/>
      <c r="B192" s="57"/>
      <c r="C192" s="24">
        <f t="shared" si="33"/>
        <v>1</v>
      </c>
      <c r="D192" s="674"/>
      <c r="E192" s="24">
        <f t="shared" si="34"/>
        <v>1</v>
      </c>
      <c r="F192" s="674"/>
      <c r="G192" s="24">
        <f t="shared" si="35"/>
        <v>1</v>
      </c>
      <c r="H192" s="674"/>
      <c r="I192" s="24">
        <f t="shared" si="36"/>
        <v>1</v>
      </c>
      <c r="J192" s="674"/>
      <c r="K192" s="24">
        <f t="shared" si="37"/>
        <v>1</v>
      </c>
      <c r="L192" s="674"/>
      <c r="M192" s="24">
        <f t="shared" si="38"/>
        <v>1</v>
      </c>
      <c r="N192" s="674"/>
      <c r="O192" s="24">
        <f t="shared" si="39"/>
        <v>1</v>
      </c>
      <c r="P192" s="674"/>
      <c r="Q192" s="24">
        <f t="shared" si="40"/>
        <v>1</v>
      </c>
      <c r="R192" s="670">
        <f t="shared" si="41"/>
        <v>0</v>
      </c>
      <c r="S192" s="322">
        <f t="shared" si="42"/>
        <v>0</v>
      </c>
    </row>
    <row r="193" spans="1:19">
      <c r="A193" s="155"/>
      <c r="B193" s="57"/>
      <c r="C193" s="24">
        <f t="shared" si="33"/>
        <v>1</v>
      </c>
      <c r="D193" s="674"/>
      <c r="E193" s="24">
        <f t="shared" si="34"/>
        <v>1</v>
      </c>
      <c r="F193" s="674"/>
      <c r="G193" s="24">
        <f t="shared" si="35"/>
        <v>1</v>
      </c>
      <c r="H193" s="674"/>
      <c r="I193" s="24">
        <f t="shared" si="36"/>
        <v>1</v>
      </c>
      <c r="J193" s="674"/>
      <c r="K193" s="24">
        <f t="shared" si="37"/>
        <v>1</v>
      </c>
      <c r="L193" s="674"/>
      <c r="M193" s="24">
        <f t="shared" si="38"/>
        <v>1</v>
      </c>
      <c r="N193" s="674"/>
      <c r="O193" s="24">
        <f t="shared" si="39"/>
        <v>1</v>
      </c>
      <c r="P193" s="674"/>
      <c r="Q193" s="24">
        <f t="shared" si="40"/>
        <v>1</v>
      </c>
      <c r="R193" s="670">
        <f t="shared" si="41"/>
        <v>0</v>
      </c>
      <c r="S193" s="322">
        <f t="shared" si="42"/>
        <v>0</v>
      </c>
    </row>
    <row r="194" spans="1:19">
      <c r="A194" s="155"/>
      <c r="B194" s="57"/>
      <c r="C194" s="24">
        <f t="shared" si="33"/>
        <v>1</v>
      </c>
      <c r="D194" s="674"/>
      <c r="E194" s="24">
        <f t="shared" si="34"/>
        <v>1</v>
      </c>
      <c r="F194" s="674"/>
      <c r="G194" s="24">
        <f t="shared" si="35"/>
        <v>1</v>
      </c>
      <c r="H194" s="674"/>
      <c r="I194" s="24">
        <f t="shared" si="36"/>
        <v>1</v>
      </c>
      <c r="J194" s="674"/>
      <c r="K194" s="24">
        <f t="shared" si="37"/>
        <v>1</v>
      </c>
      <c r="L194" s="674"/>
      <c r="M194" s="24">
        <f t="shared" si="38"/>
        <v>1</v>
      </c>
      <c r="N194" s="674"/>
      <c r="O194" s="24">
        <f t="shared" si="39"/>
        <v>1</v>
      </c>
      <c r="P194" s="674"/>
      <c r="Q194" s="24">
        <f t="shared" si="40"/>
        <v>1</v>
      </c>
      <c r="R194" s="670">
        <f t="shared" si="41"/>
        <v>0</v>
      </c>
      <c r="S194" s="322">
        <f t="shared" si="42"/>
        <v>0</v>
      </c>
    </row>
    <row r="195" spans="1:19">
      <c r="A195" s="155"/>
      <c r="B195" s="57"/>
      <c r="C195" s="24">
        <f t="shared" si="33"/>
        <v>1</v>
      </c>
      <c r="D195" s="674"/>
      <c r="E195" s="24">
        <f t="shared" si="34"/>
        <v>1</v>
      </c>
      <c r="F195" s="674"/>
      <c r="G195" s="24">
        <f t="shared" si="35"/>
        <v>1</v>
      </c>
      <c r="H195" s="674"/>
      <c r="I195" s="24">
        <f t="shared" si="36"/>
        <v>1</v>
      </c>
      <c r="J195" s="674"/>
      <c r="K195" s="24">
        <f t="shared" si="37"/>
        <v>1</v>
      </c>
      <c r="L195" s="674"/>
      <c r="M195" s="24">
        <f t="shared" si="38"/>
        <v>1</v>
      </c>
      <c r="N195" s="674"/>
      <c r="O195" s="24">
        <f t="shared" si="39"/>
        <v>1</v>
      </c>
      <c r="P195" s="674"/>
      <c r="Q195" s="24">
        <f t="shared" si="40"/>
        <v>1</v>
      </c>
      <c r="R195" s="670">
        <f t="shared" si="41"/>
        <v>0</v>
      </c>
      <c r="S195" s="322">
        <f t="shared" si="42"/>
        <v>0</v>
      </c>
    </row>
    <row r="196" spans="1:19">
      <c r="A196" s="155"/>
      <c r="B196" s="57"/>
      <c r="C196" s="24">
        <f t="shared" si="33"/>
        <v>1</v>
      </c>
      <c r="D196" s="674"/>
      <c r="E196" s="24">
        <f t="shared" si="34"/>
        <v>1</v>
      </c>
      <c r="F196" s="674"/>
      <c r="G196" s="24">
        <f t="shared" si="35"/>
        <v>1</v>
      </c>
      <c r="H196" s="674"/>
      <c r="I196" s="24">
        <f t="shared" si="36"/>
        <v>1</v>
      </c>
      <c r="J196" s="674"/>
      <c r="K196" s="24">
        <f t="shared" si="37"/>
        <v>1</v>
      </c>
      <c r="L196" s="674"/>
      <c r="M196" s="24">
        <f t="shared" si="38"/>
        <v>1</v>
      </c>
      <c r="N196" s="674"/>
      <c r="O196" s="24">
        <f t="shared" si="39"/>
        <v>1</v>
      </c>
      <c r="P196" s="674"/>
      <c r="Q196" s="24">
        <f t="shared" si="40"/>
        <v>1</v>
      </c>
      <c r="R196" s="670">
        <f t="shared" si="41"/>
        <v>0</v>
      </c>
      <c r="S196" s="322">
        <f t="shared" si="42"/>
        <v>0</v>
      </c>
    </row>
    <row r="197" spans="1:19">
      <c r="A197" s="155"/>
      <c r="B197" s="57"/>
      <c r="C197" s="24">
        <f t="shared" si="33"/>
        <v>1</v>
      </c>
      <c r="D197" s="674"/>
      <c r="E197" s="24">
        <f t="shared" si="34"/>
        <v>1</v>
      </c>
      <c r="F197" s="674"/>
      <c r="G197" s="24">
        <f t="shared" si="35"/>
        <v>1</v>
      </c>
      <c r="H197" s="674"/>
      <c r="I197" s="24">
        <f t="shared" si="36"/>
        <v>1</v>
      </c>
      <c r="J197" s="674"/>
      <c r="K197" s="24">
        <f t="shared" si="37"/>
        <v>1</v>
      </c>
      <c r="L197" s="674"/>
      <c r="M197" s="24">
        <f t="shared" si="38"/>
        <v>1</v>
      </c>
      <c r="N197" s="674"/>
      <c r="O197" s="24">
        <f t="shared" si="39"/>
        <v>1</v>
      </c>
      <c r="P197" s="674"/>
      <c r="Q197" s="24">
        <f t="shared" si="40"/>
        <v>1</v>
      </c>
      <c r="R197" s="670">
        <f t="shared" si="41"/>
        <v>0</v>
      </c>
      <c r="S197" s="322">
        <f t="shared" si="42"/>
        <v>0</v>
      </c>
    </row>
    <row r="198" spans="1:19">
      <c r="A198" s="155"/>
      <c r="B198" s="57"/>
      <c r="C198" s="24">
        <f t="shared" si="33"/>
        <v>1</v>
      </c>
      <c r="D198" s="674"/>
      <c r="E198" s="24">
        <f t="shared" si="34"/>
        <v>1</v>
      </c>
      <c r="F198" s="674"/>
      <c r="G198" s="24">
        <f t="shared" si="35"/>
        <v>1</v>
      </c>
      <c r="H198" s="674"/>
      <c r="I198" s="24">
        <f t="shared" si="36"/>
        <v>1</v>
      </c>
      <c r="J198" s="674"/>
      <c r="K198" s="24">
        <f t="shared" si="37"/>
        <v>1</v>
      </c>
      <c r="L198" s="674"/>
      <c r="M198" s="24">
        <f t="shared" si="38"/>
        <v>1</v>
      </c>
      <c r="N198" s="674"/>
      <c r="O198" s="24">
        <f t="shared" si="39"/>
        <v>1</v>
      </c>
      <c r="P198" s="674"/>
      <c r="Q198" s="24">
        <f t="shared" si="40"/>
        <v>1</v>
      </c>
      <c r="R198" s="670">
        <f t="shared" si="41"/>
        <v>0</v>
      </c>
      <c r="S198" s="322">
        <f t="shared" si="42"/>
        <v>0</v>
      </c>
    </row>
    <row r="199" spans="1:19">
      <c r="A199" s="155"/>
      <c r="B199" s="57"/>
      <c r="C199" s="24">
        <f t="shared" si="33"/>
        <v>1</v>
      </c>
      <c r="D199" s="674"/>
      <c r="E199" s="24">
        <f t="shared" si="34"/>
        <v>1</v>
      </c>
      <c r="F199" s="674"/>
      <c r="G199" s="24">
        <f t="shared" si="35"/>
        <v>1</v>
      </c>
      <c r="H199" s="674"/>
      <c r="I199" s="24">
        <f t="shared" si="36"/>
        <v>1</v>
      </c>
      <c r="J199" s="674"/>
      <c r="K199" s="24">
        <f t="shared" si="37"/>
        <v>1</v>
      </c>
      <c r="L199" s="674"/>
      <c r="M199" s="24">
        <f t="shared" si="38"/>
        <v>1</v>
      </c>
      <c r="N199" s="674"/>
      <c r="O199" s="24">
        <f t="shared" si="39"/>
        <v>1</v>
      </c>
      <c r="P199" s="674"/>
      <c r="Q199" s="24">
        <f t="shared" si="40"/>
        <v>1</v>
      </c>
      <c r="R199" s="670">
        <f t="shared" si="41"/>
        <v>0</v>
      </c>
      <c r="S199" s="322">
        <f t="shared" si="42"/>
        <v>0</v>
      </c>
    </row>
    <row r="200" spans="1:19">
      <c r="A200" s="155"/>
      <c r="B200" s="57"/>
      <c r="C200" s="24">
        <f t="shared" si="33"/>
        <v>1</v>
      </c>
      <c r="D200" s="674"/>
      <c r="E200" s="24">
        <f t="shared" si="34"/>
        <v>1</v>
      </c>
      <c r="F200" s="674"/>
      <c r="G200" s="24">
        <f t="shared" si="35"/>
        <v>1</v>
      </c>
      <c r="H200" s="674"/>
      <c r="I200" s="24">
        <f t="shared" si="36"/>
        <v>1</v>
      </c>
      <c r="J200" s="674"/>
      <c r="K200" s="24">
        <f t="shared" si="37"/>
        <v>1</v>
      </c>
      <c r="L200" s="674"/>
      <c r="M200" s="24">
        <f t="shared" si="38"/>
        <v>1</v>
      </c>
      <c r="N200" s="674"/>
      <c r="O200" s="24">
        <f t="shared" si="39"/>
        <v>1</v>
      </c>
      <c r="P200" s="674"/>
      <c r="Q200" s="24">
        <f t="shared" si="40"/>
        <v>1</v>
      </c>
      <c r="R200" s="670">
        <f t="shared" si="41"/>
        <v>0</v>
      </c>
      <c r="S200" s="322">
        <f t="shared" si="42"/>
        <v>0</v>
      </c>
    </row>
    <row r="201" spans="1:19">
      <c r="A201" s="155"/>
      <c r="B201" s="57"/>
      <c r="C201" s="24">
        <f t="shared" si="33"/>
        <v>1</v>
      </c>
      <c r="D201" s="674"/>
      <c r="E201" s="24">
        <f t="shared" si="34"/>
        <v>1</v>
      </c>
      <c r="F201" s="674"/>
      <c r="G201" s="24">
        <f t="shared" si="35"/>
        <v>1</v>
      </c>
      <c r="H201" s="674"/>
      <c r="I201" s="24">
        <f t="shared" si="36"/>
        <v>1</v>
      </c>
      <c r="J201" s="674"/>
      <c r="K201" s="24">
        <f t="shared" si="37"/>
        <v>1</v>
      </c>
      <c r="L201" s="674"/>
      <c r="M201" s="24">
        <f t="shared" si="38"/>
        <v>1</v>
      </c>
      <c r="N201" s="674"/>
      <c r="O201" s="24">
        <f t="shared" si="39"/>
        <v>1</v>
      </c>
      <c r="P201" s="674"/>
      <c r="Q201" s="24">
        <f t="shared" si="40"/>
        <v>1</v>
      </c>
      <c r="R201" s="670">
        <f t="shared" si="41"/>
        <v>0</v>
      </c>
      <c r="S201" s="322">
        <f t="shared" si="42"/>
        <v>0</v>
      </c>
    </row>
    <row r="202" spans="1:19">
      <c r="A202" s="155"/>
      <c r="B202" s="57"/>
      <c r="C202" s="24">
        <f t="shared" si="33"/>
        <v>1</v>
      </c>
      <c r="D202" s="674"/>
      <c r="E202" s="24">
        <f t="shared" si="34"/>
        <v>1</v>
      </c>
      <c r="F202" s="674"/>
      <c r="G202" s="24">
        <f t="shared" si="35"/>
        <v>1</v>
      </c>
      <c r="H202" s="674"/>
      <c r="I202" s="24">
        <f t="shared" si="36"/>
        <v>1</v>
      </c>
      <c r="J202" s="674"/>
      <c r="K202" s="24">
        <f t="shared" si="37"/>
        <v>1</v>
      </c>
      <c r="L202" s="674"/>
      <c r="M202" s="24">
        <f t="shared" si="38"/>
        <v>1</v>
      </c>
      <c r="N202" s="674"/>
      <c r="O202" s="24">
        <f t="shared" si="39"/>
        <v>1</v>
      </c>
      <c r="P202" s="674"/>
      <c r="Q202" s="24">
        <f t="shared" si="40"/>
        <v>1</v>
      </c>
      <c r="R202" s="670">
        <f t="shared" si="41"/>
        <v>0</v>
      </c>
      <c r="S202" s="322">
        <f t="shared" si="42"/>
        <v>0</v>
      </c>
    </row>
    <row r="203" spans="1:19">
      <c r="A203" s="155"/>
      <c r="B203" s="57"/>
      <c r="C203" s="24">
        <f t="shared" si="33"/>
        <v>1</v>
      </c>
      <c r="D203" s="674"/>
      <c r="E203" s="24">
        <f t="shared" si="34"/>
        <v>1</v>
      </c>
      <c r="F203" s="674"/>
      <c r="G203" s="24">
        <f t="shared" si="35"/>
        <v>1</v>
      </c>
      <c r="H203" s="674"/>
      <c r="I203" s="24">
        <f t="shared" si="36"/>
        <v>1</v>
      </c>
      <c r="J203" s="674"/>
      <c r="K203" s="24">
        <f t="shared" si="37"/>
        <v>1</v>
      </c>
      <c r="L203" s="674"/>
      <c r="M203" s="24">
        <f t="shared" si="38"/>
        <v>1</v>
      </c>
      <c r="N203" s="674"/>
      <c r="O203" s="24">
        <f t="shared" si="39"/>
        <v>1</v>
      </c>
      <c r="P203" s="674"/>
      <c r="Q203" s="24">
        <f t="shared" si="40"/>
        <v>1</v>
      </c>
      <c r="R203" s="670">
        <f t="shared" si="41"/>
        <v>0</v>
      </c>
      <c r="S203" s="322">
        <f t="shared" si="42"/>
        <v>0</v>
      </c>
    </row>
    <row r="204" spans="1:19">
      <c r="A204" s="155"/>
      <c r="B204" s="57"/>
      <c r="C204" s="24">
        <f t="shared" si="33"/>
        <v>1</v>
      </c>
      <c r="D204" s="674"/>
      <c r="E204" s="24">
        <f t="shared" si="34"/>
        <v>1</v>
      </c>
      <c r="F204" s="674"/>
      <c r="G204" s="24">
        <f t="shared" si="35"/>
        <v>1</v>
      </c>
      <c r="H204" s="674"/>
      <c r="I204" s="24">
        <f t="shared" si="36"/>
        <v>1</v>
      </c>
      <c r="J204" s="674"/>
      <c r="K204" s="24">
        <f t="shared" si="37"/>
        <v>1</v>
      </c>
      <c r="L204" s="674"/>
      <c r="M204" s="24">
        <f t="shared" si="38"/>
        <v>1</v>
      </c>
      <c r="N204" s="674"/>
      <c r="O204" s="24">
        <f t="shared" si="39"/>
        <v>1</v>
      </c>
      <c r="P204" s="674"/>
      <c r="Q204" s="24">
        <f t="shared" si="40"/>
        <v>1</v>
      </c>
      <c r="R204" s="670">
        <f t="shared" si="41"/>
        <v>0</v>
      </c>
      <c r="S204" s="322">
        <f t="shared" si="42"/>
        <v>0</v>
      </c>
    </row>
    <row r="205" spans="1:19">
      <c r="A205" s="155"/>
      <c r="B205" s="57"/>
      <c r="C205" s="24">
        <f t="shared" si="33"/>
        <v>1</v>
      </c>
      <c r="D205" s="674"/>
      <c r="E205" s="24">
        <f t="shared" si="34"/>
        <v>1</v>
      </c>
      <c r="F205" s="674"/>
      <c r="G205" s="24">
        <f t="shared" si="35"/>
        <v>1</v>
      </c>
      <c r="H205" s="674"/>
      <c r="I205" s="24">
        <f t="shared" si="36"/>
        <v>1</v>
      </c>
      <c r="J205" s="674"/>
      <c r="K205" s="24">
        <f t="shared" si="37"/>
        <v>1</v>
      </c>
      <c r="L205" s="674"/>
      <c r="M205" s="24">
        <f t="shared" si="38"/>
        <v>1</v>
      </c>
      <c r="N205" s="674"/>
      <c r="O205" s="24">
        <f t="shared" si="39"/>
        <v>1</v>
      </c>
      <c r="P205" s="674"/>
      <c r="Q205" s="24">
        <f t="shared" si="40"/>
        <v>1</v>
      </c>
      <c r="R205" s="670">
        <f t="shared" si="41"/>
        <v>0</v>
      </c>
      <c r="S205" s="322">
        <f t="shared" si="42"/>
        <v>0</v>
      </c>
    </row>
    <row r="206" spans="1:19">
      <c r="A206" s="155"/>
      <c r="B206" s="57"/>
      <c r="C206" s="24">
        <f t="shared" si="33"/>
        <v>1</v>
      </c>
      <c r="D206" s="674"/>
      <c r="E206" s="24">
        <f t="shared" si="34"/>
        <v>1</v>
      </c>
      <c r="F206" s="674"/>
      <c r="G206" s="24">
        <f t="shared" si="35"/>
        <v>1</v>
      </c>
      <c r="H206" s="674"/>
      <c r="I206" s="24">
        <f t="shared" si="36"/>
        <v>1</v>
      </c>
      <c r="J206" s="674"/>
      <c r="K206" s="24">
        <f t="shared" si="37"/>
        <v>1</v>
      </c>
      <c r="L206" s="674"/>
      <c r="M206" s="24">
        <f t="shared" si="38"/>
        <v>1</v>
      </c>
      <c r="N206" s="674"/>
      <c r="O206" s="24">
        <f t="shared" si="39"/>
        <v>1</v>
      </c>
      <c r="P206" s="674"/>
      <c r="Q206" s="24">
        <f t="shared" si="40"/>
        <v>1</v>
      </c>
      <c r="R206" s="670">
        <f t="shared" si="41"/>
        <v>0</v>
      </c>
      <c r="S206" s="322">
        <f t="shared" si="42"/>
        <v>0</v>
      </c>
    </row>
    <row r="207" spans="1:19">
      <c r="A207" s="155"/>
      <c r="B207" s="57"/>
      <c r="C207" s="24">
        <f t="shared" si="33"/>
        <v>1</v>
      </c>
      <c r="D207" s="674"/>
      <c r="E207" s="24">
        <f t="shared" si="34"/>
        <v>1</v>
      </c>
      <c r="F207" s="674"/>
      <c r="G207" s="24">
        <f t="shared" si="35"/>
        <v>1</v>
      </c>
      <c r="H207" s="674"/>
      <c r="I207" s="24">
        <f t="shared" si="36"/>
        <v>1</v>
      </c>
      <c r="J207" s="674"/>
      <c r="K207" s="24">
        <f t="shared" si="37"/>
        <v>1</v>
      </c>
      <c r="L207" s="674"/>
      <c r="M207" s="24">
        <f t="shared" si="38"/>
        <v>1</v>
      </c>
      <c r="N207" s="674"/>
      <c r="O207" s="24">
        <f t="shared" si="39"/>
        <v>1</v>
      </c>
      <c r="P207" s="674"/>
      <c r="Q207" s="24">
        <f t="shared" si="40"/>
        <v>1</v>
      </c>
      <c r="R207" s="670">
        <f t="shared" si="41"/>
        <v>0</v>
      </c>
      <c r="S207" s="322">
        <f t="shared" si="42"/>
        <v>0</v>
      </c>
    </row>
    <row r="208" spans="1:19">
      <c r="A208" s="155"/>
      <c r="B208" s="57"/>
      <c r="C208" s="24">
        <f t="shared" si="33"/>
        <v>1</v>
      </c>
      <c r="D208" s="674"/>
      <c r="E208" s="24">
        <f t="shared" si="34"/>
        <v>1</v>
      </c>
      <c r="F208" s="674"/>
      <c r="G208" s="24">
        <f t="shared" si="35"/>
        <v>1</v>
      </c>
      <c r="H208" s="674"/>
      <c r="I208" s="24">
        <f t="shared" si="36"/>
        <v>1</v>
      </c>
      <c r="J208" s="674"/>
      <c r="K208" s="24">
        <f t="shared" si="37"/>
        <v>1</v>
      </c>
      <c r="L208" s="674"/>
      <c r="M208" s="24">
        <f t="shared" si="38"/>
        <v>1</v>
      </c>
      <c r="N208" s="674"/>
      <c r="O208" s="24">
        <f t="shared" si="39"/>
        <v>1</v>
      </c>
      <c r="P208" s="674"/>
      <c r="Q208" s="24">
        <f t="shared" si="40"/>
        <v>1</v>
      </c>
      <c r="R208" s="670">
        <f t="shared" si="41"/>
        <v>0</v>
      </c>
      <c r="S208" s="322">
        <f t="shared" si="42"/>
        <v>0</v>
      </c>
    </row>
    <row r="209" spans="1:19">
      <c r="A209" s="155"/>
      <c r="B209" s="57"/>
      <c r="C209" s="24">
        <f t="shared" si="33"/>
        <v>1</v>
      </c>
      <c r="D209" s="674"/>
      <c r="E209" s="24">
        <f t="shared" si="34"/>
        <v>1</v>
      </c>
      <c r="F209" s="674"/>
      <c r="G209" s="24">
        <f t="shared" si="35"/>
        <v>1</v>
      </c>
      <c r="H209" s="674"/>
      <c r="I209" s="24">
        <f t="shared" si="36"/>
        <v>1</v>
      </c>
      <c r="J209" s="674"/>
      <c r="K209" s="24">
        <f t="shared" si="37"/>
        <v>1</v>
      </c>
      <c r="L209" s="674"/>
      <c r="M209" s="24">
        <f t="shared" si="38"/>
        <v>1</v>
      </c>
      <c r="N209" s="674"/>
      <c r="O209" s="24">
        <f t="shared" si="39"/>
        <v>1</v>
      </c>
      <c r="P209" s="674"/>
      <c r="Q209" s="24">
        <f t="shared" si="40"/>
        <v>1</v>
      </c>
      <c r="R209" s="670">
        <f t="shared" si="41"/>
        <v>0</v>
      </c>
      <c r="S209" s="322">
        <f t="shared" si="42"/>
        <v>0</v>
      </c>
    </row>
    <row r="210" spans="1:19">
      <c r="A210" s="155"/>
      <c r="B210" s="57"/>
      <c r="C210" s="24">
        <f t="shared" si="33"/>
        <v>1</v>
      </c>
      <c r="D210" s="674"/>
      <c r="E210" s="24">
        <f t="shared" si="34"/>
        <v>1</v>
      </c>
      <c r="F210" s="674"/>
      <c r="G210" s="24">
        <f t="shared" si="35"/>
        <v>1</v>
      </c>
      <c r="H210" s="674"/>
      <c r="I210" s="24">
        <f t="shared" si="36"/>
        <v>1</v>
      </c>
      <c r="J210" s="674"/>
      <c r="K210" s="24">
        <f t="shared" si="37"/>
        <v>1</v>
      </c>
      <c r="L210" s="674"/>
      <c r="M210" s="24">
        <f t="shared" si="38"/>
        <v>1</v>
      </c>
      <c r="N210" s="674"/>
      <c r="O210" s="24">
        <f t="shared" si="39"/>
        <v>1</v>
      </c>
      <c r="P210" s="674"/>
      <c r="Q210" s="24">
        <f t="shared" si="40"/>
        <v>1</v>
      </c>
      <c r="R210" s="670">
        <f t="shared" si="41"/>
        <v>0</v>
      </c>
      <c r="S210" s="322">
        <f t="shared" si="42"/>
        <v>0</v>
      </c>
    </row>
    <row r="211" spans="1:19">
      <c r="A211" s="155"/>
      <c r="B211" s="57"/>
      <c r="C211" s="24">
        <f t="shared" si="33"/>
        <v>1</v>
      </c>
      <c r="D211" s="674"/>
      <c r="E211" s="24">
        <f t="shared" si="34"/>
        <v>1</v>
      </c>
      <c r="F211" s="674"/>
      <c r="G211" s="24">
        <f t="shared" si="35"/>
        <v>1</v>
      </c>
      <c r="H211" s="674"/>
      <c r="I211" s="24">
        <f t="shared" si="36"/>
        <v>1</v>
      </c>
      <c r="J211" s="674"/>
      <c r="K211" s="24">
        <f t="shared" si="37"/>
        <v>1</v>
      </c>
      <c r="L211" s="674"/>
      <c r="M211" s="24">
        <f t="shared" si="38"/>
        <v>1</v>
      </c>
      <c r="N211" s="674"/>
      <c r="O211" s="24">
        <f t="shared" si="39"/>
        <v>1</v>
      </c>
      <c r="P211" s="674"/>
      <c r="Q211" s="24">
        <f t="shared" si="40"/>
        <v>1</v>
      </c>
      <c r="R211" s="670">
        <f t="shared" si="41"/>
        <v>0</v>
      </c>
      <c r="S211" s="322">
        <f t="shared" si="42"/>
        <v>0</v>
      </c>
    </row>
    <row r="212" spans="1:19">
      <c r="A212" s="155"/>
      <c r="B212" s="57"/>
      <c r="C212" s="24">
        <f t="shared" si="33"/>
        <v>1</v>
      </c>
      <c r="D212" s="674"/>
      <c r="E212" s="24">
        <f t="shared" si="34"/>
        <v>1</v>
      </c>
      <c r="F212" s="674"/>
      <c r="G212" s="24">
        <f t="shared" si="35"/>
        <v>1</v>
      </c>
      <c r="H212" s="674"/>
      <c r="I212" s="24">
        <f t="shared" si="36"/>
        <v>1</v>
      </c>
      <c r="J212" s="674"/>
      <c r="K212" s="24">
        <f t="shared" si="37"/>
        <v>1</v>
      </c>
      <c r="L212" s="674"/>
      <c r="M212" s="24">
        <f t="shared" si="38"/>
        <v>1</v>
      </c>
      <c r="N212" s="674"/>
      <c r="O212" s="24">
        <f t="shared" si="39"/>
        <v>1</v>
      </c>
      <c r="P212" s="674"/>
      <c r="Q212" s="24">
        <f t="shared" si="40"/>
        <v>1</v>
      </c>
      <c r="R212" s="670">
        <f t="shared" si="41"/>
        <v>0</v>
      </c>
      <c r="S212" s="322">
        <f t="shared" si="42"/>
        <v>0</v>
      </c>
    </row>
    <row r="213" spans="1:19">
      <c r="A213" s="155"/>
      <c r="B213" s="57"/>
      <c r="C213" s="24">
        <f t="shared" si="33"/>
        <v>1</v>
      </c>
      <c r="D213" s="674"/>
      <c r="E213" s="24">
        <f t="shared" si="34"/>
        <v>1</v>
      </c>
      <c r="F213" s="674"/>
      <c r="G213" s="24">
        <f t="shared" si="35"/>
        <v>1</v>
      </c>
      <c r="H213" s="674"/>
      <c r="I213" s="24">
        <f t="shared" si="36"/>
        <v>1</v>
      </c>
      <c r="J213" s="674"/>
      <c r="K213" s="24">
        <f t="shared" si="37"/>
        <v>1</v>
      </c>
      <c r="L213" s="674"/>
      <c r="M213" s="24">
        <f t="shared" si="38"/>
        <v>1</v>
      </c>
      <c r="N213" s="674"/>
      <c r="O213" s="24">
        <f t="shared" si="39"/>
        <v>1</v>
      </c>
      <c r="P213" s="674"/>
      <c r="Q213" s="24">
        <f t="shared" si="40"/>
        <v>1</v>
      </c>
      <c r="R213" s="670">
        <f t="shared" si="41"/>
        <v>0</v>
      </c>
      <c r="S213" s="322">
        <f t="shared" si="42"/>
        <v>0</v>
      </c>
    </row>
    <row r="214" spans="1:19">
      <c r="A214" s="155"/>
      <c r="B214" s="57"/>
      <c r="C214" s="24">
        <f t="shared" si="33"/>
        <v>1</v>
      </c>
      <c r="D214" s="674"/>
      <c r="E214" s="24">
        <f t="shared" si="34"/>
        <v>1</v>
      </c>
      <c r="F214" s="674"/>
      <c r="G214" s="24">
        <f t="shared" si="35"/>
        <v>1</v>
      </c>
      <c r="H214" s="674"/>
      <c r="I214" s="24">
        <f t="shared" si="36"/>
        <v>1</v>
      </c>
      <c r="J214" s="674"/>
      <c r="K214" s="24">
        <f t="shared" si="37"/>
        <v>1</v>
      </c>
      <c r="L214" s="674"/>
      <c r="M214" s="24">
        <f t="shared" si="38"/>
        <v>1</v>
      </c>
      <c r="N214" s="674"/>
      <c r="O214" s="24">
        <f t="shared" si="39"/>
        <v>1</v>
      </c>
      <c r="P214" s="674"/>
      <c r="Q214" s="24">
        <f t="shared" si="40"/>
        <v>1</v>
      </c>
      <c r="R214" s="670">
        <f t="shared" si="41"/>
        <v>0</v>
      </c>
      <c r="S214" s="322">
        <f t="shared" si="42"/>
        <v>0</v>
      </c>
    </row>
    <row r="215" spans="1:19">
      <c r="A215" s="155"/>
      <c r="B215" s="57"/>
      <c r="C215" s="24">
        <f t="shared" si="33"/>
        <v>1</v>
      </c>
      <c r="D215" s="674"/>
      <c r="E215" s="24">
        <f t="shared" si="34"/>
        <v>1</v>
      </c>
      <c r="F215" s="674"/>
      <c r="G215" s="24">
        <f t="shared" si="35"/>
        <v>1</v>
      </c>
      <c r="H215" s="674"/>
      <c r="I215" s="24">
        <f t="shared" si="36"/>
        <v>1</v>
      </c>
      <c r="J215" s="674"/>
      <c r="K215" s="24">
        <f t="shared" si="37"/>
        <v>1</v>
      </c>
      <c r="L215" s="674"/>
      <c r="M215" s="24">
        <f t="shared" si="38"/>
        <v>1</v>
      </c>
      <c r="N215" s="674"/>
      <c r="O215" s="24">
        <f t="shared" si="39"/>
        <v>1</v>
      </c>
      <c r="P215" s="674"/>
      <c r="Q215" s="24">
        <f t="shared" si="40"/>
        <v>1</v>
      </c>
      <c r="R215" s="670">
        <f t="shared" si="41"/>
        <v>0</v>
      </c>
      <c r="S215" s="322">
        <f t="shared" si="42"/>
        <v>0</v>
      </c>
    </row>
    <row r="216" spans="1:19">
      <c r="A216" s="155"/>
      <c r="B216" s="57"/>
      <c r="C216" s="24">
        <f t="shared" si="33"/>
        <v>1</v>
      </c>
      <c r="D216" s="674"/>
      <c r="E216" s="24">
        <f t="shared" si="34"/>
        <v>1</v>
      </c>
      <c r="F216" s="674"/>
      <c r="G216" s="24">
        <f t="shared" si="35"/>
        <v>1</v>
      </c>
      <c r="H216" s="674"/>
      <c r="I216" s="24">
        <f t="shared" si="36"/>
        <v>1</v>
      </c>
      <c r="J216" s="674"/>
      <c r="K216" s="24">
        <f t="shared" si="37"/>
        <v>1</v>
      </c>
      <c r="L216" s="674"/>
      <c r="M216" s="24">
        <f t="shared" si="38"/>
        <v>1</v>
      </c>
      <c r="N216" s="674"/>
      <c r="O216" s="24">
        <f t="shared" si="39"/>
        <v>1</v>
      </c>
      <c r="P216" s="674"/>
      <c r="Q216" s="24">
        <f t="shared" si="40"/>
        <v>1</v>
      </c>
      <c r="R216" s="670">
        <f t="shared" si="41"/>
        <v>0</v>
      </c>
      <c r="S216" s="322">
        <f t="shared" si="42"/>
        <v>0</v>
      </c>
    </row>
    <row r="217" spans="1:19">
      <c r="A217" s="155"/>
      <c r="B217" s="57"/>
      <c r="C217" s="24">
        <f t="shared" si="33"/>
        <v>1</v>
      </c>
      <c r="D217" s="674"/>
      <c r="E217" s="24">
        <f t="shared" si="34"/>
        <v>1</v>
      </c>
      <c r="F217" s="674"/>
      <c r="G217" s="24">
        <f t="shared" si="35"/>
        <v>1</v>
      </c>
      <c r="H217" s="674"/>
      <c r="I217" s="24">
        <f t="shared" si="36"/>
        <v>1</v>
      </c>
      <c r="J217" s="674"/>
      <c r="K217" s="24">
        <f t="shared" si="37"/>
        <v>1</v>
      </c>
      <c r="L217" s="674"/>
      <c r="M217" s="24">
        <f t="shared" si="38"/>
        <v>1</v>
      </c>
      <c r="N217" s="674"/>
      <c r="O217" s="24">
        <f t="shared" si="39"/>
        <v>1</v>
      </c>
      <c r="P217" s="674"/>
      <c r="Q217" s="24">
        <f t="shared" si="40"/>
        <v>1</v>
      </c>
      <c r="R217" s="670">
        <f t="shared" si="41"/>
        <v>0</v>
      </c>
      <c r="S217" s="322">
        <f t="shared" si="42"/>
        <v>0</v>
      </c>
    </row>
    <row r="218" spans="1:19">
      <c r="A218" s="155"/>
      <c r="B218" s="57"/>
      <c r="C218" s="24">
        <f t="shared" ref="C218:C281" si="43">IF(B218="",1,(LOOKUP(B218,$3:$3,$4:$4)-LOOKUP($B$24,$3:$3,$4:$4)+100)/100)</f>
        <v>1</v>
      </c>
      <c r="D218" s="674"/>
      <c r="E218" s="24">
        <f t="shared" ref="E218:E281" si="44">(SUMIF($5:$5,D218,$6:$6)-SUMIF($5:$5,$D$24,$6:$6)+100)/100</f>
        <v>1</v>
      </c>
      <c r="F218" s="674"/>
      <c r="G218" s="24">
        <f t="shared" ref="G218:G281" si="45">(SUMIF($7:$7,F218,$8:$8)-SUMIF($7:$7,$F$24,$8:$8)+100)/100</f>
        <v>1</v>
      </c>
      <c r="H218" s="674"/>
      <c r="I218" s="24">
        <f t="shared" ref="I218:I281" si="46">(SUMIF($9:$9,H218,$10:$10)-SUMIF($9:$9,$H$24,$10:$10)+100)/100</f>
        <v>1</v>
      </c>
      <c r="J218" s="674"/>
      <c r="K218" s="24">
        <f t="shared" ref="K218:K281" si="47">(SUMIF($11:$11,J218,$12:$12)-SUMIF($11:$11,$J$24,$12:$12)+100)/100</f>
        <v>1</v>
      </c>
      <c r="L218" s="674"/>
      <c r="M218" s="24">
        <f t="shared" ref="M218:M281" si="48">(SUMIF($13:$13,L218,$14:$14)-SUMIF($13:$13,$L$24,$14:$14)+100)/100</f>
        <v>1</v>
      </c>
      <c r="N218" s="674"/>
      <c r="O218" s="24">
        <f t="shared" ref="O218:O281" si="49">(SUMIF($15:$15,N218,$16:$16)-SUMIF($15:$15,$N$24,$16:$16)+100)/100</f>
        <v>1</v>
      </c>
      <c r="P218" s="674"/>
      <c r="Q218" s="24">
        <f t="shared" ref="Q218:Q281" si="50">(SUMIF($17:$17,P218,$18:$18)-SUMIF($17:$17,$P$24,$18:$18)+100)/100</f>
        <v>1</v>
      </c>
      <c r="R218" s="670">
        <f t="shared" ref="R218:R281" si="51">IF(B218="",0,ROUND($R$24*C218*E218*G218*I218*K218*M218*O218*Q218,0))</f>
        <v>0</v>
      </c>
      <c r="S218" s="322">
        <f t="shared" si="42"/>
        <v>0</v>
      </c>
    </row>
    <row r="219" spans="1:19">
      <c r="A219" s="155"/>
      <c r="B219" s="57"/>
      <c r="C219" s="24">
        <f t="shared" si="43"/>
        <v>1</v>
      </c>
      <c r="D219" s="674"/>
      <c r="E219" s="24">
        <f t="shared" si="44"/>
        <v>1</v>
      </c>
      <c r="F219" s="674"/>
      <c r="G219" s="24">
        <f t="shared" si="45"/>
        <v>1</v>
      </c>
      <c r="H219" s="674"/>
      <c r="I219" s="24">
        <f t="shared" si="46"/>
        <v>1</v>
      </c>
      <c r="J219" s="674"/>
      <c r="K219" s="24">
        <f t="shared" si="47"/>
        <v>1</v>
      </c>
      <c r="L219" s="674"/>
      <c r="M219" s="24">
        <f t="shared" si="48"/>
        <v>1</v>
      </c>
      <c r="N219" s="674"/>
      <c r="O219" s="24">
        <f t="shared" si="49"/>
        <v>1</v>
      </c>
      <c r="P219" s="674"/>
      <c r="Q219" s="24">
        <f t="shared" si="50"/>
        <v>1</v>
      </c>
      <c r="R219" s="670">
        <f t="shared" si="51"/>
        <v>0</v>
      </c>
      <c r="S219" s="322">
        <f t="shared" si="42"/>
        <v>0</v>
      </c>
    </row>
    <row r="220" spans="1:19">
      <c r="A220" s="155"/>
      <c r="B220" s="57"/>
      <c r="C220" s="24">
        <f t="shared" si="43"/>
        <v>1</v>
      </c>
      <c r="D220" s="674"/>
      <c r="E220" s="24">
        <f t="shared" si="44"/>
        <v>1</v>
      </c>
      <c r="F220" s="674"/>
      <c r="G220" s="24">
        <f t="shared" si="45"/>
        <v>1</v>
      </c>
      <c r="H220" s="674"/>
      <c r="I220" s="24">
        <f t="shared" si="46"/>
        <v>1</v>
      </c>
      <c r="J220" s="674"/>
      <c r="K220" s="24">
        <f t="shared" si="47"/>
        <v>1</v>
      </c>
      <c r="L220" s="674"/>
      <c r="M220" s="24">
        <f t="shared" si="48"/>
        <v>1</v>
      </c>
      <c r="N220" s="674"/>
      <c r="O220" s="24">
        <f t="shared" si="49"/>
        <v>1</v>
      </c>
      <c r="P220" s="674"/>
      <c r="Q220" s="24">
        <f t="shared" si="50"/>
        <v>1</v>
      </c>
      <c r="R220" s="670">
        <f t="shared" si="51"/>
        <v>0</v>
      </c>
      <c r="S220" s="322">
        <f t="shared" si="42"/>
        <v>0</v>
      </c>
    </row>
    <row r="221" spans="1:19">
      <c r="A221" s="155"/>
      <c r="B221" s="57"/>
      <c r="C221" s="24">
        <f t="shared" si="43"/>
        <v>1</v>
      </c>
      <c r="D221" s="674"/>
      <c r="E221" s="24">
        <f t="shared" si="44"/>
        <v>1</v>
      </c>
      <c r="F221" s="674"/>
      <c r="G221" s="24">
        <f t="shared" si="45"/>
        <v>1</v>
      </c>
      <c r="H221" s="674"/>
      <c r="I221" s="24">
        <f t="shared" si="46"/>
        <v>1</v>
      </c>
      <c r="J221" s="674"/>
      <c r="K221" s="24">
        <f t="shared" si="47"/>
        <v>1</v>
      </c>
      <c r="L221" s="674"/>
      <c r="M221" s="24">
        <f t="shared" si="48"/>
        <v>1</v>
      </c>
      <c r="N221" s="674"/>
      <c r="O221" s="24">
        <f t="shared" si="49"/>
        <v>1</v>
      </c>
      <c r="P221" s="674"/>
      <c r="Q221" s="24">
        <f t="shared" si="50"/>
        <v>1</v>
      </c>
      <c r="R221" s="670">
        <f t="shared" si="51"/>
        <v>0</v>
      </c>
      <c r="S221" s="322">
        <f t="shared" si="42"/>
        <v>0</v>
      </c>
    </row>
    <row r="222" spans="1:19">
      <c r="A222" s="155"/>
      <c r="B222" s="57"/>
      <c r="C222" s="24">
        <f t="shared" si="43"/>
        <v>1</v>
      </c>
      <c r="D222" s="674"/>
      <c r="E222" s="24">
        <f t="shared" si="44"/>
        <v>1</v>
      </c>
      <c r="F222" s="674"/>
      <c r="G222" s="24">
        <f t="shared" si="45"/>
        <v>1</v>
      </c>
      <c r="H222" s="674"/>
      <c r="I222" s="24">
        <f t="shared" si="46"/>
        <v>1</v>
      </c>
      <c r="J222" s="674"/>
      <c r="K222" s="24">
        <f t="shared" si="47"/>
        <v>1</v>
      </c>
      <c r="L222" s="674"/>
      <c r="M222" s="24">
        <f t="shared" si="48"/>
        <v>1</v>
      </c>
      <c r="N222" s="674"/>
      <c r="O222" s="24">
        <f t="shared" si="49"/>
        <v>1</v>
      </c>
      <c r="P222" s="674"/>
      <c r="Q222" s="24">
        <f t="shared" si="50"/>
        <v>1</v>
      </c>
      <c r="R222" s="670">
        <f t="shared" si="51"/>
        <v>0</v>
      </c>
      <c r="S222" s="322">
        <f t="shared" si="42"/>
        <v>0</v>
      </c>
    </row>
    <row r="223" spans="1:19">
      <c r="A223" s="155"/>
      <c r="B223" s="57"/>
      <c r="C223" s="24">
        <f t="shared" si="43"/>
        <v>1</v>
      </c>
      <c r="D223" s="674"/>
      <c r="E223" s="24">
        <f t="shared" si="44"/>
        <v>1</v>
      </c>
      <c r="F223" s="674"/>
      <c r="G223" s="24">
        <f t="shared" si="45"/>
        <v>1</v>
      </c>
      <c r="H223" s="674"/>
      <c r="I223" s="24">
        <f t="shared" si="46"/>
        <v>1</v>
      </c>
      <c r="J223" s="674"/>
      <c r="K223" s="24">
        <f t="shared" si="47"/>
        <v>1</v>
      </c>
      <c r="L223" s="674"/>
      <c r="M223" s="24">
        <f t="shared" si="48"/>
        <v>1</v>
      </c>
      <c r="N223" s="674"/>
      <c r="O223" s="24">
        <f t="shared" si="49"/>
        <v>1</v>
      </c>
      <c r="P223" s="674"/>
      <c r="Q223" s="24">
        <f t="shared" si="50"/>
        <v>1</v>
      </c>
      <c r="R223" s="670">
        <f t="shared" si="51"/>
        <v>0</v>
      </c>
      <c r="S223" s="322">
        <f t="shared" ref="S223:S286" si="52">ROUND(R223*B223/10000,0)</f>
        <v>0</v>
      </c>
    </row>
    <row r="224" spans="1:19">
      <c r="A224" s="155"/>
      <c r="B224" s="57"/>
      <c r="C224" s="24">
        <f t="shared" si="43"/>
        <v>1</v>
      </c>
      <c r="D224" s="674"/>
      <c r="E224" s="24">
        <f t="shared" si="44"/>
        <v>1</v>
      </c>
      <c r="F224" s="674"/>
      <c r="G224" s="24">
        <f t="shared" si="45"/>
        <v>1</v>
      </c>
      <c r="H224" s="674"/>
      <c r="I224" s="24">
        <f t="shared" si="46"/>
        <v>1</v>
      </c>
      <c r="J224" s="674"/>
      <c r="K224" s="24">
        <f t="shared" si="47"/>
        <v>1</v>
      </c>
      <c r="L224" s="674"/>
      <c r="M224" s="24">
        <f t="shared" si="48"/>
        <v>1</v>
      </c>
      <c r="N224" s="674"/>
      <c r="O224" s="24">
        <f t="shared" si="49"/>
        <v>1</v>
      </c>
      <c r="P224" s="674"/>
      <c r="Q224" s="24">
        <f t="shared" si="50"/>
        <v>1</v>
      </c>
      <c r="R224" s="670">
        <f t="shared" si="51"/>
        <v>0</v>
      </c>
      <c r="S224" s="322">
        <f t="shared" si="52"/>
        <v>0</v>
      </c>
    </row>
    <row r="225" spans="1:19">
      <c r="A225" s="155"/>
      <c r="B225" s="57"/>
      <c r="C225" s="24">
        <f t="shared" si="43"/>
        <v>1</v>
      </c>
      <c r="D225" s="674"/>
      <c r="E225" s="24">
        <f t="shared" si="44"/>
        <v>1</v>
      </c>
      <c r="F225" s="674"/>
      <c r="G225" s="24">
        <f t="shared" si="45"/>
        <v>1</v>
      </c>
      <c r="H225" s="674"/>
      <c r="I225" s="24">
        <f t="shared" si="46"/>
        <v>1</v>
      </c>
      <c r="J225" s="674"/>
      <c r="K225" s="24">
        <f t="shared" si="47"/>
        <v>1</v>
      </c>
      <c r="L225" s="674"/>
      <c r="M225" s="24">
        <f t="shared" si="48"/>
        <v>1</v>
      </c>
      <c r="N225" s="674"/>
      <c r="O225" s="24">
        <f t="shared" si="49"/>
        <v>1</v>
      </c>
      <c r="P225" s="674"/>
      <c r="Q225" s="24">
        <f t="shared" si="50"/>
        <v>1</v>
      </c>
      <c r="R225" s="670">
        <f t="shared" si="51"/>
        <v>0</v>
      </c>
      <c r="S225" s="322">
        <f t="shared" si="52"/>
        <v>0</v>
      </c>
    </row>
    <row r="226" spans="1:19">
      <c r="A226" s="155"/>
      <c r="B226" s="57"/>
      <c r="C226" s="24">
        <f t="shared" si="43"/>
        <v>1</v>
      </c>
      <c r="D226" s="674"/>
      <c r="E226" s="24">
        <f t="shared" si="44"/>
        <v>1</v>
      </c>
      <c r="F226" s="674"/>
      <c r="G226" s="24">
        <f t="shared" si="45"/>
        <v>1</v>
      </c>
      <c r="H226" s="674"/>
      <c r="I226" s="24">
        <f t="shared" si="46"/>
        <v>1</v>
      </c>
      <c r="J226" s="674"/>
      <c r="K226" s="24">
        <f t="shared" si="47"/>
        <v>1</v>
      </c>
      <c r="L226" s="674"/>
      <c r="M226" s="24">
        <f t="shared" si="48"/>
        <v>1</v>
      </c>
      <c r="N226" s="674"/>
      <c r="O226" s="24">
        <f t="shared" si="49"/>
        <v>1</v>
      </c>
      <c r="P226" s="674"/>
      <c r="Q226" s="24">
        <f t="shared" si="50"/>
        <v>1</v>
      </c>
      <c r="R226" s="670">
        <f t="shared" si="51"/>
        <v>0</v>
      </c>
      <c r="S226" s="322">
        <f t="shared" si="52"/>
        <v>0</v>
      </c>
    </row>
    <row r="227" spans="1:19">
      <c r="A227" s="155"/>
      <c r="B227" s="57"/>
      <c r="C227" s="24">
        <f t="shared" si="43"/>
        <v>1</v>
      </c>
      <c r="D227" s="674"/>
      <c r="E227" s="24">
        <f t="shared" si="44"/>
        <v>1</v>
      </c>
      <c r="F227" s="674"/>
      <c r="G227" s="24">
        <f t="shared" si="45"/>
        <v>1</v>
      </c>
      <c r="H227" s="674"/>
      <c r="I227" s="24">
        <f t="shared" si="46"/>
        <v>1</v>
      </c>
      <c r="J227" s="674"/>
      <c r="K227" s="24">
        <f t="shared" si="47"/>
        <v>1</v>
      </c>
      <c r="L227" s="674"/>
      <c r="M227" s="24">
        <f t="shared" si="48"/>
        <v>1</v>
      </c>
      <c r="N227" s="674"/>
      <c r="O227" s="24">
        <f t="shared" si="49"/>
        <v>1</v>
      </c>
      <c r="P227" s="674"/>
      <c r="Q227" s="24">
        <f t="shared" si="50"/>
        <v>1</v>
      </c>
      <c r="R227" s="670">
        <f t="shared" si="51"/>
        <v>0</v>
      </c>
      <c r="S227" s="322">
        <f t="shared" si="52"/>
        <v>0</v>
      </c>
    </row>
    <row r="228" spans="1:19">
      <c r="A228" s="155"/>
      <c r="B228" s="57"/>
      <c r="C228" s="24">
        <f t="shared" si="43"/>
        <v>1</v>
      </c>
      <c r="D228" s="674"/>
      <c r="E228" s="24">
        <f t="shared" si="44"/>
        <v>1</v>
      </c>
      <c r="F228" s="674"/>
      <c r="G228" s="24">
        <f t="shared" si="45"/>
        <v>1</v>
      </c>
      <c r="H228" s="674"/>
      <c r="I228" s="24">
        <f t="shared" si="46"/>
        <v>1</v>
      </c>
      <c r="J228" s="674"/>
      <c r="K228" s="24">
        <f t="shared" si="47"/>
        <v>1</v>
      </c>
      <c r="L228" s="674"/>
      <c r="M228" s="24">
        <f t="shared" si="48"/>
        <v>1</v>
      </c>
      <c r="N228" s="674"/>
      <c r="O228" s="24">
        <f t="shared" si="49"/>
        <v>1</v>
      </c>
      <c r="P228" s="674"/>
      <c r="Q228" s="24">
        <f t="shared" si="50"/>
        <v>1</v>
      </c>
      <c r="R228" s="670">
        <f t="shared" si="51"/>
        <v>0</v>
      </c>
      <c r="S228" s="322">
        <f t="shared" si="52"/>
        <v>0</v>
      </c>
    </row>
    <row r="229" spans="1:19">
      <c r="A229" s="155"/>
      <c r="B229" s="57"/>
      <c r="C229" s="24">
        <f t="shared" si="43"/>
        <v>1</v>
      </c>
      <c r="D229" s="674"/>
      <c r="E229" s="24">
        <f t="shared" si="44"/>
        <v>1</v>
      </c>
      <c r="F229" s="674"/>
      <c r="G229" s="24">
        <f t="shared" si="45"/>
        <v>1</v>
      </c>
      <c r="H229" s="674"/>
      <c r="I229" s="24">
        <f t="shared" si="46"/>
        <v>1</v>
      </c>
      <c r="J229" s="674"/>
      <c r="K229" s="24">
        <f t="shared" si="47"/>
        <v>1</v>
      </c>
      <c r="L229" s="674"/>
      <c r="M229" s="24">
        <f t="shared" si="48"/>
        <v>1</v>
      </c>
      <c r="N229" s="674"/>
      <c r="O229" s="24">
        <f t="shared" si="49"/>
        <v>1</v>
      </c>
      <c r="P229" s="674"/>
      <c r="Q229" s="24">
        <f t="shared" si="50"/>
        <v>1</v>
      </c>
      <c r="R229" s="670">
        <f t="shared" si="51"/>
        <v>0</v>
      </c>
      <c r="S229" s="322">
        <f t="shared" si="52"/>
        <v>0</v>
      </c>
    </row>
    <row r="230" spans="1:19">
      <c r="A230" s="155"/>
      <c r="B230" s="57"/>
      <c r="C230" s="24">
        <f t="shared" si="43"/>
        <v>1</v>
      </c>
      <c r="D230" s="674"/>
      <c r="E230" s="24">
        <f t="shared" si="44"/>
        <v>1</v>
      </c>
      <c r="F230" s="674"/>
      <c r="G230" s="24">
        <f t="shared" si="45"/>
        <v>1</v>
      </c>
      <c r="H230" s="674"/>
      <c r="I230" s="24">
        <f t="shared" si="46"/>
        <v>1</v>
      </c>
      <c r="J230" s="674"/>
      <c r="K230" s="24">
        <f t="shared" si="47"/>
        <v>1</v>
      </c>
      <c r="L230" s="674"/>
      <c r="M230" s="24">
        <f t="shared" si="48"/>
        <v>1</v>
      </c>
      <c r="N230" s="674"/>
      <c r="O230" s="24">
        <f t="shared" si="49"/>
        <v>1</v>
      </c>
      <c r="P230" s="674"/>
      <c r="Q230" s="24">
        <f t="shared" si="50"/>
        <v>1</v>
      </c>
      <c r="R230" s="670">
        <f t="shared" si="51"/>
        <v>0</v>
      </c>
      <c r="S230" s="322">
        <f t="shared" si="52"/>
        <v>0</v>
      </c>
    </row>
    <row r="231" spans="1:19">
      <c r="A231" s="155"/>
      <c r="B231" s="57"/>
      <c r="C231" s="24">
        <f t="shared" si="43"/>
        <v>1</v>
      </c>
      <c r="D231" s="674"/>
      <c r="E231" s="24">
        <f t="shared" si="44"/>
        <v>1</v>
      </c>
      <c r="F231" s="674"/>
      <c r="G231" s="24">
        <f t="shared" si="45"/>
        <v>1</v>
      </c>
      <c r="H231" s="674"/>
      <c r="I231" s="24">
        <f t="shared" si="46"/>
        <v>1</v>
      </c>
      <c r="J231" s="674"/>
      <c r="K231" s="24">
        <f t="shared" si="47"/>
        <v>1</v>
      </c>
      <c r="L231" s="674"/>
      <c r="M231" s="24">
        <f t="shared" si="48"/>
        <v>1</v>
      </c>
      <c r="N231" s="674"/>
      <c r="O231" s="24">
        <f t="shared" si="49"/>
        <v>1</v>
      </c>
      <c r="P231" s="674"/>
      <c r="Q231" s="24">
        <f t="shared" si="50"/>
        <v>1</v>
      </c>
      <c r="R231" s="670">
        <f t="shared" si="51"/>
        <v>0</v>
      </c>
      <c r="S231" s="322">
        <f t="shared" si="52"/>
        <v>0</v>
      </c>
    </row>
    <row r="232" spans="1:19">
      <c r="A232" s="155"/>
      <c r="B232" s="57"/>
      <c r="C232" s="24">
        <f t="shared" si="43"/>
        <v>1</v>
      </c>
      <c r="D232" s="674"/>
      <c r="E232" s="24">
        <f t="shared" si="44"/>
        <v>1</v>
      </c>
      <c r="F232" s="674"/>
      <c r="G232" s="24">
        <f t="shared" si="45"/>
        <v>1</v>
      </c>
      <c r="H232" s="674"/>
      <c r="I232" s="24">
        <f t="shared" si="46"/>
        <v>1</v>
      </c>
      <c r="J232" s="674"/>
      <c r="K232" s="24">
        <f t="shared" si="47"/>
        <v>1</v>
      </c>
      <c r="L232" s="674"/>
      <c r="M232" s="24">
        <f t="shared" si="48"/>
        <v>1</v>
      </c>
      <c r="N232" s="674"/>
      <c r="O232" s="24">
        <f t="shared" si="49"/>
        <v>1</v>
      </c>
      <c r="P232" s="674"/>
      <c r="Q232" s="24">
        <f t="shared" si="50"/>
        <v>1</v>
      </c>
      <c r="R232" s="670">
        <f t="shared" si="51"/>
        <v>0</v>
      </c>
      <c r="S232" s="322">
        <f t="shared" si="52"/>
        <v>0</v>
      </c>
    </row>
    <row r="233" spans="1:19">
      <c r="A233" s="155"/>
      <c r="B233" s="57"/>
      <c r="C233" s="24">
        <f t="shared" si="43"/>
        <v>1</v>
      </c>
      <c r="D233" s="674"/>
      <c r="E233" s="24">
        <f t="shared" si="44"/>
        <v>1</v>
      </c>
      <c r="F233" s="674"/>
      <c r="G233" s="24">
        <f t="shared" si="45"/>
        <v>1</v>
      </c>
      <c r="H233" s="674"/>
      <c r="I233" s="24">
        <f t="shared" si="46"/>
        <v>1</v>
      </c>
      <c r="J233" s="674"/>
      <c r="K233" s="24">
        <f t="shared" si="47"/>
        <v>1</v>
      </c>
      <c r="L233" s="674"/>
      <c r="M233" s="24">
        <f t="shared" si="48"/>
        <v>1</v>
      </c>
      <c r="N233" s="674"/>
      <c r="O233" s="24">
        <f t="shared" si="49"/>
        <v>1</v>
      </c>
      <c r="P233" s="674"/>
      <c r="Q233" s="24">
        <f t="shared" si="50"/>
        <v>1</v>
      </c>
      <c r="R233" s="670">
        <f t="shared" si="51"/>
        <v>0</v>
      </c>
      <c r="S233" s="322">
        <f t="shared" si="52"/>
        <v>0</v>
      </c>
    </row>
    <row r="234" spans="1:19">
      <c r="A234" s="155"/>
      <c r="B234" s="57"/>
      <c r="C234" s="24">
        <f t="shared" si="43"/>
        <v>1</v>
      </c>
      <c r="D234" s="674"/>
      <c r="E234" s="24">
        <f t="shared" si="44"/>
        <v>1</v>
      </c>
      <c r="F234" s="674"/>
      <c r="G234" s="24">
        <f t="shared" si="45"/>
        <v>1</v>
      </c>
      <c r="H234" s="674"/>
      <c r="I234" s="24">
        <f t="shared" si="46"/>
        <v>1</v>
      </c>
      <c r="J234" s="674"/>
      <c r="K234" s="24">
        <f t="shared" si="47"/>
        <v>1</v>
      </c>
      <c r="L234" s="674"/>
      <c r="M234" s="24">
        <f t="shared" si="48"/>
        <v>1</v>
      </c>
      <c r="N234" s="674"/>
      <c r="O234" s="24">
        <f t="shared" si="49"/>
        <v>1</v>
      </c>
      <c r="P234" s="674"/>
      <c r="Q234" s="24">
        <f t="shared" si="50"/>
        <v>1</v>
      </c>
      <c r="R234" s="670">
        <f t="shared" si="51"/>
        <v>0</v>
      </c>
      <c r="S234" s="322">
        <f t="shared" si="52"/>
        <v>0</v>
      </c>
    </row>
    <row r="235" spans="1:19">
      <c r="A235" s="155"/>
      <c r="B235" s="57"/>
      <c r="C235" s="24">
        <f t="shared" si="43"/>
        <v>1</v>
      </c>
      <c r="D235" s="674"/>
      <c r="E235" s="24">
        <f t="shared" si="44"/>
        <v>1</v>
      </c>
      <c r="F235" s="674"/>
      <c r="G235" s="24">
        <f t="shared" si="45"/>
        <v>1</v>
      </c>
      <c r="H235" s="674"/>
      <c r="I235" s="24">
        <f t="shared" si="46"/>
        <v>1</v>
      </c>
      <c r="J235" s="674"/>
      <c r="K235" s="24">
        <f t="shared" si="47"/>
        <v>1</v>
      </c>
      <c r="L235" s="674"/>
      <c r="M235" s="24">
        <f t="shared" si="48"/>
        <v>1</v>
      </c>
      <c r="N235" s="674"/>
      <c r="O235" s="24">
        <f t="shared" si="49"/>
        <v>1</v>
      </c>
      <c r="P235" s="674"/>
      <c r="Q235" s="24">
        <f t="shared" si="50"/>
        <v>1</v>
      </c>
      <c r="R235" s="670">
        <f t="shared" si="51"/>
        <v>0</v>
      </c>
      <c r="S235" s="322">
        <f t="shared" si="52"/>
        <v>0</v>
      </c>
    </row>
    <row r="236" spans="1:19">
      <c r="A236" s="155"/>
      <c r="B236" s="57"/>
      <c r="C236" s="24">
        <f t="shared" si="43"/>
        <v>1</v>
      </c>
      <c r="D236" s="674"/>
      <c r="E236" s="24">
        <f t="shared" si="44"/>
        <v>1</v>
      </c>
      <c r="F236" s="674"/>
      <c r="G236" s="24">
        <f t="shared" si="45"/>
        <v>1</v>
      </c>
      <c r="H236" s="674"/>
      <c r="I236" s="24">
        <f t="shared" si="46"/>
        <v>1</v>
      </c>
      <c r="J236" s="674"/>
      <c r="K236" s="24">
        <f t="shared" si="47"/>
        <v>1</v>
      </c>
      <c r="L236" s="674"/>
      <c r="M236" s="24">
        <f t="shared" si="48"/>
        <v>1</v>
      </c>
      <c r="N236" s="674"/>
      <c r="O236" s="24">
        <f t="shared" si="49"/>
        <v>1</v>
      </c>
      <c r="P236" s="674"/>
      <c r="Q236" s="24">
        <f t="shared" si="50"/>
        <v>1</v>
      </c>
      <c r="R236" s="670">
        <f t="shared" si="51"/>
        <v>0</v>
      </c>
      <c r="S236" s="322">
        <f t="shared" si="52"/>
        <v>0</v>
      </c>
    </row>
    <row r="237" spans="1:19">
      <c r="A237" s="155"/>
      <c r="B237" s="57"/>
      <c r="C237" s="24">
        <f t="shared" si="43"/>
        <v>1</v>
      </c>
      <c r="D237" s="674"/>
      <c r="E237" s="24">
        <f t="shared" si="44"/>
        <v>1</v>
      </c>
      <c r="F237" s="674"/>
      <c r="G237" s="24">
        <f t="shared" si="45"/>
        <v>1</v>
      </c>
      <c r="H237" s="674"/>
      <c r="I237" s="24">
        <f t="shared" si="46"/>
        <v>1</v>
      </c>
      <c r="J237" s="674"/>
      <c r="K237" s="24">
        <f t="shared" si="47"/>
        <v>1</v>
      </c>
      <c r="L237" s="674"/>
      <c r="M237" s="24">
        <f t="shared" si="48"/>
        <v>1</v>
      </c>
      <c r="N237" s="674"/>
      <c r="O237" s="24">
        <f t="shared" si="49"/>
        <v>1</v>
      </c>
      <c r="P237" s="674"/>
      <c r="Q237" s="24">
        <f t="shared" si="50"/>
        <v>1</v>
      </c>
      <c r="R237" s="670">
        <f t="shared" si="51"/>
        <v>0</v>
      </c>
      <c r="S237" s="322">
        <f t="shared" si="52"/>
        <v>0</v>
      </c>
    </row>
    <row r="238" spans="1:19">
      <c r="A238" s="155"/>
      <c r="B238" s="57"/>
      <c r="C238" s="24">
        <f t="shared" si="43"/>
        <v>1</v>
      </c>
      <c r="D238" s="674"/>
      <c r="E238" s="24">
        <f t="shared" si="44"/>
        <v>1</v>
      </c>
      <c r="F238" s="674"/>
      <c r="G238" s="24">
        <f t="shared" si="45"/>
        <v>1</v>
      </c>
      <c r="H238" s="674"/>
      <c r="I238" s="24">
        <f t="shared" si="46"/>
        <v>1</v>
      </c>
      <c r="J238" s="674"/>
      <c r="K238" s="24">
        <f t="shared" si="47"/>
        <v>1</v>
      </c>
      <c r="L238" s="674"/>
      <c r="M238" s="24">
        <f t="shared" si="48"/>
        <v>1</v>
      </c>
      <c r="N238" s="674"/>
      <c r="O238" s="24">
        <f t="shared" si="49"/>
        <v>1</v>
      </c>
      <c r="P238" s="674"/>
      <c r="Q238" s="24">
        <f t="shared" si="50"/>
        <v>1</v>
      </c>
      <c r="R238" s="670">
        <f t="shared" si="51"/>
        <v>0</v>
      </c>
      <c r="S238" s="322">
        <f t="shared" si="52"/>
        <v>0</v>
      </c>
    </row>
    <row r="239" spans="1:19">
      <c r="A239" s="155"/>
      <c r="B239" s="57"/>
      <c r="C239" s="24">
        <f t="shared" si="43"/>
        <v>1</v>
      </c>
      <c r="D239" s="674"/>
      <c r="E239" s="24">
        <f t="shared" si="44"/>
        <v>1</v>
      </c>
      <c r="F239" s="674"/>
      <c r="G239" s="24">
        <f t="shared" si="45"/>
        <v>1</v>
      </c>
      <c r="H239" s="674"/>
      <c r="I239" s="24">
        <f t="shared" si="46"/>
        <v>1</v>
      </c>
      <c r="J239" s="674"/>
      <c r="K239" s="24">
        <f t="shared" si="47"/>
        <v>1</v>
      </c>
      <c r="L239" s="674"/>
      <c r="M239" s="24">
        <f t="shared" si="48"/>
        <v>1</v>
      </c>
      <c r="N239" s="674"/>
      <c r="O239" s="24">
        <f t="shared" si="49"/>
        <v>1</v>
      </c>
      <c r="P239" s="674"/>
      <c r="Q239" s="24">
        <f t="shared" si="50"/>
        <v>1</v>
      </c>
      <c r="R239" s="670">
        <f t="shared" si="51"/>
        <v>0</v>
      </c>
      <c r="S239" s="322">
        <f t="shared" si="52"/>
        <v>0</v>
      </c>
    </row>
    <row r="240" spans="1:19">
      <c r="A240" s="155"/>
      <c r="B240" s="57"/>
      <c r="C240" s="24">
        <f t="shared" si="43"/>
        <v>1</v>
      </c>
      <c r="D240" s="674"/>
      <c r="E240" s="24">
        <f t="shared" si="44"/>
        <v>1</v>
      </c>
      <c r="F240" s="674"/>
      <c r="G240" s="24">
        <f t="shared" si="45"/>
        <v>1</v>
      </c>
      <c r="H240" s="674"/>
      <c r="I240" s="24">
        <f t="shared" si="46"/>
        <v>1</v>
      </c>
      <c r="J240" s="674"/>
      <c r="K240" s="24">
        <f t="shared" si="47"/>
        <v>1</v>
      </c>
      <c r="L240" s="674"/>
      <c r="M240" s="24">
        <f t="shared" si="48"/>
        <v>1</v>
      </c>
      <c r="N240" s="674"/>
      <c r="O240" s="24">
        <f t="shared" si="49"/>
        <v>1</v>
      </c>
      <c r="P240" s="674"/>
      <c r="Q240" s="24">
        <f t="shared" si="50"/>
        <v>1</v>
      </c>
      <c r="R240" s="670">
        <f t="shared" si="51"/>
        <v>0</v>
      </c>
      <c r="S240" s="322">
        <f t="shared" si="52"/>
        <v>0</v>
      </c>
    </row>
    <row r="241" spans="1:19">
      <c r="A241" s="155"/>
      <c r="B241" s="57"/>
      <c r="C241" s="24">
        <f t="shared" si="43"/>
        <v>1</v>
      </c>
      <c r="D241" s="674"/>
      <c r="E241" s="24">
        <f t="shared" si="44"/>
        <v>1</v>
      </c>
      <c r="F241" s="674"/>
      <c r="G241" s="24">
        <f t="shared" si="45"/>
        <v>1</v>
      </c>
      <c r="H241" s="674"/>
      <c r="I241" s="24">
        <f t="shared" si="46"/>
        <v>1</v>
      </c>
      <c r="J241" s="674"/>
      <c r="K241" s="24">
        <f t="shared" si="47"/>
        <v>1</v>
      </c>
      <c r="L241" s="674"/>
      <c r="M241" s="24">
        <f t="shared" si="48"/>
        <v>1</v>
      </c>
      <c r="N241" s="674"/>
      <c r="O241" s="24">
        <f t="shared" si="49"/>
        <v>1</v>
      </c>
      <c r="P241" s="674"/>
      <c r="Q241" s="24">
        <f t="shared" si="50"/>
        <v>1</v>
      </c>
      <c r="R241" s="670">
        <f t="shared" si="51"/>
        <v>0</v>
      </c>
      <c r="S241" s="322">
        <f t="shared" si="52"/>
        <v>0</v>
      </c>
    </row>
    <row r="242" spans="1:19">
      <c r="A242" s="155"/>
      <c r="B242" s="57"/>
      <c r="C242" s="24">
        <f t="shared" si="43"/>
        <v>1</v>
      </c>
      <c r="D242" s="674"/>
      <c r="E242" s="24">
        <f t="shared" si="44"/>
        <v>1</v>
      </c>
      <c r="F242" s="674"/>
      <c r="G242" s="24">
        <f t="shared" si="45"/>
        <v>1</v>
      </c>
      <c r="H242" s="674"/>
      <c r="I242" s="24">
        <f t="shared" si="46"/>
        <v>1</v>
      </c>
      <c r="J242" s="674"/>
      <c r="K242" s="24">
        <f t="shared" si="47"/>
        <v>1</v>
      </c>
      <c r="L242" s="674"/>
      <c r="M242" s="24">
        <f t="shared" si="48"/>
        <v>1</v>
      </c>
      <c r="N242" s="674"/>
      <c r="O242" s="24">
        <f t="shared" si="49"/>
        <v>1</v>
      </c>
      <c r="P242" s="674"/>
      <c r="Q242" s="24">
        <f t="shared" si="50"/>
        <v>1</v>
      </c>
      <c r="R242" s="670">
        <f t="shared" si="51"/>
        <v>0</v>
      </c>
      <c r="S242" s="322">
        <f t="shared" si="52"/>
        <v>0</v>
      </c>
    </row>
    <row r="243" spans="1:19">
      <c r="A243" s="155"/>
      <c r="B243" s="57"/>
      <c r="C243" s="24">
        <f t="shared" si="43"/>
        <v>1</v>
      </c>
      <c r="D243" s="674"/>
      <c r="E243" s="24">
        <f t="shared" si="44"/>
        <v>1</v>
      </c>
      <c r="F243" s="674"/>
      <c r="G243" s="24">
        <f t="shared" si="45"/>
        <v>1</v>
      </c>
      <c r="H243" s="674"/>
      <c r="I243" s="24">
        <f t="shared" si="46"/>
        <v>1</v>
      </c>
      <c r="J243" s="674"/>
      <c r="K243" s="24">
        <f t="shared" si="47"/>
        <v>1</v>
      </c>
      <c r="L243" s="674"/>
      <c r="M243" s="24">
        <f t="shared" si="48"/>
        <v>1</v>
      </c>
      <c r="N243" s="674"/>
      <c r="O243" s="24">
        <f t="shared" si="49"/>
        <v>1</v>
      </c>
      <c r="P243" s="674"/>
      <c r="Q243" s="24">
        <f t="shared" si="50"/>
        <v>1</v>
      </c>
      <c r="R243" s="670">
        <f t="shared" si="51"/>
        <v>0</v>
      </c>
      <c r="S243" s="322">
        <f t="shared" si="52"/>
        <v>0</v>
      </c>
    </row>
    <row r="244" spans="1:19">
      <c r="A244" s="155"/>
      <c r="B244" s="57"/>
      <c r="C244" s="24">
        <f t="shared" si="43"/>
        <v>1</v>
      </c>
      <c r="D244" s="674"/>
      <c r="E244" s="24">
        <f t="shared" si="44"/>
        <v>1</v>
      </c>
      <c r="F244" s="674"/>
      <c r="G244" s="24">
        <f t="shared" si="45"/>
        <v>1</v>
      </c>
      <c r="H244" s="674"/>
      <c r="I244" s="24">
        <f t="shared" si="46"/>
        <v>1</v>
      </c>
      <c r="J244" s="674"/>
      <c r="K244" s="24">
        <f t="shared" si="47"/>
        <v>1</v>
      </c>
      <c r="L244" s="674"/>
      <c r="M244" s="24">
        <f t="shared" si="48"/>
        <v>1</v>
      </c>
      <c r="N244" s="674"/>
      <c r="O244" s="24">
        <f t="shared" si="49"/>
        <v>1</v>
      </c>
      <c r="P244" s="674"/>
      <c r="Q244" s="24">
        <f t="shared" si="50"/>
        <v>1</v>
      </c>
      <c r="R244" s="670">
        <f t="shared" si="51"/>
        <v>0</v>
      </c>
      <c r="S244" s="322">
        <f t="shared" si="52"/>
        <v>0</v>
      </c>
    </row>
    <row r="245" spans="1:19">
      <c r="A245" s="155"/>
      <c r="B245" s="57"/>
      <c r="C245" s="24">
        <f t="shared" si="43"/>
        <v>1</v>
      </c>
      <c r="D245" s="674"/>
      <c r="E245" s="24">
        <f t="shared" si="44"/>
        <v>1</v>
      </c>
      <c r="F245" s="674"/>
      <c r="G245" s="24">
        <f t="shared" si="45"/>
        <v>1</v>
      </c>
      <c r="H245" s="674"/>
      <c r="I245" s="24">
        <f t="shared" si="46"/>
        <v>1</v>
      </c>
      <c r="J245" s="674"/>
      <c r="K245" s="24">
        <f t="shared" si="47"/>
        <v>1</v>
      </c>
      <c r="L245" s="674"/>
      <c r="M245" s="24">
        <f t="shared" si="48"/>
        <v>1</v>
      </c>
      <c r="N245" s="674"/>
      <c r="O245" s="24">
        <f t="shared" si="49"/>
        <v>1</v>
      </c>
      <c r="P245" s="674"/>
      <c r="Q245" s="24">
        <f t="shared" si="50"/>
        <v>1</v>
      </c>
      <c r="R245" s="670">
        <f t="shared" si="51"/>
        <v>0</v>
      </c>
      <c r="S245" s="322">
        <f t="shared" si="52"/>
        <v>0</v>
      </c>
    </row>
    <row r="246" spans="1:19">
      <c r="A246" s="155"/>
      <c r="B246" s="57"/>
      <c r="C246" s="24">
        <f t="shared" si="43"/>
        <v>1</v>
      </c>
      <c r="D246" s="674"/>
      <c r="E246" s="24">
        <f t="shared" si="44"/>
        <v>1</v>
      </c>
      <c r="F246" s="674"/>
      <c r="G246" s="24">
        <f t="shared" si="45"/>
        <v>1</v>
      </c>
      <c r="H246" s="674"/>
      <c r="I246" s="24">
        <f t="shared" si="46"/>
        <v>1</v>
      </c>
      <c r="J246" s="674"/>
      <c r="K246" s="24">
        <f t="shared" si="47"/>
        <v>1</v>
      </c>
      <c r="L246" s="674"/>
      <c r="M246" s="24">
        <f t="shared" si="48"/>
        <v>1</v>
      </c>
      <c r="N246" s="674"/>
      <c r="O246" s="24">
        <f t="shared" si="49"/>
        <v>1</v>
      </c>
      <c r="P246" s="674"/>
      <c r="Q246" s="24">
        <f t="shared" si="50"/>
        <v>1</v>
      </c>
      <c r="R246" s="670">
        <f t="shared" si="51"/>
        <v>0</v>
      </c>
      <c r="S246" s="322">
        <f t="shared" si="52"/>
        <v>0</v>
      </c>
    </row>
    <row r="247" spans="1:19">
      <c r="A247" s="155"/>
      <c r="B247" s="57"/>
      <c r="C247" s="24">
        <f t="shared" si="43"/>
        <v>1</v>
      </c>
      <c r="D247" s="674"/>
      <c r="E247" s="24">
        <f t="shared" si="44"/>
        <v>1</v>
      </c>
      <c r="F247" s="674"/>
      <c r="G247" s="24">
        <f t="shared" si="45"/>
        <v>1</v>
      </c>
      <c r="H247" s="674"/>
      <c r="I247" s="24">
        <f t="shared" si="46"/>
        <v>1</v>
      </c>
      <c r="J247" s="674"/>
      <c r="K247" s="24">
        <f t="shared" si="47"/>
        <v>1</v>
      </c>
      <c r="L247" s="674"/>
      <c r="M247" s="24">
        <f t="shared" si="48"/>
        <v>1</v>
      </c>
      <c r="N247" s="674"/>
      <c r="O247" s="24">
        <f t="shared" si="49"/>
        <v>1</v>
      </c>
      <c r="P247" s="674"/>
      <c r="Q247" s="24">
        <f t="shared" si="50"/>
        <v>1</v>
      </c>
      <c r="R247" s="670">
        <f t="shared" si="51"/>
        <v>0</v>
      </c>
      <c r="S247" s="322">
        <f t="shared" si="52"/>
        <v>0</v>
      </c>
    </row>
    <row r="248" spans="1:19">
      <c r="A248" s="155"/>
      <c r="B248" s="57"/>
      <c r="C248" s="24">
        <f t="shared" si="43"/>
        <v>1</v>
      </c>
      <c r="D248" s="674"/>
      <c r="E248" s="24">
        <f t="shared" si="44"/>
        <v>1</v>
      </c>
      <c r="F248" s="674"/>
      <c r="G248" s="24">
        <f t="shared" si="45"/>
        <v>1</v>
      </c>
      <c r="H248" s="674"/>
      <c r="I248" s="24">
        <f t="shared" si="46"/>
        <v>1</v>
      </c>
      <c r="J248" s="674"/>
      <c r="K248" s="24">
        <f t="shared" si="47"/>
        <v>1</v>
      </c>
      <c r="L248" s="674"/>
      <c r="M248" s="24">
        <f t="shared" si="48"/>
        <v>1</v>
      </c>
      <c r="N248" s="674"/>
      <c r="O248" s="24">
        <f t="shared" si="49"/>
        <v>1</v>
      </c>
      <c r="P248" s="674"/>
      <c r="Q248" s="24">
        <f t="shared" si="50"/>
        <v>1</v>
      </c>
      <c r="R248" s="670">
        <f t="shared" si="51"/>
        <v>0</v>
      </c>
      <c r="S248" s="322">
        <f t="shared" si="52"/>
        <v>0</v>
      </c>
    </row>
    <row r="249" spans="1:19">
      <c r="A249" s="155"/>
      <c r="B249" s="57"/>
      <c r="C249" s="24">
        <f t="shared" si="43"/>
        <v>1</v>
      </c>
      <c r="D249" s="674"/>
      <c r="E249" s="24">
        <f t="shared" si="44"/>
        <v>1</v>
      </c>
      <c r="F249" s="674"/>
      <c r="G249" s="24">
        <f t="shared" si="45"/>
        <v>1</v>
      </c>
      <c r="H249" s="674"/>
      <c r="I249" s="24">
        <f t="shared" si="46"/>
        <v>1</v>
      </c>
      <c r="J249" s="674"/>
      <c r="K249" s="24">
        <f t="shared" si="47"/>
        <v>1</v>
      </c>
      <c r="L249" s="674"/>
      <c r="M249" s="24">
        <f t="shared" si="48"/>
        <v>1</v>
      </c>
      <c r="N249" s="674"/>
      <c r="O249" s="24">
        <f t="shared" si="49"/>
        <v>1</v>
      </c>
      <c r="P249" s="674"/>
      <c r="Q249" s="24">
        <f t="shared" si="50"/>
        <v>1</v>
      </c>
      <c r="R249" s="670">
        <f t="shared" si="51"/>
        <v>0</v>
      </c>
      <c r="S249" s="322">
        <f t="shared" si="52"/>
        <v>0</v>
      </c>
    </row>
    <row r="250" spans="1:19">
      <c r="A250" s="155"/>
      <c r="B250" s="57"/>
      <c r="C250" s="24">
        <f t="shared" si="43"/>
        <v>1</v>
      </c>
      <c r="D250" s="674"/>
      <c r="E250" s="24">
        <f t="shared" si="44"/>
        <v>1</v>
      </c>
      <c r="F250" s="674"/>
      <c r="G250" s="24">
        <f t="shared" si="45"/>
        <v>1</v>
      </c>
      <c r="H250" s="674"/>
      <c r="I250" s="24">
        <f t="shared" si="46"/>
        <v>1</v>
      </c>
      <c r="J250" s="674"/>
      <c r="K250" s="24">
        <f t="shared" si="47"/>
        <v>1</v>
      </c>
      <c r="L250" s="674"/>
      <c r="M250" s="24">
        <f t="shared" si="48"/>
        <v>1</v>
      </c>
      <c r="N250" s="674"/>
      <c r="O250" s="24">
        <f t="shared" si="49"/>
        <v>1</v>
      </c>
      <c r="P250" s="674"/>
      <c r="Q250" s="24">
        <f t="shared" si="50"/>
        <v>1</v>
      </c>
      <c r="R250" s="670">
        <f t="shared" si="51"/>
        <v>0</v>
      </c>
      <c r="S250" s="322">
        <f t="shared" si="52"/>
        <v>0</v>
      </c>
    </row>
    <row r="251" spans="1:19">
      <c r="A251" s="155"/>
      <c r="B251" s="57"/>
      <c r="C251" s="24">
        <f t="shared" si="43"/>
        <v>1</v>
      </c>
      <c r="D251" s="674"/>
      <c r="E251" s="24">
        <f t="shared" si="44"/>
        <v>1</v>
      </c>
      <c r="F251" s="674"/>
      <c r="G251" s="24">
        <f t="shared" si="45"/>
        <v>1</v>
      </c>
      <c r="H251" s="674"/>
      <c r="I251" s="24">
        <f t="shared" si="46"/>
        <v>1</v>
      </c>
      <c r="J251" s="674"/>
      <c r="K251" s="24">
        <f t="shared" si="47"/>
        <v>1</v>
      </c>
      <c r="L251" s="674"/>
      <c r="M251" s="24">
        <f t="shared" si="48"/>
        <v>1</v>
      </c>
      <c r="N251" s="674"/>
      <c r="O251" s="24">
        <f t="shared" si="49"/>
        <v>1</v>
      </c>
      <c r="P251" s="674"/>
      <c r="Q251" s="24">
        <f t="shared" si="50"/>
        <v>1</v>
      </c>
      <c r="R251" s="670">
        <f t="shared" si="51"/>
        <v>0</v>
      </c>
      <c r="S251" s="322">
        <f t="shared" si="52"/>
        <v>0</v>
      </c>
    </row>
    <row r="252" spans="1:19">
      <c r="A252" s="155"/>
      <c r="B252" s="57"/>
      <c r="C252" s="24">
        <f t="shared" si="43"/>
        <v>1</v>
      </c>
      <c r="D252" s="674"/>
      <c r="E252" s="24">
        <f t="shared" si="44"/>
        <v>1</v>
      </c>
      <c r="F252" s="674"/>
      <c r="G252" s="24">
        <f t="shared" si="45"/>
        <v>1</v>
      </c>
      <c r="H252" s="674"/>
      <c r="I252" s="24">
        <f t="shared" si="46"/>
        <v>1</v>
      </c>
      <c r="J252" s="674"/>
      <c r="K252" s="24">
        <f t="shared" si="47"/>
        <v>1</v>
      </c>
      <c r="L252" s="674"/>
      <c r="M252" s="24">
        <f t="shared" si="48"/>
        <v>1</v>
      </c>
      <c r="N252" s="674"/>
      <c r="O252" s="24">
        <f t="shared" si="49"/>
        <v>1</v>
      </c>
      <c r="P252" s="674"/>
      <c r="Q252" s="24">
        <f t="shared" si="50"/>
        <v>1</v>
      </c>
      <c r="R252" s="670">
        <f t="shared" si="51"/>
        <v>0</v>
      </c>
      <c r="S252" s="322">
        <f t="shared" si="52"/>
        <v>0</v>
      </c>
    </row>
    <row r="253" spans="1:19">
      <c r="A253" s="155"/>
      <c r="B253" s="57"/>
      <c r="C253" s="24">
        <f t="shared" si="43"/>
        <v>1</v>
      </c>
      <c r="D253" s="674"/>
      <c r="E253" s="24">
        <f t="shared" si="44"/>
        <v>1</v>
      </c>
      <c r="F253" s="674"/>
      <c r="G253" s="24">
        <f t="shared" si="45"/>
        <v>1</v>
      </c>
      <c r="H253" s="674"/>
      <c r="I253" s="24">
        <f t="shared" si="46"/>
        <v>1</v>
      </c>
      <c r="J253" s="674"/>
      <c r="K253" s="24">
        <f t="shared" si="47"/>
        <v>1</v>
      </c>
      <c r="L253" s="674"/>
      <c r="M253" s="24">
        <f t="shared" si="48"/>
        <v>1</v>
      </c>
      <c r="N253" s="674"/>
      <c r="O253" s="24">
        <f t="shared" si="49"/>
        <v>1</v>
      </c>
      <c r="P253" s="674"/>
      <c r="Q253" s="24">
        <f t="shared" si="50"/>
        <v>1</v>
      </c>
      <c r="R253" s="670">
        <f t="shared" si="51"/>
        <v>0</v>
      </c>
      <c r="S253" s="322">
        <f t="shared" si="52"/>
        <v>0</v>
      </c>
    </row>
    <row r="254" spans="1:19">
      <c r="A254" s="155"/>
      <c r="B254" s="57"/>
      <c r="C254" s="24">
        <f t="shared" si="43"/>
        <v>1</v>
      </c>
      <c r="D254" s="674"/>
      <c r="E254" s="24">
        <f t="shared" si="44"/>
        <v>1</v>
      </c>
      <c r="F254" s="674"/>
      <c r="G254" s="24">
        <f t="shared" si="45"/>
        <v>1</v>
      </c>
      <c r="H254" s="674"/>
      <c r="I254" s="24">
        <f t="shared" si="46"/>
        <v>1</v>
      </c>
      <c r="J254" s="674"/>
      <c r="K254" s="24">
        <f t="shared" si="47"/>
        <v>1</v>
      </c>
      <c r="L254" s="674"/>
      <c r="M254" s="24">
        <f t="shared" si="48"/>
        <v>1</v>
      </c>
      <c r="N254" s="674"/>
      <c r="O254" s="24">
        <f t="shared" si="49"/>
        <v>1</v>
      </c>
      <c r="P254" s="674"/>
      <c r="Q254" s="24">
        <f t="shared" si="50"/>
        <v>1</v>
      </c>
      <c r="R254" s="670">
        <f t="shared" si="51"/>
        <v>0</v>
      </c>
      <c r="S254" s="322">
        <f t="shared" si="52"/>
        <v>0</v>
      </c>
    </row>
    <row r="255" spans="1:19">
      <c r="A255" s="155"/>
      <c r="B255" s="57"/>
      <c r="C255" s="24">
        <f t="shared" si="43"/>
        <v>1</v>
      </c>
      <c r="D255" s="674"/>
      <c r="E255" s="24">
        <f t="shared" si="44"/>
        <v>1</v>
      </c>
      <c r="F255" s="674"/>
      <c r="G255" s="24">
        <f t="shared" si="45"/>
        <v>1</v>
      </c>
      <c r="H255" s="674"/>
      <c r="I255" s="24">
        <f t="shared" si="46"/>
        <v>1</v>
      </c>
      <c r="J255" s="674"/>
      <c r="K255" s="24">
        <f t="shared" si="47"/>
        <v>1</v>
      </c>
      <c r="L255" s="674"/>
      <c r="M255" s="24">
        <f t="shared" si="48"/>
        <v>1</v>
      </c>
      <c r="N255" s="674"/>
      <c r="O255" s="24">
        <f t="shared" si="49"/>
        <v>1</v>
      </c>
      <c r="P255" s="674"/>
      <c r="Q255" s="24">
        <f t="shared" si="50"/>
        <v>1</v>
      </c>
      <c r="R255" s="670">
        <f t="shared" si="51"/>
        <v>0</v>
      </c>
      <c r="S255" s="322">
        <f t="shared" si="52"/>
        <v>0</v>
      </c>
    </row>
    <row r="256" spans="1:19">
      <c r="A256" s="155"/>
      <c r="B256" s="57"/>
      <c r="C256" s="24">
        <f t="shared" si="43"/>
        <v>1</v>
      </c>
      <c r="D256" s="674"/>
      <c r="E256" s="24">
        <f t="shared" si="44"/>
        <v>1</v>
      </c>
      <c r="F256" s="674"/>
      <c r="G256" s="24">
        <f t="shared" si="45"/>
        <v>1</v>
      </c>
      <c r="H256" s="674"/>
      <c r="I256" s="24">
        <f t="shared" si="46"/>
        <v>1</v>
      </c>
      <c r="J256" s="674"/>
      <c r="K256" s="24">
        <f t="shared" si="47"/>
        <v>1</v>
      </c>
      <c r="L256" s="674"/>
      <c r="M256" s="24">
        <f t="shared" si="48"/>
        <v>1</v>
      </c>
      <c r="N256" s="674"/>
      <c r="O256" s="24">
        <f t="shared" si="49"/>
        <v>1</v>
      </c>
      <c r="P256" s="674"/>
      <c r="Q256" s="24">
        <f t="shared" si="50"/>
        <v>1</v>
      </c>
      <c r="R256" s="670">
        <f t="shared" si="51"/>
        <v>0</v>
      </c>
      <c r="S256" s="322">
        <f t="shared" si="52"/>
        <v>0</v>
      </c>
    </row>
    <row r="257" spans="1:19">
      <c r="A257" s="155"/>
      <c r="B257" s="57"/>
      <c r="C257" s="24">
        <f t="shared" si="43"/>
        <v>1</v>
      </c>
      <c r="D257" s="674"/>
      <c r="E257" s="24">
        <f t="shared" si="44"/>
        <v>1</v>
      </c>
      <c r="F257" s="674"/>
      <c r="G257" s="24">
        <f t="shared" si="45"/>
        <v>1</v>
      </c>
      <c r="H257" s="674"/>
      <c r="I257" s="24">
        <f t="shared" si="46"/>
        <v>1</v>
      </c>
      <c r="J257" s="674"/>
      <c r="K257" s="24">
        <f t="shared" si="47"/>
        <v>1</v>
      </c>
      <c r="L257" s="674"/>
      <c r="M257" s="24">
        <f t="shared" si="48"/>
        <v>1</v>
      </c>
      <c r="N257" s="674"/>
      <c r="O257" s="24">
        <f t="shared" si="49"/>
        <v>1</v>
      </c>
      <c r="P257" s="674"/>
      <c r="Q257" s="24">
        <f t="shared" si="50"/>
        <v>1</v>
      </c>
      <c r="R257" s="670">
        <f t="shared" si="51"/>
        <v>0</v>
      </c>
      <c r="S257" s="322">
        <f t="shared" si="52"/>
        <v>0</v>
      </c>
    </row>
    <row r="258" spans="1:19">
      <c r="A258" s="155"/>
      <c r="B258" s="57"/>
      <c r="C258" s="24">
        <f t="shared" si="43"/>
        <v>1</v>
      </c>
      <c r="D258" s="674"/>
      <c r="E258" s="24">
        <f t="shared" si="44"/>
        <v>1</v>
      </c>
      <c r="F258" s="674"/>
      <c r="G258" s="24">
        <f t="shared" si="45"/>
        <v>1</v>
      </c>
      <c r="H258" s="674"/>
      <c r="I258" s="24">
        <f t="shared" si="46"/>
        <v>1</v>
      </c>
      <c r="J258" s="674"/>
      <c r="K258" s="24">
        <f t="shared" si="47"/>
        <v>1</v>
      </c>
      <c r="L258" s="674"/>
      <c r="M258" s="24">
        <f t="shared" si="48"/>
        <v>1</v>
      </c>
      <c r="N258" s="674"/>
      <c r="O258" s="24">
        <f t="shared" si="49"/>
        <v>1</v>
      </c>
      <c r="P258" s="674"/>
      <c r="Q258" s="24">
        <f t="shared" si="50"/>
        <v>1</v>
      </c>
      <c r="R258" s="670">
        <f t="shared" si="51"/>
        <v>0</v>
      </c>
      <c r="S258" s="322">
        <f t="shared" si="52"/>
        <v>0</v>
      </c>
    </row>
    <row r="259" spans="1:19">
      <c r="A259" s="155"/>
      <c r="B259" s="57"/>
      <c r="C259" s="24">
        <f t="shared" si="43"/>
        <v>1</v>
      </c>
      <c r="D259" s="674"/>
      <c r="E259" s="24">
        <f t="shared" si="44"/>
        <v>1</v>
      </c>
      <c r="F259" s="674"/>
      <c r="G259" s="24">
        <f t="shared" si="45"/>
        <v>1</v>
      </c>
      <c r="H259" s="674"/>
      <c r="I259" s="24">
        <f t="shared" si="46"/>
        <v>1</v>
      </c>
      <c r="J259" s="674"/>
      <c r="K259" s="24">
        <f t="shared" si="47"/>
        <v>1</v>
      </c>
      <c r="L259" s="674"/>
      <c r="M259" s="24">
        <f t="shared" si="48"/>
        <v>1</v>
      </c>
      <c r="N259" s="674"/>
      <c r="O259" s="24">
        <f t="shared" si="49"/>
        <v>1</v>
      </c>
      <c r="P259" s="674"/>
      <c r="Q259" s="24">
        <f t="shared" si="50"/>
        <v>1</v>
      </c>
      <c r="R259" s="670">
        <f t="shared" si="51"/>
        <v>0</v>
      </c>
      <c r="S259" s="322">
        <f t="shared" si="52"/>
        <v>0</v>
      </c>
    </row>
    <row r="260" spans="1:19">
      <c r="A260" s="155"/>
      <c r="B260" s="57"/>
      <c r="C260" s="24">
        <f t="shared" si="43"/>
        <v>1</v>
      </c>
      <c r="D260" s="674"/>
      <c r="E260" s="24">
        <f t="shared" si="44"/>
        <v>1</v>
      </c>
      <c r="F260" s="674"/>
      <c r="G260" s="24">
        <f t="shared" si="45"/>
        <v>1</v>
      </c>
      <c r="H260" s="674"/>
      <c r="I260" s="24">
        <f t="shared" si="46"/>
        <v>1</v>
      </c>
      <c r="J260" s="674"/>
      <c r="K260" s="24">
        <f t="shared" si="47"/>
        <v>1</v>
      </c>
      <c r="L260" s="674"/>
      <c r="M260" s="24">
        <f t="shared" si="48"/>
        <v>1</v>
      </c>
      <c r="N260" s="674"/>
      <c r="O260" s="24">
        <f t="shared" si="49"/>
        <v>1</v>
      </c>
      <c r="P260" s="674"/>
      <c r="Q260" s="24">
        <f t="shared" si="50"/>
        <v>1</v>
      </c>
      <c r="R260" s="670">
        <f t="shared" si="51"/>
        <v>0</v>
      </c>
      <c r="S260" s="322">
        <f t="shared" si="52"/>
        <v>0</v>
      </c>
    </row>
    <row r="261" spans="1:19">
      <c r="A261" s="155"/>
      <c r="B261" s="57"/>
      <c r="C261" s="24">
        <f t="shared" si="43"/>
        <v>1</v>
      </c>
      <c r="D261" s="674"/>
      <c r="E261" s="24">
        <f t="shared" si="44"/>
        <v>1</v>
      </c>
      <c r="F261" s="674"/>
      <c r="G261" s="24">
        <f t="shared" si="45"/>
        <v>1</v>
      </c>
      <c r="H261" s="674"/>
      <c r="I261" s="24">
        <f t="shared" si="46"/>
        <v>1</v>
      </c>
      <c r="J261" s="674"/>
      <c r="K261" s="24">
        <f t="shared" si="47"/>
        <v>1</v>
      </c>
      <c r="L261" s="674"/>
      <c r="M261" s="24">
        <f t="shared" si="48"/>
        <v>1</v>
      </c>
      <c r="N261" s="674"/>
      <c r="O261" s="24">
        <f t="shared" si="49"/>
        <v>1</v>
      </c>
      <c r="P261" s="674"/>
      <c r="Q261" s="24">
        <f t="shared" si="50"/>
        <v>1</v>
      </c>
      <c r="R261" s="670">
        <f t="shared" si="51"/>
        <v>0</v>
      </c>
      <c r="S261" s="322">
        <f t="shared" si="52"/>
        <v>0</v>
      </c>
    </row>
    <row r="262" spans="1:19">
      <c r="A262" s="155"/>
      <c r="B262" s="57"/>
      <c r="C262" s="24">
        <f t="shared" si="43"/>
        <v>1</v>
      </c>
      <c r="D262" s="674"/>
      <c r="E262" s="24">
        <f t="shared" si="44"/>
        <v>1</v>
      </c>
      <c r="F262" s="674"/>
      <c r="G262" s="24">
        <f t="shared" si="45"/>
        <v>1</v>
      </c>
      <c r="H262" s="674"/>
      <c r="I262" s="24">
        <f t="shared" si="46"/>
        <v>1</v>
      </c>
      <c r="J262" s="674"/>
      <c r="K262" s="24">
        <f t="shared" si="47"/>
        <v>1</v>
      </c>
      <c r="L262" s="674"/>
      <c r="M262" s="24">
        <f t="shared" si="48"/>
        <v>1</v>
      </c>
      <c r="N262" s="674"/>
      <c r="O262" s="24">
        <f t="shared" si="49"/>
        <v>1</v>
      </c>
      <c r="P262" s="674"/>
      <c r="Q262" s="24">
        <f t="shared" si="50"/>
        <v>1</v>
      </c>
      <c r="R262" s="670">
        <f t="shared" si="51"/>
        <v>0</v>
      </c>
      <c r="S262" s="322">
        <f t="shared" si="52"/>
        <v>0</v>
      </c>
    </row>
    <row r="263" spans="1:19">
      <c r="A263" s="155"/>
      <c r="B263" s="57"/>
      <c r="C263" s="24">
        <f t="shared" si="43"/>
        <v>1</v>
      </c>
      <c r="D263" s="674"/>
      <c r="E263" s="24">
        <f t="shared" si="44"/>
        <v>1</v>
      </c>
      <c r="F263" s="674"/>
      <c r="G263" s="24">
        <f t="shared" si="45"/>
        <v>1</v>
      </c>
      <c r="H263" s="674"/>
      <c r="I263" s="24">
        <f t="shared" si="46"/>
        <v>1</v>
      </c>
      <c r="J263" s="674"/>
      <c r="K263" s="24">
        <f t="shared" si="47"/>
        <v>1</v>
      </c>
      <c r="L263" s="674"/>
      <c r="M263" s="24">
        <f t="shared" si="48"/>
        <v>1</v>
      </c>
      <c r="N263" s="674"/>
      <c r="O263" s="24">
        <f t="shared" si="49"/>
        <v>1</v>
      </c>
      <c r="P263" s="674"/>
      <c r="Q263" s="24">
        <f t="shared" si="50"/>
        <v>1</v>
      </c>
      <c r="R263" s="670">
        <f t="shared" si="51"/>
        <v>0</v>
      </c>
      <c r="S263" s="322">
        <f t="shared" si="52"/>
        <v>0</v>
      </c>
    </row>
    <row r="264" spans="1:19">
      <c r="A264" s="155"/>
      <c r="B264" s="57"/>
      <c r="C264" s="24">
        <f t="shared" si="43"/>
        <v>1</v>
      </c>
      <c r="D264" s="674"/>
      <c r="E264" s="24">
        <f t="shared" si="44"/>
        <v>1</v>
      </c>
      <c r="F264" s="674"/>
      <c r="G264" s="24">
        <f t="shared" si="45"/>
        <v>1</v>
      </c>
      <c r="H264" s="674"/>
      <c r="I264" s="24">
        <f t="shared" si="46"/>
        <v>1</v>
      </c>
      <c r="J264" s="674"/>
      <c r="K264" s="24">
        <f t="shared" si="47"/>
        <v>1</v>
      </c>
      <c r="L264" s="674"/>
      <c r="M264" s="24">
        <f t="shared" si="48"/>
        <v>1</v>
      </c>
      <c r="N264" s="674"/>
      <c r="O264" s="24">
        <f t="shared" si="49"/>
        <v>1</v>
      </c>
      <c r="P264" s="674"/>
      <c r="Q264" s="24">
        <f t="shared" si="50"/>
        <v>1</v>
      </c>
      <c r="R264" s="670">
        <f t="shared" si="51"/>
        <v>0</v>
      </c>
      <c r="S264" s="322">
        <f t="shared" si="52"/>
        <v>0</v>
      </c>
    </row>
    <row r="265" spans="1:19">
      <c r="A265" s="155"/>
      <c r="B265" s="57"/>
      <c r="C265" s="24">
        <f t="shared" si="43"/>
        <v>1</v>
      </c>
      <c r="D265" s="674"/>
      <c r="E265" s="24">
        <f t="shared" si="44"/>
        <v>1</v>
      </c>
      <c r="F265" s="674"/>
      <c r="G265" s="24">
        <f t="shared" si="45"/>
        <v>1</v>
      </c>
      <c r="H265" s="674"/>
      <c r="I265" s="24">
        <f t="shared" si="46"/>
        <v>1</v>
      </c>
      <c r="J265" s="674"/>
      <c r="K265" s="24">
        <f t="shared" si="47"/>
        <v>1</v>
      </c>
      <c r="L265" s="674"/>
      <c r="M265" s="24">
        <f t="shared" si="48"/>
        <v>1</v>
      </c>
      <c r="N265" s="674"/>
      <c r="O265" s="24">
        <f t="shared" si="49"/>
        <v>1</v>
      </c>
      <c r="P265" s="674"/>
      <c r="Q265" s="24">
        <f t="shared" si="50"/>
        <v>1</v>
      </c>
      <c r="R265" s="670">
        <f t="shared" si="51"/>
        <v>0</v>
      </c>
      <c r="S265" s="322">
        <f t="shared" si="52"/>
        <v>0</v>
      </c>
    </row>
    <row r="266" spans="1:19">
      <c r="A266" s="155"/>
      <c r="B266" s="57"/>
      <c r="C266" s="24">
        <f t="shared" si="43"/>
        <v>1</v>
      </c>
      <c r="D266" s="674"/>
      <c r="E266" s="24">
        <f t="shared" si="44"/>
        <v>1</v>
      </c>
      <c r="F266" s="674"/>
      <c r="G266" s="24">
        <f t="shared" si="45"/>
        <v>1</v>
      </c>
      <c r="H266" s="674"/>
      <c r="I266" s="24">
        <f t="shared" si="46"/>
        <v>1</v>
      </c>
      <c r="J266" s="674"/>
      <c r="K266" s="24">
        <f t="shared" si="47"/>
        <v>1</v>
      </c>
      <c r="L266" s="674"/>
      <c r="M266" s="24">
        <f t="shared" si="48"/>
        <v>1</v>
      </c>
      <c r="N266" s="674"/>
      <c r="O266" s="24">
        <f t="shared" si="49"/>
        <v>1</v>
      </c>
      <c r="P266" s="674"/>
      <c r="Q266" s="24">
        <f t="shared" si="50"/>
        <v>1</v>
      </c>
      <c r="R266" s="670">
        <f t="shared" si="51"/>
        <v>0</v>
      </c>
      <c r="S266" s="322">
        <f t="shared" si="52"/>
        <v>0</v>
      </c>
    </row>
    <row r="267" spans="1:19">
      <c r="A267" s="155"/>
      <c r="B267" s="57"/>
      <c r="C267" s="24">
        <f t="shared" si="43"/>
        <v>1</v>
      </c>
      <c r="D267" s="674"/>
      <c r="E267" s="24">
        <f t="shared" si="44"/>
        <v>1</v>
      </c>
      <c r="F267" s="674"/>
      <c r="G267" s="24">
        <f t="shared" si="45"/>
        <v>1</v>
      </c>
      <c r="H267" s="674"/>
      <c r="I267" s="24">
        <f t="shared" si="46"/>
        <v>1</v>
      </c>
      <c r="J267" s="674"/>
      <c r="K267" s="24">
        <f t="shared" si="47"/>
        <v>1</v>
      </c>
      <c r="L267" s="674"/>
      <c r="M267" s="24">
        <f t="shared" si="48"/>
        <v>1</v>
      </c>
      <c r="N267" s="674"/>
      <c r="O267" s="24">
        <f t="shared" si="49"/>
        <v>1</v>
      </c>
      <c r="P267" s="674"/>
      <c r="Q267" s="24">
        <f t="shared" si="50"/>
        <v>1</v>
      </c>
      <c r="R267" s="670">
        <f t="shared" si="51"/>
        <v>0</v>
      </c>
      <c r="S267" s="322">
        <f t="shared" si="52"/>
        <v>0</v>
      </c>
    </row>
    <row r="268" spans="1:19">
      <c r="A268" s="155"/>
      <c r="B268" s="57"/>
      <c r="C268" s="24">
        <f t="shared" si="43"/>
        <v>1</v>
      </c>
      <c r="D268" s="674"/>
      <c r="E268" s="24">
        <f t="shared" si="44"/>
        <v>1</v>
      </c>
      <c r="F268" s="674"/>
      <c r="G268" s="24">
        <f t="shared" si="45"/>
        <v>1</v>
      </c>
      <c r="H268" s="674"/>
      <c r="I268" s="24">
        <f t="shared" si="46"/>
        <v>1</v>
      </c>
      <c r="J268" s="674"/>
      <c r="K268" s="24">
        <f t="shared" si="47"/>
        <v>1</v>
      </c>
      <c r="L268" s="674"/>
      <c r="M268" s="24">
        <f t="shared" si="48"/>
        <v>1</v>
      </c>
      <c r="N268" s="674"/>
      <c r="O268" s="24">
        <f t="shared" si="49"/>
        <v>1</v>
      </c>
      <c r="P268" s="674"/>
      <c r="Q268" s="24">
        <f t="shared" si="50"/>
        <v>1</v>
      </c>
      <c r="R268" s="670">
        <f t="shared" si="51"/>
        <v>0</v>
      </c>
      <c r="S268" s="322">
        <f t="shared" si="52"/>
        <v>0</v>
      </c>
    </row>
    <row r="269" spans="1:19">
      <c r="A269" s="155"/>
      <c r="B269" s="57"/>
      <c r="C269" s="24">
        <f t="shared" si="43"/>
        <v>1</v>
      </c>
      <c r="D269" s="674"/>
      <c r="E269" s="24">
        <f t="shared" si="44"/>
        <v>1</v>
      </c>
      <c r="F269" s="674"/>
      <c r="G269" s="24">
        <f t="shared" si="45"/>
        <v>1</v>
      </c>
      <c r="H269" s="674"/>
      <c r="I269" s="24">
        <f t="shared" si="46"/>
        <v>1</v>
      </c>
      <c r="J269" s="674"/>
      <c r="K269" s="24">
        <f t="shared" si="47"/>
        <v>1</v>
      </c>
      <c r="L269" s="674"/>
      <c r="M269" s="24">
        <f t="shared" si="48"/>
        <v>1</v>
      </c>
      <c r="N269" s="674"/>
      <c r="O269" s="24">
        <f t="shared" si="49"/>
        <v>1</v>
      </c>
      <c r="P269" s="674"/>
      <c r="Q269" s="24">
        <f t="shared" si="50"/>
        <v>1</v>
      </c>
      <c r="R269" s="670">
        <f t="shared" si="51"/>
        <v>0</v>
      </c>
      <c r="S269" s="322">
        <f t="shared" si="52"/>
        <v>0</v>
      </c>
    </row>
    <row r="270" spans="1:19">
      <c r="A270" s="155"/>
      <c r="B270" s="57"/>
      <c r="C270" s="24">
        <f t="shared" si="43"/>
        <v>1</v>
      </c>
      <c r="D270" s="674"/>
      <c r="E270" s="24">
        <f t="shared" si="44"/>
        <v>1</v>
      </c>
      <c r="F270" s="674"/>
      <c r="G270" s="24">
        <f t="shared" si="45"/>
        <v>1</v>
      </c>
      <c r="H270" s="674"/>
      <c r="I270" s="24">
        <f t="shared" si="46"/>
        <v>1</v>
      </c>
      <c r="J270" s="674"/>
      <c r="K270" s="24">
        <f t="shared" si="47"/>
        <v>1</v>
      </c>
      <c r="L270" s="674"/>
      <c r="M270" s="24">
        <f t="shared" si="48"/>
        <v>1</v>
      </c>
      <c r="N270" s="674"/>
      <c r="O270" s="24">
        <f t="shared" si="49"/>
        <v>1</v>
      </c>
      <c r="P270" s="674"/>
      <c r="Q270" s="24">
        <f t="shared" si="50"/>
        <v>1</v>
      </c>
      <c r="R270" s="670">
        <f t="shared" si="51"/>
        <v>0</v>
      </c>
      <c r="S270" s="322">
        <f t="shared" si="52"/>
        <v>0</v>
      </c>
    </row>
    <row r="271" spans="1:19">
      <c r="A271" s="155"/>
      <c r="B271" s="57"/>
      <c r="C271" s="24">
        <f t="shared" si="43"/>
        <v>1</v>
      </c>
      <c r="D271" s="674"/>
      <c r="E271" s="24">
        <f t="shared" si="44"/>
        <v>1</v>
      </c>
      <c r="F271" s="674"/>
      <c r="G271" s="24">
        <f t="shared" si="45"/>
        <v>1</v>
      </c>
      <c r="H271" s="674"/>
      <c r="I271" s="24">
        <f t="shared" si="46"/>
        <v>1</v>
      </c>
      <c r="J271" s="674"/>
      <c r="K271" s="24">
        <f t="shared" si="47"/>
        <v>1</v>
      </c>
      <c r="L271" s="674"/>
      <c r="M271" s="24">
        <f t="shared" si="48"/>
        <v>1</v>
      </c>
      <c r="N271" s="674"/>
      <c r="O271" s="24">
        <f t="shared" si="49"/>
        <v>1</v>
      </c>
      <c r="P271" s="674"/>
      <c r="Q271" s="24">
        <f t="shared" si="50"/>
        <v>1</v>
      </c>
      <c r="R271" s="670">
        <f t="shared" si="51"/>
        <v>0</v>
      </c>
      <c r="S271" s="322">
        <f t="shared" si="52"/>
        <v>0</v>
      </c>
    </row>
    <row r="272" spans="1:19">
      <c r="A272" s="155"/>
      <c r="B272" s="57"/>
      <c r="C272" s="24">
        <f t="shared" si="43"/>
        <v>1</v>
      </c>
      <c r="D272" s="674"/>
      <c r="E272" s="24">
        <f t="shared" si="44"/>
        <v>1</v>
      </c>
      <c r="F272" s="674"/>
      <c r="G272" s="24">
        <f t="shared" si="45"/>
        <v>1</v>
      </c>
      <c r="H272" s="674"/>
      <c r="I272" s="24">
        <f t="shared" si="46"/>
        <v>1</v>
      </c>
      <c r="J272" s="674"/>
      <c r="K272" s="24">
        <f t="shared" si="47"/>
        <v>1</v>
      </c>
      <c r="L272" s="674"/>
      <c r="M272" s="24">
        <f t="shared" si="48"/>
        <v>1</v>
      </c>
      <c r="N272" s="674"/>
      <c r="O272" s="24">
        <f t="shared" si="49"/>
        <v>1</v>
      </c>
      <c r="P272" s="674"/>
      <c r="Q272" s="24">
        <f t="shared" si="50"/>
        <v>1</v>
      </c>
      <c r="R272" s="670">
        <f t="shared" si="51"/>
        <v>0</v>
      </c>
      <c r="S272" s="322">
        <f t="shared" si="52"/>
        <v>0</v>
      </c>
    </row>
    <row r="273" spans="1:19">
      <c r="A273" s="155"/>
      <c r="B273" s="57"/>
      <c r="C273" s="24">
        <f t="shared" si="43"/>
        <v>1</v>
      </c>
      <c r="D273" s="674"/>
      <c r="E273" s="24">
        <f t="shared" si="44"/>
        <v>1</v>
      </c>
      <c r="F273" s="674"/>
      <c r="G273" s="24">
        <f t="shared" si="45"/>
        <v>1</v>
      </c>
      <c r="H273" s="674"/>
      <c r="I273" s="24">
        <f t="shared" si="46"/>
        <v>1</v>
      </c>
      <c r="J273" s="674"/>
      <c r="K273" s="24">
        <f t="shared" si="47"/>
        <v>1</v>
      </c>
      <c r="L273" s="674"/>
      <c r="M273" s="24">
        <f t="shared" si="48"/>
        <v>1</v>
      </c>
      <c r="N273" s="674"/>
      <c r="O273" s="24">
        <f t="shared" si="49"/>
        <v>1</v>
      </c>
      <c r="P273" s="674"/>
      <c r="Q273" s="24">
        <f t="shared" si="50"/>
        <v>1</v>
      </c>
      <c r="R273" s="670">
        <f t="shared" si="51"/>
        <v>0</v>
      </c>
      <c r="S273" s="322">
        <f t="shared" si="52"/>
        <v>0</v>
      </c>
    </row>
    <row r="274" spans="1:19">
      <c r="A274" s="155"/>
      <c r="B274" s="57"/>
      <c r="C274" s="24">
        <f t="shared" si="43"/>
        <v>1</v>
      </c>
      <c r="D274" s="674"/>
      <c r="E274" s="24">
        <f t="shared" si="44"/>
        <v>1</v>
      </c>
      <c r="F274" s="674"/>
      <c r="G274" s="24">
        <f t="shared" si="45"/>
        <v>1</v>
      </c>
      <c r="H274" s="674"/>
      <c r="I274" s="24">
        <f t="shared" si="46"/>
        <v>1</v>
      </c>
      <c r="J274" s="674"/>
      <c r="K274" s="24">
        <f t="shared" si="47"/>
        <v>1</v>
      </c>
      <c r="L274" s="674"/>
      <c r="M274" s="24">
        <f t="shared" si="48"/>
        <v>1</v>
      </c>
      <c r="N274" s="674"/>
      <c r="O274" s="24">
        <f t="shared" si="49"/>
        <v>1</v>
      </c>
      <c r="P274" s="674"/>
      <c r="Q274" s="24">
        <f t="shared" si="50"/>
        <v>1</v>
      </c>
      <c r="R274" s="670">
        <f t="shared" si="51"/>
        <v>0</v>
      </c>
      <c r="S274" s="322">
        <f t="shared" si="52"/>
        <v>0</v>
      </c>
    </row>
    <row r="275" spans="1:19">
      <c r="A275" s="155"/>
      <c r="B275" s="57"/>
      <c r="C275" s="24">
        <f t="shared" si="43"/>
        <v>1</v>
      </c>
      <c r="D275" s="674"/>
      <c r="E275" s="24">
        <f t="shared" si="44"/>
        <v>1</v>
      </c>
      <c r="F275" s="674"/>
      <c r="G275" s="24">
        <f t="shared" si="45"/>
        <v>1</v>
      </c>
      <c r="H275" s="674"/>
      <c r="I275" s="24">
        <f t="shared" si="46"/>
        <v>1</v>
      </c>
      <c r="J275" s="674"/>
      <c r="K275" s="24">
        <f t="shared" si="47"/>
        <v>1</v>
      </c>
      <c r="L275" s="674"/>
      <c r="M275" s="24">
        <f t="shared" si="48"/>
        <v>1</v>
      </c>
      <c r="N275" s="674"/>
      <c r="O275" s="24">
        <f t="shared" si="49"/>
        <v>1</v>
      </c>
      <c r="P275" s="674"/>
      <c r="Q275" s="24">
        <f t="shared" si="50"/>
        <v>1</v>
      </c>
      <c r="R275" s="670">
        <f t="shared" si="51"/>
        <v>0</v>
      </c>
      <c r="S275" s="322">
        <f t="shared" si="52"/>
        <v>0</v>
      </c>
    </row>
    <row r="276" spans="1:19">
      <c r="A276" s="155"/>
      <c r="B276" s="57"/>
      <c r="C276" s="24">
        <f t="shared" si="43"/>
        <v>1</v>
      </c>
      <c r="D276" s="674"/>
      <c r="E276" s="24">
        <f t="shared" si="44"/>
        <v>1</v>
      </c>
      <c r="F276" s="674"/>
      <c r="G276" s="24">
        <f t="shared" si="45"/>
        <v>1</v>
      </c>
      <c r="H276" s="674"/>
      <c r="I276" s="24">
        <f t="shared" si="46"/>
        <v>1</v>
      </c>
      <c r="J276" s="674"/>
      <c r="K276" s="24">
        <f t="shared" si="47"/>
        <v>1</v>
      </c>
      <c r="L276" s="674"/>
      <c r="M276" s="24">
        <f t="shared" si="48"/>
        <v>1</v>
      </c>
      <c r="N276" s="674"/>
      <c r="O276" s="24">
        <f t="shared" si="49"/>
        <v>1</v>
      </c>
      <c r="P276" s="674"/>
      <c r="Q276" s="24">
        <f t="shared" si="50"/>
        <v>1</v>
      </c>
      <c r="R276" s="670">
        <f t="shared" si="51"/>
        <v>0</v>
      </c>
      <c r="S276" s="322">
        <f t="shared" si="52"/>
        <v>0</v>
      </c>
    </row>
    <row r="277" spans="1:19">
      <c r="A277" s="155"/>
      <c r="B277" s="57"/>
      <c r="C277" s="24">
        <f t="shared" si="43"/>
        <v>1</v>
      </c>
      <c r="D277" s="674"/>
      <c r="E277" s="24">
        <f t="shared" si="44"/>
        <v>1</v>
      </c>
      <c r="F277" s="674"/>
      <c r="G277" s="24">
        <f t="shared" si="45"/>
        <v>1</v>
      </c>
      <c r="H277" s="674"/>
      <c r="I277" s="24">
        <f t="shared" si="46"/>
        <v>1</v>
      </c>
      <c r="J277" s="674"/>
      <c r="K277" s="24">
        <f t="shared" si="47"/>
        <v>1</v>
      </c>
      <c r="L277" s="674"/>
      <c r="M277" s="24">
        <f t="shared" si="48"/>
        <v>1</v>
      </c>
      <c r="N277" s="674"/>
      <c r="O277" s="24">
        <f t="shared" si="49"/>
        <v>1</v>
      </c>
      <c r="P277" s="674"/>
      <c r="Q277" s="24">
        <f t="shared" si="50"/>
        <v>1</v>
      </c>
      <c r="R277" s="670">
        <f t="shared" si="51"/>
        <v>0</v>
      </c>
      <c r="S277" s="322">
        <f t="shared" si="52"/>
        <v>0</v>
      </c>
    </row>
    <row r="278" spans="1:19">
      <c r="A278" s="155"/>
      <c r="B278" s="57"/>
      <c r="C278" s="24">
        <f t="shared" si="43"/>
        <v>1</v>
      </c>
      <c r="D278" s="674"/>
      <c r="E278" s="24">
        <f t="shared" si="44"/>
        <v>1</v>
      </c>
      <c r="F278" s="674"/>
      <c r="G278" s="24">
        <f t="shared" si="45"/>
        <v>1</v>
      </c>
      <c r="H278" s="674"/>
      <c r="I278" s="24">
        <f t="shared" si="46"/>
        <v>1</v>
      </c>
      <c r="J278" s="674"/>
      <c r="K278" s="24">
        <f t="shared" si="47"/>
        <v>1</v>
      </c>
      <c r="L278" s="674"/>
      <c r="M278" s="24">
        <f t="shared" si="48"/>
        <v>1</v>
      </c>
      <c r="N278" s="674"/>
      <c r="O278" s="24">
        <f t="shared" si="49"/>
        <v>1</v>
      </c>
      <c r="P278" s="674"/>
      <c r="Q278" s="24">
        <f t="shared" si="50"/>
        <v>1</v>
      </c>
      <c r="R278" s="670">
        <f t="shared" si="51"/>
        <v>0</v>
      </c>
      <c r="S278" s="322">
        <f t="shared" si="52"/>
        <v>0</v>
      </c>
    </row>
    <row r="279" spans="1:19">
      <c r="A279" s="155"/>
      <c r="B279" s="57"/>
      <c r="C279" s="24">
        <f t="shared" si="43"/>
        <v>1</v>
      </c>
      <c r="D279" s="674"/>
      <c r="E279" s="24">
        <f t="shared" si="44"/>
        <v>1</v>
      </c>
      <c r="F279" s="674"/>
      <c r="G279" s="24">
        <f t="shared" si="45"/>
        <v>1</v>
      </c>
      <c r="H279" s="674"/>
      <c r="I279" s="24">
        <f t="shared" si="46"/>
        <v>1</v>
      </c>
      <c r="J279" s="674"/>
      <c r="K279" s="24">
        <f t="shared" si="47"/>
        <v>1</v>
      </c>
      <c r="L279" s="674"/>
      <c r="M279" s="24">
        <f t="shared" si="48"/>
        <v>1</v>
      </c>
      <c r="N279" s="674"/>
      <c r="O279" s="24">
        <f t="shared" si="49"/>
        <v>1</v>
      </c>
      <c r="P279" s="674"/>
      <c r="Q279" s="24">
        <f t="shared" si="50"/>
        <v>1</v>
      </c>
      <c r="R279" s="670">
        <f t="shared" si="51"/>
        <v>0</v>
      </c>
      <c r="S279" s="322">
        <f t="shared" si="52"/>
        <v>0</v>
      </c>
    </row>
    <row r="280" spans="1:19">
      <c r="A280" s="155"/>
      <c r="B280" s="57"/>
      <c r="C280" s="24">
        <f t="shared" si="43"/>
        <v>1</v>
      </c>
      <c r="D280" s="674"/>
      <c r="E280" s="24">
        <f t="shared" si="44"/>
        <v>1</v>
      </c>
      <c r="F280" s="674"/>
      <c r="G280" s="24">
        <f t="shared" si="45"/>
        <v>1</v>
      </c>
      <c r="H280" s="674"/>
      <c r="I280" s="24">
        <f t="shared" si="46"/>
        <v>1</v>
      </c>
      <c r="J280" s="674"/>
      <c r="K280" s="24">
        <f t="shared" si="47"/>
        <v>1</v>
      </c>
      <c r="L280" s="674"/>
      <c r="M280" s="24">
        <f t="shared" si="48"/>
        <v>1</v>
      </c>
      <c r="N280" s="674"/>
      <c r="O280" s="24">
        <f t="shared" si="49"/>
        <v>1</v>
      </c>
      <c r="P280" s="674"/>
      <c r="Q280" s="24">
        <f t="shared" si="50"/>
        <v>1</v>
      </c>
      <c r="R280" s="670">
        <f t="shared" si="51"/>
        <v>0</v>
      </c>
      <c r="S280" s="322">
        <f t="shared" si="52"/>
        <v>0</v>
      </c>
    </row>
    <row r="281" spans="1:19">
      <c r="A281" s="155"/>
      <c r="B281" s="57"/>
      <c r="C281" s="24">
        <f t="shared" si="43"/>
        <v>1</v>
      </c>
      <c r="D281" s="674"/>
      <c r="E281" s="24">
        <f t="shared" si="44"/>
        <v>1</v>
      </c>
      <c r="F281" s="674"/>
      <c r="G281" s="24">
        <f t="shared" si="45"/>
        <v>1</v>
      </c>
      <c r="H281" s="674"/>
      <c r="I281" s="24">
        <f t="shared" si="46"/>
        <v>1</v>
      </c>
      <c r="J281" s="674"/>
      <c r="K281" s="24">
        <f t="shared" si="47"/>
        <v>1</v>
      </c>
      <c r="L281" s="674"/>
      <c r="M281" s="24">
        <f t="shared" si="48"/>
        <v>1</v>
      </c>
      <c r="N281" s="674"/>
      <c r="O281" s="24">
        <f t="shared" si="49"/>
        <v>1</v>
      </c>
      <c r="P281" s="674"/>
      <c r="Q281" s="24">
        <f t="shared" si="50"/>
        <v>1</v>
      </c>
      <c r="R281" s="670">
        <f t="shared" si="51"/>
        <v>0</v>
      </c>
      <c r="S281" s="322">
        <f t="shared" si="52"/>
        <v>0</v>
      </c>
    </row>
    <row r="282" spans="1:19">
      <c r="A282" s="155"/>
      <c r="B282" s="57"/>
      <c r="C282" s="24">
        <f t="shared" ref="C282:C345" si="53">IF(B282="",1,(LOOKUP(B282,$3:$3,$4:$4)-LOOKUP($B$24,$3:$3,$4:$4)+100)/100)</f>
        <v>1</v>
      </c>
      <c r="D282" s="674"/>
      <c r="E282" s="24">
        <f t="shared" ref="E282:E345" si="54">(SUMIF($5:$5,D282,$6:$6)-SUMIF($5:$5,$D$24,$6:$6)+100)/100</f>
        <v>1</v>
      </c>
      <c r="F282" s="674"/>
      <c r="G282" s="24">
        <f t="shared" ref="G282:G345" si="55">(SUMIF($7:$7,F282,$8:$8)-SUMIF($7:$7,$F$24,$8:$8)+100)/100</f>
        <v>1</v>
      </c>
      <c r="H282" s="674"/>
      <c r="I282" s="24">
        <f t="shared" ref="I282:I345" si="56">(SUMIF($9:$9,H282,$10:$10)-SUMIF($9:$9,$H$24,$10:$10)+100)/100</f>
        <v>1</v>
      </c>
      <c r="J282" s="674"/>
      <c r="K282" s="24">
        <f t="shared" ref="K282:K345" si="57">(SUMIF($11:$11,J282,$12:$12)-SUMIF($11:$11,$J$24,$12:$12)+100)/100</f>
        <v>1</v>
      </c>
      <c r="L282" s="674"/>
      <c r="M282" s="24">
        <f t="shared" ref="M282:M345" si="58">(SUMIF($13:$13,L282,$14:$14)-SUMIF($13:$13,$L$24,$14:$14)+100)/100</f>
        <v>1</v>
      </c>
      <c r="N282" s="674"/>
      <c r="O282" s="24">
        <f t="shared" ref="O282:O345" si="59">(SUMIF($15:$15,N282,$16:$16)-SUMIF($15:$15,$N$24,$16:$16)+100)/100</f>
        <v>1</v>
      </c>
      <c r="P282" s="674"/>
      <c r="Q282" s="24">
        <f t="shared" ref="Q282:Q345" si="60">(SUMIF($17:$17,P282,$18:$18)-SUMIF($17:$17,$P$24,$18:$18)+100)/100</f>
        <v>1</v>
      </c>
      <c r="R282" s="670">
        <f t="shared" ref="R282:R345" si="61">IF(B282="",0,ROUND($R$24*C282*E282*G282*I282*K282*M282*O282*Q282,0))</f>
        <v>0</v>
      </c>
      <c r="S282" s="322">
        <f t="shared" si="52"/>
        <v>0</v>
      </c>
    </row>
    <row r="283" spans="1:19">
      <c r="A283" s="155"/>
      <c r="B283" s="57"/>
      <c r="C283" s="24">
        <f t="shared" si="53"/>
        <v>1</v>
      </c>
      <c r="D283" s="674"/>
      <c r="E283" s="24">
        <f t="shared" si="54"/>
        <v>1</v>
      </c>
      <c r="F283" s="674"/>
      <c r="G283" s="24">
        <f t="shared" si="55"/>
        <v>1</v>
      </c>
      <c r="H283" s="674"/>
      <c r="I283" s="24">
        <f t="shared" si="56"/>
        <v>1</v>
      </c>
      <c r="J283" s="674"/>
      <c r="K283" s="24">
        <f t="shared" si="57"/>
        <v>1</v>
      </c>
      <c r="L283" s="674"/>
      <c r="M283" s="24">
        <f t="shared" si="58"/>
        <v>1</v>
      </c>
      <c r="N283" s="674"/>
      <c r="O283" s="24">
        <f t="shared" si="59"/>
        <v>1</v>
      </c>
      <c r="P283" s="674"/>
      <c r="Q283" s="24">
        <f t="shared" si="60"/>
        <v>1</v>
      </c>
      <c r="R283" s="670">
        <f t="shared" si="61"/>
        <v>0</v>
      </c>
      <c r="S283" s="322">
        <f t="shared" si="52"/>
        <v>0</v>
      </c>
    </row>
    <row r="284" spans="1:19">
      <c r="A284" s="155"/>
      <c r="B284" s="57"/>
      <c r="C284" s="24">
        <f t="shared" si="53"/>
        <v>1</v>
      </c>
      <c r="D284" s="674"/>
      <c r="E284" s="24">
        <f t="shared" si="54"/>
        <v>1</v>
      </c>
      <c r="F284" s="674"/>
      <c r="G284" s="24">
        <f t="shared" si="55"/>
        <v>1</v>
      </c>
      <c r="H284" s="674"/>
      <c r="I284" s="24">
        <f t="shared" si="56"/>
        <v>1</v>
      </c>
      <c r="J284" s="674"/>
      <c r="K284" s="24">
        <f t="shared" si="57"/>
        <v>1</v>
      </c>
      <c r="L284" s="674"/>
      <c r="M284" s="24">
        <f t="shared" si="58"/>
        <v>1</v>
      </c>
      <c r="N284" s="674"/>
      <c r="O284" s="24">
        <f t="shared" si="59"/>
        <v>1</v>
      </c>
      <c r="P284" s="674"/>
      <c r="Q284" s="24">
        <f t="shared" si="60"/>
        <v>1</v>
      </c>
      <c r="R284" s="670">
        <f t="shared" si="61"/>
        <v>0</v>
      </c>
      <c r="S284" s="322">
        <f t="shared" si="52"/>
        <v>0</v>
      </c>
    </row>
    <row r="285" spans="1:19">
      <c r="A285" s="155"/>
      <c r="B285" s="57"/>
      <c r="C285" s="24">
        <f t="shared" si="53"/>
        <v>1</v>
      </c>
      <c r="D285" s="674"/>
      <c r="E285" s="24">
        <f t="shared" si="54"/>
        <v>1</v>
      </c>
      <c r="F285" s="674"/>
      <c r="G285" s="24">
        <f t="shared" si="55"/>
        <v>1</v>
      </c>
      <c r="H285" s="674"/>
      <c r="I285" s="24">
        <f t="shared" si="56"/>
        <v>1</v>
      </c>
      <c r="J285" s="674"/>
      <c r="K285" s="24">
        <f t="shared" si="57"/>
        <v>1</v>
      </c>
      <c r="L285" s="674"/>
      <c r="M285" s="24">
        <f t="shared" si="58"/>
        <v>1</v>
      </c>
      <c r="N285" s="674"/>
      <c r="O285" s="24">
        <f t="shared" si="59"/>
        <v>1</v>
      </c>
      <c r="P285" s="674"/>
      <c r="Q285" s="24">
        <f t="shared" si="60"/>
        <v>1</v>
      </c>
      <c r="R285" s="670">
        <f t="shared" si="61"/>
        <v>0</v>
      </c>
      <c r="S285" s="322">
        <f t="shared" si="52"/>
        <v>0</v>
      </c>
    </row>
    <row r="286" spans="1:19">
      <c r="A286" s="155"/>
      <c r="B286" s="57"/>
      <c r="C286" s="24">
        <f t="shared" si="53"/>
        <v>1</v>
      </c>
      <c r="D286" s="674"/>
      <c r="E286" s="24">
        <f t="shared" si="54"/>
        <v>1</v>
      </c>
      <c r="F286" s="674"/>
      <c r="G286" s="24">
        <f t="shared" si="55"/>
        <v>1</v>
      </c>
      <c r="H286" s="674"/>
      <c r="I286" s="24">
        <f t="shared" si="56"/>
        <v>1</v>
      </c>
      <c r="J286" s="674"/>
      <c r="K286" s="24">
        <f t="shared" si="57"/>
        <v>1</v>
      </c>
      <c r="L286" s="674"/>
      <c r="M286" s="24">
        <f t="shared" si="58"/>
        <v>1</v>
      </c>
      <c r="N286" s="674"/>
      <c r="O286" s="24">
        <f t="shared" si="59"/>
        <v>1</v>
      </c>
      <c r="P286" s="674"/>
      <c r="Q286" s="24">
        <f t="shared" si="60"/>
        <v>1</v>
      </c>
      <c r="R286" s="670">
        <f t="shared" si="61"/>
        <v>0</v>
      </c>
      <c r="S286" s="322">
        <f t="shared" si="52"/>
        <v>0</v>
      </c>
    </row>
    <row r="287" spans="1:19">
      <c r="A287" s="155"/>
      <c r="B287" s="57"/>
      <c r="C287" s="24">
        <f t="shared" si="53"/>
        <v>1</v>
      </c>
      <c r="D287" s="674"/>
      <c r="E287" s="24">
        <f t="shared" si="54"/>
        <v>1</v>
      </c>
      <c r="F287" s="674"/>
      <c r="G287" s="24">
        <f t="shared" si="55"/>
        <v>1</v>
      </c>
      <c r="H287" s="674"/>
      <c r="I287" s="24">
        <f t="shared" si="56"/>
        <v>1</v>
      </c>
      <c r="J287" s="674"/>
      <c r="K287" s="24">
        <f t="shared" si="57"/>
        <v>1</v>
      </c>
      <c r="L287" s="674"/>
      <c r="M287" s="24">
        <f t="shared" si="58"/>
        <v>1</v>
      </c>
      <c r="N287" s="674"/>
      <c r="O287" s="24">
        <f t="shared" si="59"/>
        <v>1</v>
      </c>
      <c r="P287" s="674"/>
      <c r="Q287" s="24">
        <f t="shared" si="60"/>
        <v>1</v>
      </c>
      <c r="R287" s="670">
        <f t="shared" si="61"/>
        <v>0</v>
      </c>
      <c r="S287" s="322">
        <f t="shared" ref="S287:S320" si="62">ROUND(R287*B287/10000,0)</f>
        <v>0</v>
      </c>
    </row>
    <row r="288" spans="1:19">
      <c r="A288" s="155"/>
      <c r="B288" s="57"/>
      <c r="C288" s="24">
        <f t="shared" si="53"/>
        <v>1</v>
      </c>
      <c r="D288" s="674"/>
      <c r="E288" s="24">
        <f t="shared" si="54"/>
        <v>1</v>
      </c>
      <c r="F288" s="674"/>
      <c r="G288" s="24">
        <f t="shared" si="55"/>
        <v>1</v>
      </c>
      <c r="H288" s="674"/>
      <c r="I288" s="24">
        <f t="shared" si="56"/>
        <v>1</v>
      </c>
      <c r="J288" s="674"/>
      <c r="K288" s="24">
        <f t="shared" si="57"/>
        <v>1</v>
      </c>
      <c r="L288" s="674"/>
      <c r="M288" s="24">
        <f t="shared" si="58"/>
        <v>1</v>
      </c>
      <c r="N288" s="674"/>
      <c r="O288" s="24">
        <f t="shared" si="59"/>
        <v>1</v>
      </c>
      <c r="P288" s="674"/>
      <c r="Q288" s="24">
        <f t="shared" si="60"/>
        <v>1</v>
      </c>
      <c r="R288" s="670">
        <f t="shared" si="61"/>
        <v>0</v>
      </c>
      <c r="S288" s="322">
        <f t="shared" si="62"/>
        <v>0</v>
      </c>
    </row>
    <row r="289" spans="1:19">
      <c r="A289" s="155"/>
      <c r="B289" s="57"/>
      <c r="C289" s="24">
        <f t="shared" si="53"/>
        <v>1</v>
      </c>
      <c r="D289" s="674"/>
      <c r="E289" s="24">
        <f t="shared" si="54"/>
        <v>1</v>
      </c>
      <c r="F289" s="674"/>
      <c r="G289" s="24">
        <f t="shared" si="55"/>
        <v>1</v>
      </c>
      <c r="H289" s="674"/>
      <c r="I289" s="24">
        <f t="shared" si="56"/>
        <v>1</v>
      </c>
      <c r="J289" s="674"/>
      <c r="K289" s="24">
        <f t="shared" si="57"/>
        <v>1</v>
      </c>
      <c r="L289" s="674"/>
      <c r="M289" s="24">
        <f t="shared" si="58"/>
        <v>1</v>
      </c>
      <c r="N289" s="674"/>
      <c r="O289" s="24">
        <f t="shared" si="59"/>
        <v>1</v>
      </c>
      <c r="P289" s="674"/>
      <c r="Q289" s="24">
        <f t="shared" si="60"/>
        <v>1</v>
      </c>
      <c r="R289" s="670">
        <f t="shared" si="61"/>
        <v>0</v>
      </c>
      <c r="S289" s="322">
        <f t="shared" si="62"/>
        <v>0</v>
      </c>
    </row>
    <row r="290" spans="1:19">
      <c r="A290" s="155"/>
      <c r="B290" s="57"/>
      <c r="C290" s="24">
        <f t="shared" si="53"/>
        <v>1</v>
      </c>
      <c r="D290" s="674"/>
      <c r="E290" s="24">
        <f t="shared" si="54"/>
        <v>1</v>
      </c>
      <c r="F290" s="674"/>
      <c r="G290" s="24">
        <f t="shared" si="55"/>
        <v>1</v>
      </c>
      <c r="H290" s="674"/>
      <c r="I290" s="24">
        <f t="shared" si="56"/>
        <v>1</v>
      </c>
      <c r="J290" s="674"/>
      <c r="K290" s="24">
        <f t="shared" si="57"/>
        <v>1</v>
      </c>
      <c r="L290" s="674"/>
      <c r="M290" s="24">
        <f t="shared" si="58"/>
        <v>1</v>
      </c>
      <c r="N290" s="674"/>
      <c r="O290" s="24">
        <f t="shared" si="59"/>
        <v>1</v>
      </c>
      <c r="P290" s="674"/>
      <c r="Q290" s="24">
        <f t="shared" si="60"/>
        <v>1</v>
      </c>
      <c r="R290" s="670">
        <f t="shared" si="61"/>
        <v>0</v>
      </c>
      <c r="S290" s="322">
        <f t="shared" si="62"/>
        <v>0</v>
      </c>
    </row>
    <row r="291" spans="1:19">
      <c r="A291" s="155"/>
      <c r="B291" s="57"/>
      <c r="C291" s="24">
        <f t="shared" si="53"/>
        <v>1</v>
      </c>
      <c r="D291" s="674"/>
      <c r="E291" s="24">
        <f t="shared" si="54"/>
        <v>1</v>
      </c>
      <c r="F291" s="674"/>
      <c r="G291" s="24">
        <f t="shared" si="55"/>
        <v>1</v>
      </c>
      <c r="H291" s="674"/>
      <c r="I291" s="24">
        <f t="shared" si="56"/>
        <v>1</v>
      </c>
      <c r="J291" s="674"/>
      <c r="K291" s="24">
        <f t="shared" si="57"/>
        <v>1</v>
      </c>
      <c r="L291" s="674"/>
      <c r="M291" s="24">
        <f t="shared" si="58"/>
        <v>1</v>
      </c>
      <c r="N291" s="674"/>
      <c r="O291" s="24">
        <f t="shared" si="59"/>
        <v>1</v>
      </c>
      <c r="P291" s="674"/>
      <c r="Q291" s="24">
        <f t="shared" si="60"/>
        <v>1</v>
      </c>
      <c r="R291" s="670">
        <f t="shared" si="61"/>
        <v>0</v>
      </c>
      <c r="S291" s="322">
        <f t="shared" si="62"/>
        <v>0</v>
      </c>
    </row>
    <row r="292" spans="1:19">
      <c r="A292" s="155"/>
      <c r="B292" s="57"/>
      <c r="C292" s="24">
        <f t="shared" si="53"/>
        <v>1</v>
      </c>
      <c r="D292" s="674"/>
      <c r="E292" s="24">
        <f t="shared" si="54"/>
        <v>1</v>
      </c>
      <c r="F292" s="674"/>
      <c r="G292" s="24">
        <f t="shared" si="55"/>
        <v>1</v>
      </c>
      <c r="H292" s="674"/>
      <c r="I292" s="24">
        <f t="shared" si="56"/>
        <v>1</v>
      </c>
      <c r="J292" s="674"/>
      <c r="K292" s="24">
        <f t="shared" si="57"/>
        <v>1</v>
      </c>
      <c r="L292" s="674"/>
      <c r="M292" s="24">
        <f t="shared" si="58"/>
        <v>1</v>
      </c>
      <c r="N292" s="674"/>
      <c r="O292" s="24">
        <f t="shared" si="59"/>
        <v>1</v>
      </c>
      <c r="P292" s="674"/>
      <c r="Q292" s="24">
        <f t="shared" si="60"/>
        <v>1</v>
      </c>
      <c r="R292" s="670">
        <f t="shared" si="61"/>
        <v>0</v>
      </c>
      <c r="S292" s="322">
        <f t="shared" si="62"/>
        <v>0</v>
      </c>
    </row>
    <row r="293" spans="1:19">
      <c r="A293" s="155"/>
      <c r="B293" s="57"/>
      <c r="C293" s="24">
        <f t="shared" si="53"/>
        <v>1</v>
      </c>
      <c r="D293" s="674"/>
      <c r="E293" s="24">
        <f t="shared" si="54"/>
        <v>1</v>
      </c>
      <c r="F293" s="674"/>
      <c r="G293" s="24">
        <f t="shared" si="55"/>
        <v>1</v>
      </c>
      <c r="H293" s="674"/>
      <c r="I293" s="24">
        <f t="shared" si="56"/>
        <v>1</v>
      </c>
      <c r="J293" s="674"/>
      <c r="K293" s="24">
        <f t="shared" si="57"/>
        <v>1</v>
      </c>
      <c r="L293" s="674"/>
      <c r="M293" s="24">
        <f t="shared" si="58"/>
        <v>1</v>
      </c>
      <c r="N293" s="674"/>
      <c r="O293" s="24">
        <f t="shared" si="59"/>
        <v>1</v>
      </c>
      <c r="P293" s="674"/>
      <c r="Q293" s="24">
        <f t="shared" si="60"/>
        <v>1</v>
      </c>
      <c r="R293" s="670">
        <f t="shared" si="61"/>
        <v>0</v>
      </c>
      <c r="S293" s="322">
        <f t="shared" si="62"/>
        <v>0</v>
      </c>
    </row>
    <row r="294" spans="1:19">
      <c r="A294" s="155"/>
      <c r="B294" s="57"/>
      <c r="C294" s="24">
        <f t="shared" si="53"/>
        <v>1</v>
      </c>
      <c r="D294" s="674"/>
      <c r="E294" s="24">
        <f t="shared" si="54"/>
        <v>1</v>
      </c>
      <c r="F294" s="674"/>
      <c r="G294" s="24">
        <f t="shared" si="55"/>
        <v>1</v>
      </c>
      <c r="H294" s="674"/>
      <c r="I294" s="24">
        <f t="shared" si="56"/>
        <v>1</v>
      </c>
      <c r="J294" s="674"/>
      <c r="K294" s="24">
        <f t="shared" si="57"/>
        <v>1</v>
      </c>
      <c r="L294" s="674"/>
      <c r="M294" s="24">
        <f t="shared" si="58"/>
        <v>1</v>
      </c>
      <c r="N294" s="674"/>
      <c r="O294" s="24">
        <f t="shared" si="59"/>
        <v>1</v>
      </c>
      <c r="P294" s="674"/>
      <c r="Q294" s="24">
        <f t="shared" si="60"/>
        <v>1</v>
      </c>
      <c r="R294" s="670">
        <f t="shared" si="61"/>
        <v>0</v>
      </c>
      <c r="S294" s="322">
        <f t="shared" si="62"/>
        <v>0</v>
      </c>
    </row>
    <row r="295" spans="1:19">
      <c r="A295" s="155"/>
      <c r="B295" s="57"/>
      <c r="C295" s="24">
        <f t="shared" si="53"/>
        <v>1</v>
      </c>
      <c r="D295" s="674"/>
      <c r="E295" s="24">
        <f t="shared" si="54"/>
        <v>1</v>
      </c>
      <c r="F295" s="674"/>
      <c r="G295" s="24">
        <f t="shared" si="55"/>
        <v>1</v>
      </c>
      <c r="H295" s="674"/>
      <c r="I295" s="24">
        <f t="shared" si="56"/>
        <v>1</v>
      </c>
      <c r="J295" s="674"/>
      <c r="K295" s="24">
        <f t="shared" si="57"/>
        <v>1</v>
      </c>
      <c r="L295" s="674"/>
      <c r="M295" s="24">
        <f t="shared" si="58"/>
        <v>1</v>
      </c>
      <c r="N295" s="674"/>
      <c r="O295" s="24">
        <f t="shared" si="59"/>
        <v>1</v>
      </c>
      <c r="P295" s="674"/>
      <c r="Q295" s="24">
        <f t="shared" si="60"/>
        <v>1</v>
      </c>
      <c r="R295" s="670">
        <f t="shared" si="61"/>
        <v>0</v>
      </c>
      <c r="S295" s="322">
        <f t="shared" si="62"/>
        <v>0</v>
      </c>
    </row>
    <row r="296" spans="1:19">
      <c r="A296" s="155"/>
      <c r="B296" s="57"/>
      <c r="C296" s="24">
        <f t="shared" si="53"/>
        <v>1</v>
      </c>
      <c r="D296" s="674"/>
      <c r="E296" s="24">
        <f t="shared" si="54"/>
        <v>1</v>
      </c>
      <c r="F296" s="674"/>
      <c r="G296" s="24">
        <f t="shared" si="55"/>
        <v>1</v>
      </c>
      <c r="H296" s="674"/>
      <c r="I296" s="24">
        <f t="shared" si="56"/>
        <v>1</v>
      </c>
      <c r="J296" s="674"/>
      <c r="K296" s="24">
        <f t="shared" si="57"/>
        <v>1</v>
      </c>
      <c r="L296" s="674"/>
      <c r="M296" s="24">
        <f t="shared" si="58"/>
        <v>1</v>
      </c>
      <c r="N296" s="674"/>
      <c r="O296" s="24">
        <f t="shared" si="59"/>
        <v>1</v>
      </c>
      <c r="P296" s="674"/>
      <c r="Q296" s="24">
        <f t="shared" si="60"/>
        <v>1</v>
      </c>
      <c r="R296" s="670">
        <f t="shared" si="61"/>
        <v>0</v>
      </c>
      <c r="S296" s="322">
        <f t="shared" si="62"/>
        <v>0</v>
      </c>
    </row>
    <row r="297" spans="1:19">
      <c r="A297" s="155"/>
      <c r="B297" s="57"/>
      <c r="C297" s="24">
        <f t="shared" si="53"/>
        <v>1</v>
      </c>
      <c r="D297" s="674"/>
      <c r="E297" s="24">
        <f t="shared" si="54"/>
        <v>1</v>
      </c>
      <c r="F297" s="674"/>
      <c r="G297" s="24">
        <f t="shared" si="55"/>
        <v>1</v>
      </c>
      <c r="H297" s="674"/>
      <c r="I297" s="24">
        <f t="shared" si="56"/>
        <v>1</v>
      </c>
      <c r="J297" s="674"/>
      <c r="K297" s="24">
        <f t="shared" si="57"/>
        <v>1</v>
      </c>
      <c r="L297" s="674"/>
      <c r="M297" s="24">
        <f t="shared" si="58"/>
        <v>1</v>
      </c>
      <c r="N297" s="674"/>
      <c r="O297" s="24">
        <f t="shared" si="59"/>
        <v>1</v>
      </c>
      <c r="P297" s="674"/>
      <c r="Q297" s="24">
        <f t="shared" si="60"/>
        <v>1</v>
      </c>
      <c r="R297" s="670">
        <f t="shared" si="61"/>
        <v>0</v>
      </c>
      <c r="S297" s="322">
        <f t="shared" si="62"/>
        <v>0</v>
      </c>
    </row>
    <row r="298" spans="1:19">
      <c r="A298" s="155"/>
      <c r="B298" s="57"/>
      <c r="C298" s="24">
        <f t="shared" si="53"/>
        <v>1</v>
      </c>
      <c r="D298" s="674"/>
      <c r="E298" s="24">
        <f t="shared" si="54"/>
        <v>1</v>
      </c>
      <c r="F298" s="674"/>
      <c r="G298" s="24">
        <f t="shared" si="55"/>
        <v>1</v>
      </c>
      <c r="H298" s="674"/>
      <c r="I298" s="24">
        <f t="shared" si="56"/>
        <v>1</v>
      </c>
      <c r="J298" s="674"/>
      <c r="K298" s="24">
        <f t="shared" si="57"/>
        <v>1</v>
      </c>
      <c r="L298" s="674"/>
      <c r="M298" s="24">
        <f t="shared" si="58"/>
        <v>1</v>
      </c>
      <c r="N298" s="674"/>
      <c r="O298" s="24">
        <f t="shared" si="59"/>
        <v>1</v>
      </c>
      <c r="P298" s="674"/>
      <c r="Q298" s="24">
        <f t="shared" si="60"/>
        <v>1</v>
      </c>
      <c r="R298" s="670">
        <f t="shared" si="61"/>
        <v>0</v>
      </c>
      <c r="S298" s="322">
        <f t="shared" si="62"/>
        <v>0</v>
      </c>
    </row>
    <row r="299" spans="1:19">
      <c r="A299" s="155"/>
      <c r="B299" s="57"/>
      <c r="C299" s="24">
        <f t="shared" si="53"/>
        <v>1</v>
      </c>
      <c r="D299" s="674"/>
      <c r="E299" s="24">
        <f t="shared" si="54"/>
        <v>1</v>
      </c>
      <c r="F299" s="674"/>
      <c r="G299" s="24">
        <f t="shared" si="55"/>
        <v>1</v>
      </c>
      <c r="H299" s="674"/>
      <c r="I299" s="24">
        <f t="shared" si="56"/>
        <v>1</v>
      </c>
      <c r="J299" s="674"/>
      <c r="K299" s="24">
        <f t="shared" si="57"/>
        <v>1</v>
      </c>
      <c r="L299" s="674"/>
      <c r="M299" s="24">
        <f t="shared" si="58"/>
        <v>1</v>
      </c>
      <c r="N299" s="674"/>
      <c r="O299" s="24">
        <f t="shared" si="59"/>
        <v>1</v>
      </c>
      <c r="P299" s="674"/>
      <c r="Q299" s="24">
        <f t="shared" si="60"/>
        <v>1</v>
      </c>
      <c r="R299" s="670">
        <f t="shared" si="61"/>
        <v>0</v>
      </c>
      <c r="S299" s="322">
        <f t="shared" si="62"/>
        <v>0</v>
      </c>
    </row>
    <row r="300" spans="1:19">
      <c r="A300" s="155"/>
      <c r="B300" s="57"/>
      <c r="C300" s="24">
        <f t="shared" si="53"/>
        <v>1</v>
      </c>
      <c r="D300" s="674"/>
      <c r="E300" s="24">
        <f t="shared" si="54"/>
        <v>1</v>
      </c>
      <c r="F300" s="674"/>
      <c r="G300" s="24">
        <f t="shared" si="55"/>
        <v>1</v>
      </c>
      <c r="H300" s="674"/>
      <c r="I300" s="24">
        <f t="shared" si="56"/>
        <v>1</v>
      </c>
      <c r="J300" s="674"/>
      <c r="K300" s="24">
        <f t="shared" si="57"/>
        <v>1</v>
      </c>
      <c r="L300" s="674"/>
      <c r="M300" s="24">
        <f t="shared" si="58"/>
        <v>1</v>
      </c>
      <c r="N300" s="674"/>
      <c r="O300" s="24">
        <f t="shared" si="59"/>
        <v>1</v>
      </c>
      <c r="P300" s="674"/>
      <c r="Q300" s="24">
        <f t="shared" si="60"/>
        <v>1</v>
      </c>
      <c r="R300" s="670">
        <f t="shared" si="61"/>
        <v>0</v>
      </c>
      <c r="S300" s="322">
        <f t="shared" si="62"/>
        <v>0</v>
      </c>
    </row>
    <row r="301" spans="1:19">
      <c r="A301" s="155"/>
      <c r="B301" s="57"/>
      <c r="C301" s="24">
        <f t="shared" si="53"/>
        <v>1</v>
      </c>
      <c r="D301" s="674"/>
      <c r="E301" s="24">
        <f t="shared" si="54"/>
        <v>1</v>
      </c>
      <c r="F301" s="674"/>
      <c r="G301" s="24">
        <f t="shared" si="55"/>
        <v>1</v>
      </c>
      <c r="H301" s="674"/>
      <c r="I301" s="24">
        <f t="shared" si="56"/>
        <v>1</v>
      </c>
      <c r="J301" s="674"/>
      <c r="K301" s="24">
        <f t="shared" si="57"/>
        <v>1</v>
      </c>
      <c r="L301" s="674"/>
      <c r="M301" s="24">
        <f t="shared" si="58"/>
        <v>1</v>
      </c>
      <c r="N301" s="674"/>
      <c r="O301" s="24">
        <f t="shared" si="59"/>
        <v>1</v>
      </c>
      <c r="P301" s="674"/>
      <c r="Q301" s="24">
        <f t="shared" si="60"/>
        <v>1</v>
      </c>
      <c r="R301" s="670">
        <f t="shared" si="61"/>
        <v>0</v>
      </c>
      <c r="S301" s="322">
        <f t="shared" si="62"/>
        <v>0</v>
      </c>
    </row>
    <row r="302" spans="1:19">
      <c r="A302" s="155"/>
      <c r="B302" s="57"/>
      <c r="C302" s="24">
        <f t="shared" si="53"/>
        <v>1</v>
      </c>
      <c r="D302" s="674"/>
      <c r="E302" s="24">
        <f t="shared" si="54"/>
        <v>1</v>
      </c>
      <c r="F302" s="674"/>
      <c r="G302" s="24">
        <f t="shared" si="55"/>
        <v>1</v>
      </c>
      <c r="H302" s="674"/>
      <c r="I302" s="24">
        <f t="shared" si="56"/>
        <v>1</v>
      </c>
      <c r="J302" s="674"/>
      <c r="K302" s="24">
        <f t="shared" si="57"/>
        <v>1</v>
      </c>
      <c r="L302" s="674"/>
      <c r="M302" s="24">
        <f t="shared" si="58"/>
        <v>1</v>
      </c>
      <c r="N302" s="674"/>
      <c r="O302" s="24">
        <f t="shared" si="59"/>
        <v>1</v>
      </c>
      <c r="P302" s="674"/>
      <c r="Q302" s="24">
        <f t="shared" si="60"/>
        <v>1</v>
      </c>
      <c r="R302" s="670">
        <f t="shared" si="61"/>
        <v>0</v>
      </c>
      <c r="S302" s="322">
        <f t="shared" si="62"/>
        <v>0</v>
      </c>
    </row>
    <row r="303" spans="1:19">
      <c r="A303" s="155"/>
      <c r="B303" s="57"/>
      <c r="C303" s="24">
        <f t="shared" si="53"/>
        <v>1</v>
      </c>
      <c r="D303" s="674"/>
      <c r="E303" s="24">
        <f t="shared" si="54"/>
        <v>1</v>
      </c>
      <c r="F303" s="674"/>
      <c r="G303" s="24">
        <f t="shared" si="55"/>
        <v>1</v>
      </c>
      <c r="H303" s="674"/>
      <c r="I303" s="24">
        <f t="shared" si="56"/>
        <v>1</v>
      </c>
      <c r="J303" s="674"/>
      <c r="K303" s="24">
        <f t="shared" si="57"/>
        <v>1</v>
      </c>
      <c r="L303" s="674"/>
      <c r="M303" s="24">
        <f t="shared" si="58"/>
        <v>1</v>
      </c>
      <c r="N303" s="674"/>
      <c r="O303" s="24">
        <f t="shared" si="59"/>
        <v>1</v>
      </c>
      <c r="P303" s="674"/>
      <c r="Q303" s="24">
        <f t="shared" si="60"/>
        <v>1</v>
      </c>
      <c r="R303" s="670">
        <f t="shared" si="61"/>
        <v>0</v>
      </c>
      <c r="S303" s="322">
        <f t="shared" si="62"/>
        <v>0</v>
      </c>
    </row>
    <row r="304" spans="1:19">
      <c r="A304" s="155"/>
      <c r="B304" s="57"/>
      <c r="C304" s="24">
        <f t="shared" si="53"/>
        <v>1</v>
      </c>
      <c r="D304" s="674"/>
      <c r="E304" s="24">
        <f t="shared" si="54"/>
        <v>1</v>
      </c>
      <c r="F304" s="674"/>
      <c r="G304" s="24">
        <f t="shared" si="55"/>
        <v>1</v>
      </c>
      <c r="H304" s="674"/>
      <c r="I304" s="24">
        <f t="shared" si="56"/>
        <v>1</v>
      </c>
      <c r="J304" s="674"/>
      <c r="K304" s="24">
        <f t="shared" si="57"/>
        <v>1</v>
      </c>
      <c r="L304" s="674"/>
      <c r="M304" s="24">
        <f t="shared" si="58"/>
        <v>1</v>
      </c>
      <c r="N304" s="674"/>
      <c r="O304" s="24">
        <f t="shared" si="59"/>
        <v>1</v>
      </c>
      <c r="P304" s="674"/>
      <c r="Q304" s="24">
        <f t="shared" si="60"/>
        <v>1</v>
      </c>
      <c r="R304" s="670">
        <f t="shared" si="61"/>
        <v>0</v>
      </c>
      <c r="S304" s="322">
        <f t="shared" si="62"/>
        <v>0</v>
      </c>
    </row>
    <row r="305" spans="1:19">
      <c r="A305" s="155"/>
      <c r="B305" s="57"/>
      <c r="C305" s="24">
        <f t="shared" si="53"/>
        <v>1</v>
      </c>
      <c r="D305" s="674"/>
      <c r="E305" s="24">
        <f t="shared" si="54"/>
        <v>1</v>
      </c>
      <c r="F305" s="674"/>
      <c r="G305" s="24">
        <f t="shared" si="55"/>
        <v>1</v>
      </c>
      <c r="H305" s="674"/>
      <c r="I305" s="24">
        <f t="shared" si="56"/>
        <v>1</v>
      </c>
      <c r="J305" s="674"/>
      <c r="K305" s="24">
        <f t="shared" si="57"/>
        <v>1</v>
      </c>
      <c r="L305" s="674"/>
      <c r="M305" s="24">
        <f t="shared" si="58"/>
        <v>1</v>
      </c>
      <c r="N305" s="674"/>
      <c r="O305" s="24">
        <f t="shared" si="59"/>
        <v>1</v>
      </c>
      <c r="P305" s="674"/>
      <c r="Q305" s="24">
        <f t="shared" si="60"/>
        <v>1</v>
      </c>
      <c r="R305" s="670">
        <f t="shared" si="61"/>
        <v>0</v>
      </c>
      <c r="S305" s="322">
        <f t="shared" si="62"/>
        <v>0</v>
      </c>
    </row>
    <row r="306" spans="1:19">
      <c r="A306" s="155"/>
      <c r="B306" s="57"/>
      <c r="C306" s="24">
        <f t="shared" si="53"/>
        <v>1</v>
      </c>
      <c r="D306" s="674"/>
      <c r="E306" s="24">
        <f t="shared" si="54"/>
        <v>1</v>
      </c>
      <c r="F306" s="674"/>
      <c r="G306" s="24">
        <f t="shared" si="55"/>
        <v>1</v>
      </c>
      <c r="H306" s="674"/>
      <c r="I306" s="24">
        <f t="shared" si="56"/>
        <v>1</v>
      </c>
      <c r="J306" s="674"/>
      <c r="K306" s="24">
        <f t="shared" si="57"/>
        <v>1</v>
      </c>
      <c r="L306" s="674"/>
      <c r="M306" s="24">
        <f t="shared" si="58"/>
        <v>1</v>
      </c>
      <c r="N306" s="674"/>
      <c r="O306" s="24">
        <f t="shared" si="59"/>
        <v>1</v>
      </c>
      <c r="P306" s="674"/>
      <c r="Q306" s="24">
        <f t="shared" si="60"/>
        <v>1</v>
      </c>
      <c r="R306" s="670">
        <f t="shared" si="61"/>
        <v>0</v>
      </c>
      <c r="S306" s="322">
        <f t="shared" si="62"/>
        <v>0</v>
      </c>
    </row>
    <row r="307" spans="1:19">
      <c r="A307" s="155"/>
      <c r="B307" s="57"/>
      <c r="C307" s="24">
        <f t="shared" si="53"/>
        <v>1</v>
      </c>
      <c r="D307" s="674"/>
      <c r="E307" s="24">
        <f t="shared" si="54"/>
        <v>1</v>
      </c>
      <c r="F307" s="674"/>
      <c r="G307" s="24">
        <f t="shared" si="55"/>
        <v>1</v>
      </c>
      <c r="H307" s="674"/>
      <c r="I307" s="24">
        <f t="shared" si="56"/>
        <v>1</v>
      </c>
      <c r="J307" s="674"/>
      <c r="K307" s="24">
        <f t="shared" si="57"/>
        <v>1</v>
      </c>
      <c r="L307" s="674"/>
      <c r="M307" s="24">
        <f t="shared" si="58"/>
        <v>1</v>
      </c>
      <c r="N307" s="674"/>
      <c r="O307" s="24">
        <f t="shared" si="59"/>
        <v>1</v>
      </c>
      <c r="P307" s="674"/>
      <c r="Q307" s="24">
        <f t="shared" si="60"/>
        <v>1</v>
      </c>
      <c r="R307" s="670">
        <f t="shared" si="61"/>
        <v>0</v>
      </c>
      <c r="S307" s="322">
        <f t="shared" si="62"/>
        <v>0</v>
      </c>
    </row>
    <row r="308" spans="1:19">
      <c r="A308" s="155"/>
      <c r="B308" s="57"/>
      <c r="C308" s="24">
        <f t="shared" si="53"/>
        <v>1</v>
      </c>
      <c r="D308" s="674"/>
      <c r="E308" s="24">
        <f t="shared" si="54"/>
        <v>1</v>
      </c>
      <c r="F308" s="674"/>
      <c r="G308" s="24">
        <f t="shared" si="55"/>
        <v>1</v>
      </c>
      <c r="H308" s="674"/>
      <c r="I308" s="24">
        <f t="shared" si="56"/>
        <v>1</v>
      </c>
      <c r="J308" s="674"/>
      <c r="K308" s="24">
        <f t="shared" si="57"/>
        <v>1</v>
      </c>
      <c r="L308" s="674"/>
      <c r="M308" s="24">
        <f t="shared" si="58"/>
        <v>1</v>
      </c>
      <c r="N308" s="674"/>
      <c r="O308" s="24">
        <f t="shared" si="59"/>
        <v>1</v>
      </c>
      <c r="P308" s="674"/>
      <c r="Q308" s="24">
        <f t="shared" si="60"/>
        <v>1</v>
      </c>
      <c r="R308" s="670">
        <f t="shared" si="61"/>
        <v>0</v>
      </c>
      <c r="S308" s="322">
        <f t="shared" si="62"/>
        <v>0</v>
      </c>
    </row>
    <row r="309" spans="1:19">
      <c r="A309" s="155"/>
      <c r="B309" s="57"/>
      <c r="C309" s="24">
        <f t="shared" si="53"/>
        <v>1</v>
      </c>
      <c r="D309" s="674"/>
      <c r="E309" s="24">
        <f t="shared" si="54"/>
        <v>1</v>
      </c>
      <c r="F309" s="674"/>
      <c r="G309" s="24">
        <f t="shared" si="55"/>
        <v>1</v>
      </c>
      <c r="H309" s="674"/>
      <c r="I309" s="24">
        <f t="shared" si="56"/>
        <v>1</v>
      </c>
      <c r="J309" s="674"/>
      <c r="K309" s="24">
        <f t="shared" si="57"/>
        <v>1</v>
      </c>
      <c r="L309" s="674"/>
      <c r="M309" s="24">
        <f t="shared" si="58"/>
        <v>1</v>
      </c>
      <c r="N309" s="674"/>
      <c r="O309" s="24">
        <f t="shared" si="59"/>
        <v>1</v>
      </c>
      <c r="P309" s="674"/>
      <c r="Q309" s="24">
        <f t="shared" si="60"/>
        <v>1</v>
      </c>
      <c r="R309" s="670">
        <f t="shared" si="61"/>
        <v>0</v>
      </c>
      <c r="S309" s="322">
        <f t="shared" si="62"/>
        <v>0</v>
      </c>
    </row>
    <row r="310" spans="1:19">
      <c r="A310" s="155"/>
      <c r="B310" s="57"/>
      <c r="C310" s="24">
        <f t="shared" si="53"/>
        <v>1</v>
      </c>
      <c r="D310" s="674"/>
      <c r="E310" s="24">
        <f t="shared" si="54"/>
        <v>1</v>
      </c>
      <c r="F310" s="674"/>
      <c r="G310" s="24">
        <f t="shared" si="55"/>
        <v>1</v>
      </c>
      <c r="H310" s="674"/>
      <c r="I310" s="24">
        <f t="shared" si="56"/>
        <v>1</v>
      </c>
      <c r="J310" s="674"/>
      <c r="K310" s="24">
        <f t="shared" si="57"/>
        <v>1</v>
      </c>
      <c r="L310" s="674"/>
      <c r="M310" s="24">
        <f t="shared" si="58"/>
        <v>1</v>
      </c>
      <c r="N310" s="674"/>
      <c r="O310" s="24">
        <f t="shared" si="59"/>
        <v>1</v>
      </c>
      <c r="P310" s="674"/>
      <c r="Q310" s="24">
        <f t="shared" si="60"/>
        <v>1</v>
      </c>
      <c r="R310" s="670">
        <f t="shared" si="61"/>
        <v>0</v>
      </c>
      <c r="S310" s="322">
        <f t="shared" si="62"/>
        <v>0</v>
      </c>
    </row>
    <row r="311" spans="1:19">
      <c r="A311" s="155"/>
      <c r="B311" s="57"/>
      <c r="C311" s="24">
        <f t="shared" si="53"/>
        <v>1</v>
      </c>
      <c r="D311" s="674"/>
      <c r="E311" s="24">
        <f t="shared" si="54"/>
        <v>1</v>
      </c>
      <c r="F311" s="674"/>
      <c r="G311" s="24">
        <f t="shared" si="55"/>
        <v>1</v>
      </c>
      <c r="H311" s="674"/>
      <c r="I311" s="24">
        <f t="shared" si="56"/>
        <v>1</v>
      </c>
      <c r="J311" s="674"/>
      <c r="K311" s="24">
        <f t="shared" si="57"/>
        <v>1</v>
      </c>
      <c r="L311" s="674"/>
      <c r="M311" s="24">
        <f t="shared" si="58"/>
        <v>1</v>
      </c>
      <c r="N311" s="674"/>
      <c r="O311" s="24">
        <f t="shared" si="59"/>
        <v>1</v>
      </c>
      <c r="P311" s="674"/>
      <c r="Q311" s="24">
        <f t="shared" si="60"/>
        <v>1</v>
      </c>
      <c r="R311" s="670">
        <f t="shared" si="61"/>
        <v>0</v>
      </c>
      <c r="S311" s="322">
        <f t="shared" si="62"/>
        <v>0</v>
      </c>
    </row>
    <row r="312" spans="1:19">
      <c r="A312" s="155"/>
      <c r="B312" s="57"/>
      <c r="C312" s="24">
        <f t="shared" si="53"/>
        <v>1</v>
      </c>
      <c r="D312" s="674"/>
      <c r="E312" s="24">
        <f t="shared" si="54"/>
        <v>1</v>
      </c>
      <c r="F312" s="674"/>
      <c r="G312" s="24">
        <f t="shared" si="55"/>
        <v>1</v>
      </c>
      <c r="H312" s="674"/>
      <c r="I312" s="24">
        <f t="shared" si="56"/>
        <v>1</v>
      </c>
      <c r="J312" s="674"/>
      <c r="K312" s="24">
        <f t="shared" si="57"/>
        <v>1</v>
      </c>
      <c r="L312" s="674"/>
      <c r="M312" s="24">
        <f t="shared" si="58"/>
        <v>1</v>
      </c>
      <c r="N312" s="674"/>
      <c r="O312" s="24">
        <f t="shared" si="59"/>
        <v>1</v>
      </c>
      <c r="P312" s="674"/>
      <c r="Q312" s="24">
        <f t="shared" si="60"/>
        <v>1</v>
      </c>
      <c r="R312" s="670">
        <f t="shared" si="61"/>
        <v>0</v>
      </c>
      <c r="S312" s="322">
        <f t="shared" si="62"/>
        <v>0</v>
      </c>
    </row>
    <row r="313" spans="1:19">
      <c r="A313" s="155"/>
      <c r="B313" s="57"/>
      <c r="C313" s="24">
        <f t="shared" si="53"/>
        <v>1</v>
      </c>
      <c r="D313" s="674"/>
      <c r="E313" s="24">
        <f t="shared" si="54"/>
        <v>1</v>
      </c>
      <c r="F313" s="674"/>
      <c r="G313" s="24">
        <f t="shared" si="55"/>
        <v>1</v>
      </c>
      <c r="H313" s="674"/>
      <c r="I313" s="24">
        <f t="shared" si="56"/>
        <v>1</v>
      </c>
      <c r="J313" s="674"/>
      <c r="K313" s="24">
        <f t="shared" si="57"/>
        <v>1</v>
      </c>
      <c r="L313" s="674"/>
      <c r="M313" s="24">
        <f t="shared" si="58"/>
        <v>1</v>
      </c>
      <c r="N313" s="674"/>
      <c r="O313" s="24">
        <f t="shared" si="59"/>
        <v>1</v>
      </c>
      <c r="P313" s="674"/>
      <c r="Q313" s="24">
        <f t="shared" si="60"/>
        <v>1</v>
      </c>
      <c r="R313" s="670">
        <f t="shared" si="61"/>
        <v>0</v>
      </c>
      <c r="S313" s="322">
        <f t="shared" si="62"/>
        <v>0</v>
      </c>
    </row>
    <row r="314" spans="1:19">
      <c r="A314" s="155"/>
      <c r="B314" s="57"/>
      <c r="C314" s="24">
        <f t="shared" si="53"/>
        <v>1</v>
      </c>
      <c r="D314" s="674"/>
      <c r="E314" s="24">
        <f t="shared" si="54"/>
        <v>1</v>
      </c>
      <c r="F314" s="674"/>
      <c r="G314" s="24">
        <f t="shared" si="55"/>
        <v>1</v>
      </c>
      <c r="H314" s="674"/>
      <c r="I314" s="24">
        <f t="shared" si="56"/>
        <v>1</v>
      </c>
      <c r="J314" s="674"/>
      <c r="K314" s="24">
        <f t="shared" si="57"/>
        <v>1</v>
      </c>
      <c r="L314" s="674"/>
      <c r="M314" s="24">
        <f t="shared" si="58"/>
        <v>1</v>
      </c>
      <c r="N314" s="674"/>
      <c r="O314" s="24">
        <f t="shared" si="59"/>
        <v>1</v>
      </c>
      <c r="P314" s="674"/>
      <c r="Q314" s="24">
        <f t="shared" si="60"/>
        <v>1</v>
      </c>
      <c r="R314" s="670">
        <f t="shared" si="61"/>
        <v>0</v>
      </c>
      <c r="S314" s="322">
        <f t="shared" si="62"/>
        <v>0</v>
      </c>
    </row>
    <row r="315" spans="1:19">
      <c r="A315" s="155"/>
      <c r="B315" s="57"/>
      <c r="C315" s="24">
        <f t="shared" si="53"/>
        <v>1</v>
      </c>
      <c r="D315" s="674"/>
      <c r="E315" s="24">
        <f t="shared" si="54"/>
        <v>1</v>
      </c>
      <c r="F315" s="674"/>
      <c r="G315" s="24">
        <f t="shared" si="55"/>
        <v>1</v>
      </c>
      <c r="H315" s="674"/>
      <c r="I315" s="24">
        <f t="shared" si="56"/>
        <v>1</v>
      </c>
      <c r="J315" s="674"/>
      <c r="K315" s="24">
        <f t="shared" si="57"/>
        <v>1</v>
      </c>
      <c r="L315" s="674"/>
      <c r="M315" s="24">
        <f t="shared" si="58"/>
        <v>1</v>
      </c>
      <c r="N315" s="674"/>
      <c r="O315" s="24">
        <f t="shared" si="59"/>
        <v>1</v>
      </c>
      <c r="P315" s="674"/>
      <c r="Q315" s="24">
        <f t="shared" si="60"/>
        <v>1</v>
      </c>
      <c r="R315" s="670">
        <f t="shared" si="61"/>
        <v>0</v>
      </c>
      <c r="S315" s="322">
        <f t="shared" si="62"/>
        <v>0</v>
      </c>
    </row>
    <row r="316" spans="1:19">
      <c r="A316" s="155"/>
      <c r="B316" s="57"/>
      <c r="C316" s="24">
        <f t="shared" si="53"/>
        <v>1</v>
      </c>
      <c r="D316" s="674"/>
      <c r="E316" s="24">
        <f t="shared" si="54"/>
        <v>1</v>
      </c>
      <c r="F316" s="674"/>
      <c r="G316" s="24">
        <f t="shared" si="55"/>
        <v>1</v>
      </c>
      <c r="H316" s="674"/>
      <c r="I316" s="24">
        <f t="shared" si="56"/>
        <v>1</v>
      </c>
      <c r="J316" s="674"/>
      <c r="K316" s="24">
        <f t="shared" si="57"/>
        <v>1</v>
      </c>
      <c r="L316" s="674"/>
      <c r="M316" s="24">
        <f t="shared" si="58"/>
        <v>1</v>
      </c>
      <c r="N316" s="674"/>
      <c r="O316" s="24">
        <f t="shared" si="59"/>
        <v>1</v>
      </c>
      <c r="P316" s="674"/>
      <c r="Q316" s="24">
        <f t="shared" si="60"/>
        <v>1</v>
      </c>
      <c r="R316" s="670">
        <f t="shared" si="61"/>
        <v>0</v>
      </c>
      <c r="S316" s="322">
        <f t="shared" si="62"/>
        <v>0</v>
      </c>
    </row>
    <row r="317" spans="1:19">
      <c r="A317" s="155"/>
      <c r="B317" s="57"/>
      <c r="C317" s="24">
        <f t="shared" si="53"/>
        <v>1</v>
      </c>
      <c r="D317" s="674"/>
      <c r="E317" s="24">
        <f t="shared" si="54"/>
        <v>1</v>
      </c>
      <c r="F317" s="674"/>
      <c r="G317" s="24">
        <f t="shared" si="55"/>
        <v>1</v>
      </c>
      <c r="H317" s="674"/>
      <c r="I317" s="24">
        <f t="shared" si="56"/>
        <v>1</v>
      </c>
      <c r="J317" s="674"/>
      <c r="K317" s="24">
        <f t="shared" si="57"/>
        <v>1</v>
      </c>
      <c r="L317" s="674"/>
      <c r="M317" s="24">
        <f t="shared" si="58"/>
        <v>1</v>
      </c>
      <c r="N317" s="674"/>
      <c r="O317" s="24">
        <f t="shared" si="59"/>
        <v>1</v>
      </c>
      <c r="P317" s="674"/>
      <c r="Q317" s="24">
        <f t="shared" si="60"/>
        <v>1</v>
      </c>
      <c r="R317" s="670">
        <f t="shared" si="61"/>
        <v>0</v>
      </c>
      <c r="S317" s="322">
        <f t="shared" si="62"/>
        <v>0</v>
      </c>
    </row>
    <row r="318" spans="1:19">
      <c r="A318" s="155"/>
      <c r="B318" s="57"/>
      <c r="C318" s="24">
        <f t="shared" si="53"/>
        <v>1</v>
      </c>
      <c r="D318" s="674"/>
      <c r="E318" s="24">
        <f t="shared" si="54"/>
        <v>1</v>
      </c>
      <c r="F318" s="674"/>
      <c r="G318" s="24">
        <f t="shared" si="55"/>
        <v>1</v>
      </c>
      <c r="H318" s="674"/>
      <c r="I318" s="24">
        <f t="shared" si="56"/>
        <v>1</v>
      </c>
      <c r="J318" s="674"/>
      <c r="K318" s="24">
        <f t="shared" si="57"/>
        <v>1</v>
      </c>
      <c r="L318" s="674"/>
      <c r="M318" s="24">
        <f t="shared" si="58"/>
        <v>1</v>
      </c>
      <c r="N318" s="674"/>
      <c r="O318" s="24">
        <f t="shared" si="59"/>
        <v>1</v>
      </c>
      <c r="P318" s="674"/>
      <c r="Q318" s="24">
        <f t="shared" si="60"/>
        <v>1</v>
      </c>
      <c r="R318" s="670">
        <f t="shared" si="61"/>
        <v>0</v>
      </c>
      <c r="S318" s="322">
        <f t="shared" si="62"/>
        <v>0</v>
      </c>
    </row>
    <row r="319" spans="1:19">
      <c r="A319" s="155"/>
      <c r="B319" s="57"/>
      <c r="C319" s="24">
        <f t="shared" si="53"/>
        <v>1</v>
      </c>
      <c r="D319" s="674"/>
      <c r="E319" s="24">
        <f t="shared" si="54"/>
        <v>1</v>
      </c>
      <c r="F319" s="674"/>
      <c r="G319" s="24">
        <f t="shared" si="55"/>
        <v>1</v>
      </c>
      <c r="H319" s="674"/>
      <c r="I319" s="24">
        <f t="shared" si="56"/>
        <v>1</v>
      </c>
      <c r="J319" s="674"/>
      <c r="K319" s="24">
        <f t="shared" si="57"/>
        <v>1</v>
      </c>
      <c r="L319" s="674"/>
      <c r="M319" s="24">
        <f t="shared" si="58"/>
        <v>1</v>
      </c>
      <c r="N319" s="674"/>
      <c r="O319" s="24">
        <f t="shared" si="59"/>
        <v>1</v>
      </c>
      <c r="P319" s="674"/>
      <c r="Q319" s="24">
        <f t="shared" si="60"/>
        <v>1</v>
      </c>
      <c r="R319" s="670">
        <f t="shared" si="61"/>
        <v>0</v>
      </c>
      <c r="S319" s="322">
        <f t="shared" si="62"/>
        <v>0</v>
      </c>
    </row>
    <row r="320" spans="1:19">
      <c r="A320" s="155"/>
      <c r="B320" s="57"/>
      <c r="C320" s="24">
        <f t="shared" si="53"/>
        <v>1</v>
      </c>
      <c r="D320" s="674"/>
      <c r="E320" s="24">
        <f t="shared" si="54"/>
        <v>1</v>
      </c>
      <c r="F320" s="674"/>
      <c r="G320" s="24">
        <f t="shared" si="55"/>
        <v>1</v>
      </c>
      <c r="H320" s="674"/>
      <c r="I320" s="24">
        <f t="shared" si="56"/>
        <v>1</v>
      </c>
      <c r="J320" s="674"/>
      <c r="K320" s="24">
        <f t="shared" si="57"/>
        <v>1</v>
      </c>
      <c r="L320" s="674"/>
      <c r="M320" s="24">
        <f t="shared" si="58"/>
        <v>1</v>
      </c>
      <c r="N320" s="674"/>
      <c r="O320" s="24">
        <f t="shared" si="59"/>
        <v>1</v>
      </c>
      <c r="P320" s="674"/>
      <c r="Q320" s="24">
        <f t="shared" si="60"/>
        <v>1</v>
      </c>
      <c r="R320" s="670">
        <f t="shared" si="61"/>
        <v>0</v>
      </c>
      <c r="S320" s="322">
        <f t="shared" si="62"/>
        <v>0</v>
      </c>
    </row>
    <row r="321" spans="1:19">
      <c r="A321" s="155"/>
      <c r="B321" s="57"/>
      <c r="C321" s="24">
        <f t="shared" si="53"/>
        <v>1</v>
      </c>
      <c r="D321" s="674"/>
      <c r="E321" s="24">
        <f t="shared" si="54"/>
        <v>1</v>
      </c>
      <c r="F321" s="674"/>
      <c r="G321" s="24">
        <f t="shared" si="55"/>
        <v>1</v>
      </c>
      <c r="H321" s="674"/>
      <c r="I321" s="24">
        <f t="shared" si="56"/>
        <v>1</v>
      </c>
      <c r="J321" s="674"/>
      <c r="K321" s="24">
        <f t="shared" si="57"/>
        <v>1</v>
      </c>
      <c r="L321" s="674"/>
      <c r="M321" s="24">
        <f t="shared" si="58"/>
        <v>1</v>
      </c>
      <c r="N321" s="674"/>
      <c r="O321" s="24">
        <f t="shared" si="59"/>
        <v>1</v>
      </c>
      <c r="P321" s="674"/>
      <c r="Q321" s="24">
        <f t="shared" si="60"/>
        <v>1</v>
      </c>
      <c r="R321" s="670">
        <f t="shared" si="61"/>
        <v>0</v>
      </c>
      <c r="S321" s="322">
        <f t="shared" ref="S321:S384" si="63">ROUND(R321*B321/10000,0)</f>
        <v>0</v>
      </c>
    </row>
    <row r="322" spans="1:19">
      <c r="A322" s="155"/>
      <c r="B322" s="57"/>
      <c r="C322" s="24">
        <f t="shared" si="53"/>
        <v>1</v>
      </c>
      <c r="D322" s="674"/>
      <c r="E322" s="24">
        <f t="shared" si="54"/>
        <v>1</v>
      </c>
      <c r="F322" s="674"/>
      <c r="G322" s="24">
        <f t="shared" si="55"/>
        <v>1</v>
      </c>
      <c r="H322" s="674"/>
      <c r="I322" s="24">
        <f t="shared" si="56"/>
        <v>1</v>
      </c>
      <c r="J322" s="674"/>
      <c r="K322" s="24">
        <f t="shared" si="57"/>
        <v>1</v>
      </c>
      <c r="L322" s="674"/>
      <c r="M322" s="24">
        <f t="shared" si="58"/>
        <v>1</v>
      </c>
      <c r="N322" s="674"/>
      <c r="O322" s="24">
        <f t="shared" si="59"/>
        <v>1</v>
      </c>
      <c r="P322" s="674"/>
      <c r="Q322" s="24">
        <f t="shared" si="60"/>
        <v>1</v>
      </c>
      <c r="R322" s="670">
        <f t="shared" si="61"/>
        <v>0</v>
      </c>
      <c r="S322" s="322">
        <f t="shared" si="63"/>
        <v>0</v>
      </c>
    </row>
    <row r="323" spans="1:19">
      <c r="A323" s="155"/>
      <c r="B323" s="57"/>
      <c r="C323" s="24">
        <f t="shared" si="53"/>
        <v>1</v>
      </c>
      <c r="D323" s="674"/>
      <c r="E323" s="24">
        <f t="shared" si="54"/>
        <v>1</v>
      </c>
      <c r="F323" s="674"/>
      <c r="G323" s="24">
        <f t="shared" si="55"/>
        <v>1</v>
      </c>
      <c r="H323" s="674"/>
      <c r="I323" s="24">
        <f t="shared" si="56"/>
        <v>1</v>
      </c>
      <c r="J323" s="674"/>
      <c r="K323" s="24">
        <f t="shared" si="57"/>
        <v>1</v>
      </c>
      <c r="L323" s="674"/>
      <c r="M323" s="24">
        <f t="shared" si="58"/>
        <v>1</v>
      </c>
      <c r="N323" s="674"/>
      <c r="O323" s="24">
        <f t="shared" si="59"/>
        <v>1</v>
      </c>
      <c r="P323" s="674"/>
      <c r="Q323" s="24">
        <f t="shared" si="60"/>
        <v>1</v>
      </c>
      <c r="R323" s="670">
        <f t="shared" si="61"/>
        <v>0</v>
      </c>
      <c r="S323" s="322">
        <f t="shared" si="63"/>
        <v>0</v>
      </c>
    </row>
    <row r="324" spans="1:19">
      <c r="A324" s="155"/>
      <c r="B324" s="57"/>
      <c r="C324" s="24">
        <f t="shared" si="53"/>
        <v>1</v>
      </c>
      <c r="D324" s="674"/>
      <c r="E324" s="24">
        <f t="shared" si="54"/>
        <v>1</v>
      </c>
      <c r="F324" s="674"/>
      <c r="G324" s="24">
        <f t="shared" si="55"/>
        <v>1</v>
      </c>
      <c r="H324" s="674"/>
      <c r="I324" s="24">
        <f t="shared" si="56"/>
        <v>1</v>
      </c>
      <c r="J324" s="674"/>
      <c r="K324" s="24">
        <f t="shared" si="57"/>
        <v>1</v>
      </c>
      <c r="L324" s="674"/>
      <c r="M324" s="24">
        <f t="shared" si="58"/>
        <v>1</v>
      </c>
      <c r="N324" s="674"/>
      <c r="O324" s="24">
        <f t="shared" si="59"/>
        <v>1</v>
      </c>
      <c r="P324" s="674"/>
      <c r="Q324" s="24">
        <f t="shared" si="60"/>
        <v>1</v>
      </c>
      <c r="R324" s="670">
        <f t="shared" si="61"/>
        <v>0</v>
      </c>
      <c r="S324" s="322">
        <f t="shared" si="63"/>
        <v>0</v>
      </c>
    </row>
    <row r="325" spans="1:19">
      <c r="A325" s="155"/>
      <c r="B325" s="57"/>
      <c r="C325" s="24">
        <f t="shared" si="53"/>
        <v>1</v>
      </c>
      <c r="D325" s="674"/>
      <c r="E325" s="24">
        <f t="shared" si="54"/>
        <v>1</v>
      </c>
      <c r="F325" s="674"/>
      <c r="G325" s="24">
        <f t="shared" si="55"/>
        <v>1</v>
      </c>
      <c r="H325" s="674"/>
      <c r="I325" s="24">
        <f t="shared" si="56"/>
        <v>1</v>
      </c>
      <c r="J325" s="674"/>
      <c r="K325" s="24">
        <f t="shared" si="57"/>
        <v>1</v>
      </c>
      <c r="L325" s="674"/>
      <c r="M325" s="24">
        <f t="shared" si="58"/>
        <v>1</v>
      </c>
      <c r="N325" s="674"/>
      <c r="O325" s="24">
        <f t="shared" si="59"/>
        <v>1</v>
      </c>
      <c r="P325" s="674"/>
      <c r="Q325" s="24">
        <f t="shared" si="60"/>
        <v>1</v>
      </c>
      <c r="R325" s="670">
        <f t="shared" si="61"/>
        <v>0</v>
      </c>
      <c r="S325" s="322">
        <f t="shared" si="63"/>
        <v>0</v>
      </c>
    </row>
    <row r="326" spans="1:19">
      <c r="A326" s="155"/>
      <c r="B326" s="57"/>
      <c r="C326" s="24">
        <f t="shared" si="53"/>
        <v>1</v>
      </c>
      <c r="D326" s="674"/>
      <c r="E326" s="24">
        <f t="shared" si="54"/>
        <v>1</v>
      </c>
      <c r="F326" s="674"/>
      <c r="G326" s="24">
        <f t="shared" si="55"/>
        <v>1</v>
      </c>
      <c r="H326" s="674"/>
      <c r="I326" s="24">
        <f t="shared" si="56"/>
        <v>1</v>
      </c>
      <c r="J326" s="674"/>
      <c r="K326" s="24">
        <f t="shared" si="57"/>
        <v>1</v>
      </c>
      <c r="L326" s="674"/>
      <c r="M326" s="24">
        <f t="shared" si="58"/>
        <v>1</v>
      </c>
      <c r="N326" s="674"/>
      <c r="O326" s="24">
        <f t="shared" si="59"/>
        <v>1</v>
      </c>
      <c r="P326" s="674"/>
      <c r="Q326" s="24">
        <f t="shared" si="60"/>
        <v>1</v>
      </c>
      <c r="R326" s="670">
        <f t="shared" si="61"/>
        <v>0</v>
      </c>
      <c r="S326" s="322">
        <f t="shared" si="63"/>
        <v>0</v>
      </c>
    </row>
    <row r="327" spans="1:19">
      <c r="A327" s="155"/>
      <c r="B327" s="57"/>
      <c r="C327" s="24">
        <f t="shared" si="53"/>
        <v>1</v>
      </c>
      <c r="D327" s="674"/>
      <c r="E327" s="24">
        <f t="shared" si="54"/>
        <v>1</v>
      </c>
      <c r="F327" s="674"/>
      <c r="G327" s="24">
        <f t="shared" si="55"/>
        <v>1</v>
      </c>
      <c r="H327" s="674"/>
      <c r="I327" s="24">
        <f t="shared" si="56"/>
        <v>1</v>
      </c>
      <c r="J327" s="674"/>
      <c r="K327" s="24">
        <f t="shared" si="57"/>
        <v>1</v>
      </c>
      <c r="L327" s="674"/>
      <c r="M327" s="24">
        <f t="shared" si="58"/>
        <v>1</v>
      </c>
      <c r="N327" s="674"/>
      <c r="O327" s="24">
        <f t="shared" si="59"/>
        <v>1</v>
      </c>
      <c r="P327" s="674"/>
      <c r="Q327" s="24">
        <f t="shared" si="60"/>
        <v>1</v>
      </c>
      <c r="R327" s="670">
        <f t="shared" si="61"/>
        <v>0</v>
      </c>
      <c r="S327" s="322">
        <f t="shared" si="63"/>
        <v>0</v>
      </c>
    </row>
    <row r="328" spans="1:19">
      <c r="A328" s="155"/>
      <c r="B328" s="57"/>
      <c r="C328" s="24">
        <f t="shared" si="53"/>
        <v>1</v>
      </c>
      <c r="D328" s="674"/>
      <c r="E328" s="24">
        <f t="shared" si="54"/>
        <v>1</v>
      </c>
      <c r="F328" s="674"/>
      <c r="G328" s="24">
        <f t="shared" si="55"/>
        <v>1</v>
      </c>
      <c r="H328" s="674"/>
      <c r="I328" s="24">
        <f t="shared" si="56"/>
        <v>1</v>
      </c>
      <c r="J328" s="674"/>
      <c r="K328" s="24">
        <f t="shared" si="57"/>
        <v>1</v>
      </c>
      <c r="L328" s="674"/>
      <c r="M328" s="24">
        <f t="shared" si="58"/>
        <v>1</v>
      </c>
      <c r="N328" s="674"/>
      <c r="O328" s="24">
        <f t="shared" si="59"/>
        <v>1</v>
      </c>
      <c r="P328" s="674"/>
      <c r="Q328" s="24">
        <f t="shared" si="60"/>
        <v>1</v>
      </c>
      <c r="R328" s="670">
        <f t="shared" si="61"/>
        <v>0</v>
      </c>
      <c r="S328" s="322">
        <f t="shared" si="63"/>
        <v>0</v>
      </c>
    </row>
    <row r="329" spans="1:19">
      <c r="A329" s="155"/>
      <c r="B329" s="57"/>
      <c r="C329" s="24">
        <f t="shared" si="53"/>
        <v>1</v>
      </c>
      <c r="D329" s="674"/>
      <c r="E329" s="24">
        <f t="shared" si="54"/>
        <v>1</v>
      </c>
      <c r="F329" s="674"/>
      <c r="G329" s="24">
        <f t="shared" si="55"/>
        <v>1</v>
      </c>
      <c r="H329" s="674"/>
      <c r="I329" s="24">
        <f t="shared" si="56"/>
        <v>1</v>
      </c>
      <c r="J329" s="674"/>
      <c r="K329" s="24">
        <f t="shared" si="57"/>
        <v>1</v>
      </c>
      <c r="L329" s="674"/>
      <c r="M329" s="24">
        <f t="shared" si="58"/>
        <v>1</v>
      </c>
      <c r="N329" s="674"/>
      <c r="O329" s="24">
        <f t="shared" si="59"/>
        <v>1</v>
      </c>
      <c r="P329" s="674"/>
      <c r="Q329" s="24">
        <f t="shared" si="60"/>
        <v>1</v>
      </c>
      <c r="R329" s="670">
        <f t="shared" si="61"/>
        <v>0</v>
      </c>
      <c r="S329" s="322">
        <f t="shared" si="63"/>
        <v>0</v>
      </c>
    </row>
    <row r="330" spans="1:19">
      <c r="A330" s="155"/>
      <c r="B330" s="57"/>
      <c r="C330" s="24">
        <f t="shared" si="53"/>
        <v>1</v>
      </c>
      <c r="D330" s="674"/>
      <c r="E330" s="24">
        <f t="shared" si="54"/>
        <v>1</v>
      </c>
      <c r="F330" s="674"/>
      <c r="G330" s="24">
        <f t="shared" si="55"/>
        <v>1</v>
      </c>
      <c r="H330" s="674"/>
      <c r="I330" s="24">
        <f t="shared" si="56"/>
        <v>1</v>
      </c>
      <c r="J330" s="674"/>
      <c r="K330" s="24">
        <f t="shared" si="57"/>
        <v>1</v>
      </c>
      <c r="L330" s="674"/>
      <c r="M330" s="24">
        <f t="shared" si="58"/>
        <v>1</v>
      </c>
      <c r="N330" s="674"/>
      <c r="O330" s="24">
        <f t="shared" si="59"/>
        <v>1</v>
      </c>
      <c r="P330" s="674"/>
      <c r="Q330" s="24">
        <f t="shared" si="60"/>
        <v>1</v>
      </c>
      <c r="R330" s="670">
        <f t="shared" si="61"/>
        <v>0</v>
      </c>
      <c r="S330" s="322">
        <f t="shared" si="63"/>
        <v>0</v>
      </c>
    </row>
    <row r="331" spans="1:19">
      <c r="A331" s="155"/>
      <c r="B331" s="57"/>
      <c r="C331" s="24">
        <f t="shared" si="53"/>
        <v>1</v>
      </c>
      <c r="D331" s="674"/>
      <c r="E331" s="24">
        <f t="shared" si="54"/>
        <v>1</v>
      </c>
      <c r="F331" s="674"/>
      <c r="G331" s="24">
        <f t="shared" si="55"/>
        <v>1</v>
      </c>
      <c r="H331" s="674"/>
      <c r="I331" s="24">
        <f t="shared" si="56"/>
        <v>1</v>
      </c>
      <c r="J331" s="674"/>
      <c r="K331" s="24">
        <f t="shared" si="57"/>
        <v>1</v>
      </c>
      <c r="L331" s="674"/>
      <c r="M331" s="24">
        <f t="shared" si="58"/>
        <v>1</v>
      </c>
      <c r="N331" s="674"/>
      <c r="O331" s="24">
        <f t="shared" si="59"/>
        <v>1</v>
      </c>
      <c r="P331" s="674"/>
      <c r="Q331" s="24">
        <f t="shared" si="60"/>
        <v>1</v>
      </c>
      <c r="R331" s="670">
        <f t="shared" si="61"/>
        <v>0</v>
      </c>
      <c r="S331" s="322">
        <f t="shared" si="63"/>
        <v>0</v>
      </c>
    </row>
    <row r="332" spans="1:19">
      <c r="A332" s="155"/>
      <c r="B332" s="57"/>
      <c r="C332" s="24">
        <f t="shared" si="53"/>
        <v>1</v>
      </c>
      <c r="D332" s="674"/>
      <c r="E332" s="24">
        <f t="shared" si="54"/>
        <v>1</v>
      </c>
      <c r="F332" s="674"/>
      <c r="G332" s="24">
        <f t="shared" si="55"/>
        <v>1</v>
      </c>
      <c r="H332" s="674"/>
      <c r="I332" s="24">
        <f t="shared" si="56"/>
        <v>1</v>
      </c>
      <c r="J332" s="674"/>
      <c r="K332" s="24">
        <f t="shared" si="57"/>
        <v>1</v>
      </c>
      <c r="L332" s="674"/>
      <c r="M332" s="24">
        <f t="shared" si="58"/>
        <v>1</v>
      </c>
      <c r="N332" s="674"/>
      <c r="O332" s="24">
        <f t="shared" si="59"/>
        <v>1</v>
      </c>
      <c r="P332" s="674"/>
      <c r="Q332" s="24">
        <f t="shared" si="60"/>
        <v>1</v>
      </c>
      <c r="R332" s="670">
        <f t="shared" si="61"/>
        <v>0</v>
      </c>
      <c r="S332" s="322">
        <f t="shared" si="63"/>
        <v>0</v>
      </c>
    </row>
    <row r="333" spans="1:19">
      <c r="A333" s="155"/>
      <c r="B333" s="57"/>
      <c r="C333" s="24">
        <f t="shared" si="53"/>
        <v>1</v>
      </c>
      <c r="D333" s="674"/>
      <c r="E333" s="24">
        <f t="shared" si="54"/>
        <v>1</v>
      </c>
      <c r="F333" s="674"/>
      <c r="G333" s="24">
        <f t="shared" si="55"/>
        <v>1</v>
      </c>
      <c r="H333" s="674"/>
      <c r="I333" s="24">
        <f t="shared" si="56"/>
        <v>1</v>
      </c>
      <c r="J333" s="674"/>
      <c r="K333" s="24">
        <f t="shared" si="57"/>
        <v>1</v>
      </c>
      <c r="L333" s="674"/>
      <c r="M333" s="24">
        <f t="shared" si="58"/>
        <v>1</v>
      </c>
      <c r="N333" s="674"/>
      <c r="O333" s="24">
        <f t="shared" si="59"/>
        <v>1</v>
      </c>
      <c r="P333" s="674"/>
      <c r="Q333" s="24">
        <f t="shared" si="60"/>
        <v>1</v>
      </c>
      <c r="R333" s="670">
        <f t="shared" si="61"/>
        <v>0</v>
      </c>
      <c r="S333" s="322">
        <f t="shared" si="63"/>
        <v>0</v>
      </c>
    </row>
    <row r="334" spans="1:19">
      <c r="A334" s="155"/>
      <c r="B334" s="57"/>
      <c r="C334" s="24">
        <f t="shared" si="53"/>
        <v>1</v>
      </c>
      <c r="D334" s="674"/>
      <c r="E334" s="24">
        <f t="shared" si="54"/>
        <v>1</v>
      </c>
      <c r="F334" s="674"/>
      <c r="G334" s="24">
        <f t="shared" si="55"/>
        <v>1</v>
      </c>
      <c r="H334" s="674"/>
      <c r="I334" s="24">
        <f t="shared" si="56"/>
        <v>1</v>
      </c>
      <c r="J334" s="674"/>
      <c r="K334" s="24">
        <f t="shared" si="57"/>
        <v>1</v>
      </c>
      <c r="L334" s="674"/>
      <c r="M334" s="24">
        <f t="shared" si="58"/>
        <v>1</v>
      </c>
      <c r="N334" s="674"/>
      <c r="O334" s="24">
        <f t="shared" si="59"/>
        <v>1</v>
      </c>
      <c r="P334" s="674"/>
      <c r="Q334" s="24">
        <f t="shared" si="60"/>
        <v>1</v>
      </c>
      <c r="R334" s="670">
        <f t="shared" si="61"/>
        <v>0</v>
      </c>
      <c r="S334" s="322">
        <f t="shared" si="63"/>
        <v>0</v>
      </c>
    </row>
    <row r="335" spans="1:19">
      <c r="A335" s="155"/>
      <c r="B335" s="57"/>
      <c r="C335" s="24">
        <f t="shared" si="53"/>
        <v>1</v>
      </c>
      <c r="D335" s="674"/>
      <c r="E335" s="24">
        <f t="shared" si="54"/>
        <v>1</v>
      </c>
      <c r="F335" s="674"/>
      <c r="G335" s="24">
        <f t="shared" si="55"/>
        <v>1</v>
      </c>
      <c r="H335" s="674"/>
      <c r="I335" s="24">
        <f t="shared" si="56"/>
        <v>1</v>
      </c>
      <c r="J335" s="674"/>
      <c r="K335" s="24">
        <f t="shared" si="57"/>
        <v>1</v>
      </c>
      <c r="L335" s="674"/>
      <c r="M335" s="24">
        <f t="shared" si="58"/>
        <v>1</v>
      </c>
      <c r="N335" s="674"/>
      <c r="O335" s="24">
        <f t="shared" si="59"/>
        <v>1</v>
      </c>
      <c r="P335" s="674"/>
      <c r="Q335" s="24">
        <f t="shared" si="60"/>
        <v>1</v>
      </c>
      <c r="R335" s="670">
        <f t="shared" si="61"/>
        <v>0</v>
      </c>
      <c r="S335" s="322">
        <f t="shared" si="63"/>
        <v>0</v>
      </c>
    </row>
    <row r="336" spans="1:19">
      <c r="A336" s="155"/>
      <c r="B336" s="57"/>
      <c r="C336" s="24">
        <f t="shared" si="53"/>
        <v>1</v>
      </c>
      <c r="D336" s="674"/>
      <c r="E336" s="24">
        <f t="shared" si="54"/>
        <v>1</v>
      </c>
      <c r="F336" s="674"/>
      <c r="G336" s="24">
        <f t="shared" si="55"/>
        <v>1</v>
      </c>
      <c r="H336" s="674"/>
      <c r="I336" s="24">
        <f t="shared" si="56"/>
        <v>1</v>
      </c>
      <c r="J336" s="674"/>
      <c r="K336" s="24">
        <f t="shared" si="57"/>
        <v>1</v>
      </c>
      <c r="L336" s="674"/>
      <c r="M336" s="24">
        <f t="shared" si="58"/>
        <v>1</v>
      </c>
      <c r="N336" s="674"/>
      <c r="O336" s="24">
        <f t="shared" si="59"/>
        <v>1</v>
      </c>
      <c r="P336" s="674"/>
      <c r="Q336" s="24">
        <f t="shared" si="60"/>
        <v>1</v>
      </c>
      <c r="R336" s="670">
        <f t="shared" si="61"/>
        <v>0</v>
      </c>
      <c r="S336" s="322">
        <f t="shared" si="63"/>
        <v>0</v>
      </c>
    </row>
    <row r="337" spans="1:19">
      <c r="A337" s="155"/>
      <c r="B337" s="57"/>
      <c r="C337" s="24">
        <f t="shared" si="53"/>
        <v>1</v>
      </c>
      <c r="D337" s="674"/>
      <c r="E337" s="24">
        <f t="shared" si="54"/>
        <v>1</v>
      </c>
      <c r="F337" s="674"/>
      <c r="G337" s="24">
        <f t="shared" si="55"/>
        <v>1</v>
      </c>
      <c r="H337" s="674"/>
      <c r="I337" s="24">
        <f t="shared" si="56"/>
        <v>1</v>
      </c>
      <c r="J337" s="674"/>
      <c r="K337" s="24">
        <f t="shared" si="57"/>
        <v>1</v>
      </c>
      <c r="L337" s="674"/>
      <c r="M337" s="24">
        <f t="shared" si="58"/>
        <v>1</v>
      </c>
      <c r="N337" s="674"/>
      <c r="O337" s="24">
        <f t="shared" si="59"/>
        <v>1</v>
      </c>
      <c r="P337" s="674"/>
      <c r="Q337" s="24">
        <f t="shared" si="60"/>
        <v>1</v>
      </c>
      <c r="R337" s="670">
        <f t="shared" si="61"/>
        <v>0</v>
      </c>
      <c r="S337" s="322">
        <f t="shared" si="63"/>
        <v>0</v>
      </c>
    </row>
    <row r="338" spans="1:19">
      <c r="A338" s="155"/>
      <c r="B338" s="57"/>
      <c r="C338" s="24">
        <f t="shared" si="53"/>
        <v>1</v>
      </c>
      <c r="D338" s="674"/>
      <c r="E338" s="24">
        <f t="shared" si="54"/>
        <v>1</v>
      </c>
      <c r="F338" s="674"/>
      <c r="G338" s="24">
        <f t="shared" si="55"/>
        <v>1</v>
      </c>
      <c r="H338" s="674"/>
      <c r="I338" s="24">
        <f t="shared" si="56"/>
        <v>1</v>
      </c>
      <c r="J338" s="674"/>
      <c r="K338" s="24">
        <f t="shared" si="57"/>
        <v>1</v>
      </c>
      <c r="L338" s="674"/>
      <c r="M338" s="24">
        <f t="shared" si="58"/>
        <v>1</v>
      </c>
      <c r="N338" s="674"/>
      <c r="O338" s="24">
        <f t="shared" si="59"/>
        <v>1</v>
      </c>
      <c r="P338" s="674"/>
      <c r="Q338" s="24">
        <f t="shared" si="60"/>
        <v>1</v>
      </c>
      <c r="R338" s="670">
        <f t="shared" si="61"/>
        <v>0</v>
      </c>
      <c r="S338" s="322">
        <f t="shared" si="63"/>
        <v>0</v>
      </c>
    </row>
    <row r="339" spans="1:19">
      <c r="A339" s="155"/>
      <c r="B339" s="57"/>
      <c r="C339" s="24">
        <f t="shared" si="53"/>
        <v>1</v>
      </c>
      <c r="D339" s="674"/>
      <c r="E339" s="24">
        <f t="shared" si="54"/>
        <v>1</v>
      </c>
      <c r="F339" s="674"/>
      <c r="G339" s="24">
        <f t="shared" si="55"/>
        <v>1</v>
      </c>
      <c r="H339" s="674"/>
      <c r="I339" s="24">
        <f t="shared" si="56"/>
        <v>1</v>
      </c>
      <c r="J339" s="674"/>
      <c r="K339" s="24">
        <f t="shared" si="57"/>
        <v>1</v>
      </c>
      <c r="L339" s="674"/>
      <c r="M339" s="24">
        <f t="shared" si="58"/>
        <v>1</v>
      </c>
      <c r="N339" s="674"/>
      <c r="O339" s="24">
        <f t="shared" si="59"/>
        <v>1</v>
      </c>
      <c r="P339" s="674"/>
      <c r="Q339" s="24">
        <f t="shared" si="60"/>
        <v>1</v>
      </c>
      <c r="R339" s="670">
        <f t="shared" si="61"/>
        <v>0</v>
      </c>
      <c r="S339" s="322">
        <f t="shared" si="63"/>
        <v>0</v>
      </c>
    </row>
    <row r="340" spans="1:19">
      <c r="A340" s="155"/>
      <c r="B340" s="57"/>
      <c r="C340" s="24">
        <f t="shared" si="53"/>
        <v>1</v>
      </c>
      <c r="D340" s="674"/>
      <c r="E340" s="24">
        <f t="shared" si="54"/>
        <v>1</v>
      </c>
      <c r="F340" s="674"/>
      <c r="G340" s="24">
        <f t="shared" si="55"/>
        <v>1</v>
      </c>
      <c r="H340" s="674"/>
      <c r="I340" s="24">
        <f t="shared" si="56"/>
        <v>1</v>
      </c>
      <c r="J340" s="674"/>
      <c r="K340" s="24">
        <f t="shared" si="57"/>
        <v>1</v>
      </c>
      <c r="L340" s="674"/>
      <c r="M340" s="24">
        <f t="shared" si="58"/>
        <v>1</v>
      </c>
      <c r="N340" s="674"/>
      <c r="O340" s="24">
        <f t="shared" si="59"/>
        <v>1</v>
      </c>
      <c r="P340" s="674"/>
      <c r="Q340" s="24">
        <f t="shared" si="60"/>
        <v>1</v>
      </c>
      <c r="R340" s="670">
        <f t="shared" si="61"/>
        <v>0</v>
      </c>
      <c r="S340" s="322">
        <f t="shared" si="63"/>
        <v>0</v>
      </c>
    </row>
    <row r="341" spans="1:19">
      <c r="A341" s="155"/>
      <c r="B341" s="57"/>
      <c r="C341" s="24">
        <f t="shared" si="53"/>
        <v>1</v>
      </c>
      <c r="D341" s="674"/>
      <c r="E341" s="24">
        <f t="shared" si="54"/>
        <v>1</v>
      </c>
      <c r="F341" s="674"/>
      <c r="G341" s="24">
        <f t="shared" si="55"/>
        <v>1</v>
      </c>
      <c r="H341" s="674"/>
      <c r="I341" s="24">
        <f t="shared" si="56"/>
        <v>1</v>
      </c>
      <c r="J341" s="674"/>
      <c r="K341" s="24">
        <f t="shared" si="57"/>
        <v>1</v>
      </c>
      <c r="L341" s="674"/>
      <c r="M341" s="24">
        <f t="shared" si="58"/>
        <v>1</v>
      </c>
      <c r="N341" s="674"/>
      <c r="O341" s="24">
        <f t="shared" si="59"/>
        <v>1</v>
      </c>
      <c r="P341" s="674"/>
      <c r="Q341" s="24">
        <f t="shared" si="60"/>
        <v>1</v>
      </c>
      <c r="R341" s="670">
        <f t="shared" si="61"/>
        <v>0</v>
      </c>
      <c r="S341" s="322">
        <f t="shared" si="63"/>
        <v>0</v>
      </c>
    </row>
    <row r="342" spans="1:19">
      <c r="A342" s="155"/>
      <c r="B342" s="57"/>
      <c r="C342" s="24">
        <f t="shared" si="53"/>
        <v>1</v>
      </c>
      <c r="D342" s="674"/>
      <c r="E342" s="24">
        <f t="shared" si="54"/>
        <v>1</v>
      </c>
      <c r="F342" s="674"/>
      <c r="G342" s="24">
        <f t="shared" si="55"/>
        <v>1</v>
      </c>
      <c r="H342" s="674"/>
      <c r="I342" s="24">
        <f t="shared" si="56"/>
        <v>1</v>
      </c>
      <c r="J342" s="674"/>
      <c r="K342" s="24">
        <f t="shared" si="57"/>
        <v>1</v>
      </c>
      <c r="L342" s="674"/>
      <c r="M342" s="24">
        <f t="shared" si="58"/>
        <v>1</v>
      </c>
      <c r="N342" s="674"/>
      <c r="O342" s="24">
        <f t="shared" si="59"/>
        <v>1</v>
      </c>
      <c r="P342" s="674"/>
      <c r="Q342" s="24">
        <f t="shared" si="60"/>
        <v>1</v>
      </c>
      <c r="R342" s="670">
        <f t="shared" si="61"/>
        <v>0</v>
      </c>
      <c r="S342" s="322">
        <f t="shared" si="63"/>
        <v>0</v>
      </c>
    </row>
    <row r="343" spans="1:19">
      <c r="A343" s="155"/>
      <c r="B343" s="57"/>
      <c r="C343" s="24">
        <f t="shared" si="53"/>
        <v>1</v>
      </c>
      <c r="D343" s="674"/>
      <c r="E343" s="24">
        <f t="shared" si="54"/>
        <v>1</v>
      </c>
      <c r="F343" s="674"/>
      <c r="G343" s="24">
        <f t="shared" si="55"/>
        <v>1</v>
      </c>
      <c r="H343" s="674"/>
      <c r="I343" s="24">
        <f t="shared" si="56"/>
        <v>1</v>
      </c>
      <c r="J343" s="674"/>
      <c r="K343" s="24">
        <f t="shared" si="57"/>
        <v>1</v>
      </c>
      <c r="L343" s="674"/>
      <c r="M343" s="24">
        <f t="shared" si="58"/>
        <v>1</v>
      </c>
      <c r="N343" s="674"/>
      <c r="O343" s="24">
        <f t="shared" si="59"/>
        <v>1</v>
      </c>
      <c r="P343" s="674"/>
      <c r="Q343" s="24">
        <f t="shared" si="60"/>
        <v>1</v>
      </c>
      <c r="R343" s="670">
        <f t="shared" si="61"/>
        <v>0</v>
      </c>
      <c r="S343" s="322">
        <f t="shared" si="63"/>
        <v>0</v>
      </c>
    </row>
    <row r="344" spans="1:19">
      <c r="A344" s="155"/>
      <c r="B344" s="57"/>
      <c r="C344" s="24">
        <f t="shared" si="53"/>
        <v>1</v>
      </c>
      <c r="D344" s="674"/>
      <c r="E344" s="24">
        <f t="shared" si="54"/>
        <v>1</v>
      </c>
      <c r="F344" s="674"/>
      <c r="G344" s="24">
        <f t="shared" si="55"/>
        <v>1</v>
      </c>
      <c r="H344" s="674"/>
      <c r="I344" s="24">
        <f t="shared" si="56"/>
        <v>1</v>
      </c>
      <c r="J344" s="674"/>
      <c r="K344" s="24">
        <f t="shared" si="57"/>
        <v>1</v>
      </c>
      <c r="L344" s="674"/>
      <c r="M344" s="24">
        <f t="shared" si="58"/>
        <v>1</v>
      </c>
      <c r="N344" s="674"/>
      <c r="O344" s="24">
        <f t="shared" si="59"/>
        <v>1</v>
      </c>
      <c r="P344" s="674"/>
      <c r="Q344" s="24">
        <f t="shared" si="60"/>
        <v>1</v>
      </c>
      <c r="R344" s="670">
        <f t="shared" si="61"/>
        <v>0</v>
      </c>
      <c r="S344" s="322">
        <f t="shared" si="63"/>
        <v>0</v>
      </c>
    </row>
    <row r="345" spans="1:19">
      <c r="A345" s="155"/>
      <c r="B345" s="57"/>
      <c r="C345" s="24">
        <f t="shared" si="53"/>
        <v>1</v>
      </c>
      <c r="D345" s="674"/>
      <c r="E345" s="24">
        <f t="shared" si="54"/>
        <v>1</v>
      </c>
      <c r="F345" s="674"/>
      <c r="G345" s="24">
        <f t="shared" si="55"/>
        <v>1</v>
      </c>
      <c r="H345" s="674"/>
      <c r="I345" s="24">
        <f t="shared" si="56"/>
        <v>1</v>
      </c>
      <c r="J345" s="674"/>
      <c r="K345" s="24">
        <f t="shared" si="57"/>
        <v>1</v>
      </c>
      <c r="L345" s="674"/>
      <c r="M345" s="24">
        <f t="shared" si="58"/>
        <v>1</v>
      </c>
      <c r="N345" s="674"/>
      <c r="O345" s="24">
        <f t="shared" si="59"/>
        <v>1</v>
      </c>
      <c r="P345" s="674"/>
      <c r="Q345" s="24">
        <f t="shared" si="60"/>
        <v>1</v>
      </c>
      <c r="R345" s="670">
        <f t="shared" si="61"/>
        <v>0</v>
      </c>
      <c r="S345" s="322">
        <f t="shared" si="63"/>
        <v>0</v>
      </c>
    </row>
    <row r="346" spans="1:19">
      <c r="A346" s="155"/>
      <c r="B346" s="57"/>
      <c r="C346" s="24">
        <f t="shared" ref="C346:C409" si="64">IF(B346="",1,(LOOKUP(B346,$3:$3,$4:$4)-LOOKUP($B$24,$3:$3,$4:$4)+100)/100)</f>
        <v>1</v>
      </c>
      <c r="D346" s="674"/>
      <c r="E346" s="24">
        <f t="shared" ref="E346:E409" si="65">(SUMIF($5:$5,D346,$6:$6)-SUMIF($5:$5,$D$24,$6:$6)+100)/100</f>
        <v>1</v>
      </c>
      <c r="F346" s="674"/>
      <c r="G346" s="24">
        <f t="shared" ref="G346:G409" si="66">(SUMIF($7:$7,F346,$8:$8)-SUMIF($7:$7,$F$24,$8:$8)+100)/100</f>
        <v>1</v>
      </c>
      <c r="H346" s="674"/>
      <c r="I346" s="24">
        <f t="shared" ref="I346:I409" si="67">(SUMIF($9:$9,H346,$10:$10)-SUMIF($9:$9,$H$24,$10:$10)+100)/100</f>
        <v>1</v>
      </c>
      <c r="J346" s="674"/>
      <c r="K346" s="24">
        <f t="shared" ref="K346:K409" si="68">(SUMIF($11:$11,J346,$12:$12)-SUMIF($11:$11,$J$24,$12:$12)+100)/100</f>
        <v>1</v>
      </c>
      <c r="L346" s="674"/>
      <c r="M346" s="24">
        <f t="shared" ref="M346:M409" si="69">(SUMIF($13:$13,L346,$14:$14)-SUMIF($13:$13,$L$24,$14:$14)+100)/100</f>
        <v>1</v>
      </c>
      <c r="N346" s="674"/>
      <c r="O346" s="24">
        <f t="shared" ref="O346:O409" si="70">(SUMIF($15:$15,N346,$16:$16)-SUMIF($15:$15,$N$24,$16:$16)+100)/100</f>
        <v>1</v>
      </c>
      <c r="P346" s="674"/>
      <c r="Q346" s="24">
        <f t="shared" ref="Q346:Q409" si="71">(SUMIF($17:$17,P346,$18:$18)-SUMIF($17:$17,$P$24,$18:$18)+100)/100</f>
        <v>1</v>
      </c>
      <c r="R346" s="670">
        <f t="shared" ref="R346:R409" si="72">IF(B346="",0,ROUND($R$24*C346*E346*G346*I346*K346*M346*O346*Q346,0))</f>
        <v>0</v>
      </c>
      <c r="S346" s="322">
        <f t="shared" si="63"/>
        <v>0</v>
      </c>
    </row>
    <row r="347" spans="1:19">
      <c r="A347" s="155"/>
      <c r="B347" s="57"/>
      <c r="C347" s="24">
        <f t="shared" si="64"/>
        <v>1</v>
      </c>
      <c r="D347" s="674"/>
      <c r="E347" s="24">
        <f t="shared" si="65"/>
        <v>1</v>
      </c>
      <c r="F347" s="674"/>
      <c r="G347" s="24">
        <f t="shared" si="66"/>
        <v>1</v>
      </c>
      <c r="H347" s="674"/>
      <c r="I347" s="24">
        <f t="shared" si="67"/>
        <v>1</v>
      </c>
      <c r="J347" s="674"/>
      <c r="K347" s="24">
        <f t="shared" si="68"/>
        <v>1</v>
      </c>
      <c r="L347" s="674"/>
      <c r="M347" s="24">
        <f t="shared" si="69"/>
        <v>1</v>
      </c>
      <c r="N347" s="674"/>
      <c r="O347" s="24">
        <f t="shared" si="70"/>
        <v>1</v>
      </c>
      <c r="P347" s="674"/>
      <c r="Q347" s="24">
        <f t="shared" si="71"/>
        <v>1</v>
      </c>
      <c r="R347" s="670">
        <f t="shared" si="72"/>
        <v>0</v>
      </c>
      <c r="S347" s="322">
        <f t="shared" si="63"/>
        <v>0</v>
      </c>
    </row>
    <row r="348" spans="1:19">
      <c r="A348" s="155"/>
      <c r="B348" s="57"/>
      <c r="C348" s="24">
        <f t="shared" si="64"/>
        <v>1</v>
      </c>
      <c r="D348" s="674"/>
      <c r="E348" s="24">
        <f t="shared" si="65"/>
        <v>1</v>
      </c>
      <c r="F348" s="674"/>
      <c r="G348" s="24">
        <f t="shared" si="66"/>
        <v>1</v>
      </c>
      <c r="H348" s="674"/>
      <c r="I348" s="24">
        <f t="shared" si="67"/>
        <v>1</v>
      </c>
      <c r="J348" s="674"/>
      <c r="K348" s="24">
        <f t="shared" si="68"/>
        <v>1</v>
      </c>
      <c r="L348" s="674"/>
      <c r="M348" s="24">
        <f t="shared" si="69"/>
        <v>1</v>
      </c>
      <c r="N348" s="674"/>
      <c r="O348" s="24">
        <f t="shared" si="70"/>
        <v>1</v>
      </c>
      <c r="P348" s="674"/>
      <c r="Q348" s="24">
        <f t="shared" si="71"/>
        <v>1</v>
      </c>
      <c r="R348" s="670">
        <f t="shared" si="72"/>
        <v>0</v>
      </c>
      <c r="S348" s="322">
        <f t="shared" si="63"/>
        <v>0</v>
      </c>
    </row>
    <row r="349" spans="1:19">
      <c r="A349" s="155"/>
      <c r="B349" s="57"/>
      <c r="C349" s="24">
        <f t="shared" si="64"/>
        <v>1</v>
      </c>
      <c r="D349" s="674"/>
      <c r="E349" s="24">
        <f t="shared" si="65"/>
        <v>1</v>
      </c>
      <c r="F349" s="674"/>
      <c r="G349" s="24">
        <f t="shared" si="66"/>
        <v>1</v>
      </c>
      <c r="H349" s="674"/>
      <c r="I349" s="24">
        <f t="shared" si="67"/>
        <v>1</v>
      </c>
      <c r="J349" s="674"/>
      <c r="K349" s="24">
        <f t="shared" si="68"/>
        <v>1</v>
      </c>
      <c r="L349" s="674"/>
      <c r="M349" s="24">
        <f t="shared" si="69"/>
        <v>1</v>
      </c>
      <c r="N349" s="674"/>
      <c r="O349" s="24">
        <f t="shared" si="70"/>
        <v>1</v>
      </c>
      <c r="P349" s="674"/>
      <c r="Q349" s="24">
        <f t="shared" si="71"/>
        <v>1</v>
      </c>
      <c r="R349" s="670">
        <f t="shared" si="72"/>
        <v>0</v>
      </c>
      <c r="S349" s="322">
        <f t="shared" si="63"/>
        <v>0</v>
      </c>
    </row>
    <row r="350" spans="1:19">
      <c r="A350" s="155"/>
      <c r="B350" s="57"/>
      <c r="C350" s="24">
        <f t="shared" si="64"/>
        <v>1</v>
      </c>
      <c r="D350" s="674"/>
      <c r="E350" s="24">
        <f t="shared" si="65"/>
        <v>1</v>
      </c>
      <c r="F350" s="674"/>
      <c r="G350" s="24">
        <f t="shared" si="66"/>
        <v>1</v>
      </c>
      <c r="H350" s="674"/>
      <c r="I350" s="24">
        <f t="shared" si="67"/>
        <v>1</v>
      </c>
      <c r="J350" s="674"/>
      <c r="K350" s="24">
        <f t="shared" si="68"/>
        <v>1</v>
      </c>
      <c r="L350" s="674"/>
      <c r="M350" s="24">
        <f t="shared" si="69"/>
        <v>1</v>
      </c>
      <c r="N350" s="674"/>
      <c r="O350" s="24">
        <f t="shared" si="70"/>
        <v>1</v>
      </c>
      <c r="P350" s="674"/>
      <c r="Q350" s="24">
        <f t="shared" si="71"/>
        <v>1</v>
      </c>
      <c r="R350" s="670">
        <f t="shared" si="72"/>
        <v>0</v>
      </c>
      <c r="S350" s="322">
        <f t="shared" si="63"/>
        <v>0</v>
      </c>
    </row>
    <row r="351" spans="1:19">
      <c r="A351" s="155"/>
      <c r="B351" s="57"/>
      <c r="C351" s="24">
        <f t="shared" si="64"/>
        <v>1</v>
      </c>
      <c r="D351" s="674"/>
      <c r="E351" s="24">
        <f t="shared" si="65"/>
        <v>1</v>
      </c>
      <c r="F351" s="674"/>
      <c r="G351" s="24">
        <f t="shared" si="66"/>
        <v>1</v>
      </c>
      <c r="H351" s="674"/>
      <c r="I351" s="24">
        <f t="shared" si="67"/>
        <v>1</v>
      </c>
      <c r="J351" s="674"/>
      <c r="K351" s="24">
        <f t="shared" si="68"/>
        <v>1</v>
      </c>
      <c r="L351" s="674"/>
      <c r="M351" s="24">
        <f t="shared" si="69"/>
        <v>1</v>
      </c>
      <c r="N351" s="674"/>
      <c r="O351" s="24">
        <f t="shared" si="70"/>
        <v>1</v>
      </c>
      <c r="P351" s="674"/>
      <c r="Q351" s="24">
        <f t="shared" si="71"/>
        <v>1</v>
      </c>
      <c r="R351" s="670">
        <f t="shared" si="72"/>
        <v>0</v>
      </c>
      <c r="S351" s="322">
        <f t="shared" si="63"/>
        <v>0</v>
      </c>
    </row>
    <row r="352" spans="1:19">
      <c r="A352" s="155"/>
      <c r="B352" s="57"/>
      <c r="C352" s="24">
        <f t="shared" si="64"/>
        <v>1</v>
      </c>
      <c r="D352" s="674"/>
      <c r="E352" s="24">
        <f t="shared" si="65"/>
        <v>1</v>
      </c>
      <c r="F352" s="674"/>
      <c r="G352" s="24">
        <f t="shared" si="66"/>
        <v>1</v>
      </c>
      <c r="H352" s="674"/>
      <c r="I352" s="24">
        <f t="shared" si="67"/>
        <v>1</v>
      </c>
      <c r="J352" s="674"/>
      <c r="K352" s="24">
        <f t="shared" si="68"/>
        <v>1</v>
      </c>
      <c r="L352" s="674"/>
      <c r="M352" s="24">
        <f t="shared" si="69"/>
        <v>1</v>
      </c>
      <c r="N352" s="674"/>
      <c r="O352" s="24">
        <f t="shared" si="70"/>
        <v>1</v>
      </c>
      <c r="P352" s="674"/>
      <c r="Q352" s="24">
        <f t="shared" si="71"/>
        <v>1</v>
      </c>
      <c r="R352" s="670">
        <f t="shared" si="72"/>
        <v>0</v>
      </c>
      <c r="S352" s="322">
        <f t="shared" si="63"/>
        <v>0</v>
      </c>
    </row>
    <row r="353" spans="1:19">
      <c r="A353" s="155"/>
      <c r="B353" s="57"/>
      <c r="C353" s="24">
        <f t="shared" si="64"/>
        <v>1</v>
      </c>
      <c r="D353" s="674"/>
      <c r="E353" s="24">
        <f t="shared" si="65"/>
        <v>1</v>
      </c>
      <c r="F353" s="674"/>
      <c r="G353" s="24">
        <f t="shared" si="66"/>
        <v>1</v>
      </c>
      <c r="H353" s="674"/>
      <c r="I353" s="24">
        <f t="shared" si="67"/>
        <v>1</v>
      </c>
      <c r="J353" s="674"/>
      <c r="K353" s="24">
        <f t="shared" si="68"/>
        <v>1</v>
      </c>
      <c r="L353" s="674"/>
      <c r="M353" s="24">
        <f t="shared" si="69"/>
        <v>1</v>
      </c>
      <c r="N353" s="674"/>
      <c r="O353" s="24">
        <f t="shared" si="70"/>
        <v>1</v>
      </c>
      <c r="P353" s="674"/>
      <c r="Q353" s="24">
        <f t="shared" si="71"/>
        <v>1</v>
      </c>
      <c r="R353" s="670">
        <f t="shared" si="72"/>
        <v>0</v>
      </c>
      <c r="S353" s="322">
        <f t="shared" si="63"/>
        <v>0</v>
      </c>
    </row>
    <row r="354" spans="1:19">
      <c r="A354" s="155"/>
      <c r="B354" s="57"/>
      <c r="C354" s="24">
        <f t="shared" si="64"/>
        <v>1</v>
      </c>
      <c r="D354" s="674"/>
      <c r="E354" s="24">
        <f t="shared" si="65"/>
        <v>1</v>
      </c>
      <c r="F354" s="674"/>
      <c r="G354" s="24">
        <f t="shared" si="66"/>
        <v>1</v>
      </c>
      <c r="H354" s="674"/>
      <c r="I354" s="24">
        <f t="shared" si="67"/>
        <v>1</v>
      </c>
      <c r="J354" s="674"/>
      <c r="K354" s="24">
        <f t="shared" si="68"/>
        <v>1</v>
      </c>
      <c r="L354" s="674"/>
      <c r="M354" s="24">
        <f t="shared" si="69"/>
        <v>1</v>
      </c>
      <c r="N354" s="674"/>
      <c r="O354" s="24">
        <f t="shared" si="70"/>
        <v>1</v>
      </c>
      <c r="P354" s="674"/>
      <c r="Q354" s="24">
        <f t="shared" si="71"/>
        <v>1</v>
      </c>
      <c r="R354" s="670">
        <f t="shared" si="72"/>
        <v>0</v>
      </c>
      <c r="S354" s="322">
        <f t="shared" si="63"/>
        <v>0</v>
      </c>
    </row>
    <row r="355" spans="1:19">
      <c r="A355" s="155"/>
      <c r="B355" s="57"/>
      <c r="C355" s="24">
        <f t="shared" si="64"/>
        <v>1</v>
      </c>
      <c r="D355" s="674"/>
      <c r="E355" s="24">
        <f t="shared" si="65"/>
        <v>1</v>
      </c>
      <c r="F355" s="674"/>
      <c r="G355" s="24">
        <f t="shared" si="66"/>
        <v>1</v>
      </c>
      <c r="H355" s="674"/>
      <c r="I355" s="24">
        <f t="shared" si="67"/>
        <v>1</v>
      </c>
      <c r="J355" s="674"/>
      <c r="K355" s="24">
        <f t="shared" si="68"/>
        <v>1</v>
      </c>
      <c r="L355" s="674"/>
      <c r="M355" s="24">
        <f t="shared" si="69"/>
        <v>1</v>
      </c>
      <c r="N355" s="674"/>
      <c r="O355" s="24">
        <f t="shared" si="70"/>
        <v>1</v>
      </c>
      <c r="P355" s="674"/>
      <c r="Q355" s="24">
        <f t="shared" si="71"/>
        <v>1</v>
      </c>
      <c r="R355" s="670">
        <f t="shared" si="72"/>
        <v>0</v>
      </c>
      <c r="S355" s="322">
        <f t="shared" si="63"/>
        <v>0</v>
      </c>
    </row>
    <row r="356" spans="1:19">
      <c r="A356" s="155"/>
      <c r="B356" s="57"/>
      <c r="C356" s="24">
        <f t="shared" si="64"/>
        <v>1</v>
      </c>
      <c r="D356" s="674"/>
      <c r="E356" s="24">
        <f t="shared" si="65"/>
        <v>1</v>
      </c>
      <c r="F356" s="674"/>
      <c r="G356" s="24">
        <f t="shared" si="66"/>
        <v>1</v>
      </c>
      <c r="H356" s="674"/>
      <c r="I356" s="24">
        <f t="shared" si="67"/>
        <v>1</v>
      </c>
      <c r="J356" s="674"/>
      <c r="K356" s="24">
        <f t="shared" si="68"/>
        <v>1</v>
      </c>
      <c r="L356" s="674"/>
      <c r="M356" s="24">
        <f t="shared" si="69"/>
        <v>1</v>
      </c>
      <c r="N356" s="674"/>
      <c r="O356" s="24">
        <f t="shared" si="70"/>
        <v>1</v>
      </c>
      <c r="P356" s="674"/>
      <c r="Q356" s="24">
        <f t="shared" si="71"/>
        <v>1</v>
      </c>
      <c r="R356" s="670">
        <f t="shared" si="72"/>
        <v>0</v>
      </c>
      <c r="S356" s="322">
        <f t="shared" si="63"/>
        <v>0</v>
      </c>
    </row>
    <row r="357" spans="1:19">
      <c r="A357" s="155"/>
      <c r="B357" s="57"/>
      <c r="C357" s="24">
        <f t="shared" si="64"/>
        <v>1</v>
      </c>
      <c r="D357" s="674"/>
      <c r="E357" s="24">
        <f t="shared" si="65"/>
        <v>1</v>
      </c>
      <c r="F357" s="674"/>
      <c r="G357" s="24">
        <f t="shared" si="66"/>
        <v>1</v>
      </c>
      <c r="H357" s="674"/>
      <c r="I357" s="24">
        <f t="shared" si="67"/>
        <v>1</v>
      </c>
      <c r="J357" s="674"/>
      <c r="K357" s="24">
        <f t="shared" si="68"/>
        <v>1</v>
      </c>
      <c r="L357" s="674"/>
      <c r="M357" s="24">
        <f t="shared" si="69"/>
        <v>1</v>
      </c>
      <c r="N357" s="674"/>
      <c r="O357" s="24">
        <f t="shared" si="70"/>
        <v>1</v>
      </c>
      <c r="P357" s="674"/>
      <c r="Q357" s="24">
        <f t="shared" si="71"/>
        <v>1</v>
      </c>
      <c r="R357" s="670">
        <f t="shared" si="72"/>
        <v>0</v>
      </c>
      <c r="S357" s="322">
        <f t="shared" si="63"/>
        <v>0</v>
      </c>
    </row>
    <row r="358" spans="1:19">
      <c r="A358" s="155"/>
      <c r="B358" s="57"/>
      <c r="C358" s="24">
        <f t="shared" si="64"/>
        <v>1</v>
      </c>
      <c r="D358" s="674"/>
      <c r="E358" s="24">
        <f t="shared" si="65"/>
        <v>1</v>
      </c>
      <c r="F358" s="674"/>
      <c r="G358" s="24">
        <f t="shared" si="66"/>
        <v>1</v>
      </c>
      <c r="H358" s="674"/>
      <c r="I358" s="24">
        <f t="shared" si="67"/>
        <v>1</v>
      </c>
      <c r="J358" s="674"/>
      <c r="K358" s="24">
        <f t="shared" si="68"/>
        <v>1</v>
      </c>
      <c r="L358" s="674"/>
      <c r="M358" s="24">
        <f t="shared" si="69"/>
        <v>1</v>
      </c>
      <c r="N358" s="674"/>
      <c r="O358" s="24">
        <f t="shared" si="70"/>
        <v>1</v>
      </c>
      <c r="P358" s="674"/>
      <c r="Q358" s="24">
        <f t="shared" si="71"/>
        <v>1</v>
      </c>
      <c r="R358" s="670">
        <f t="shared" si="72"/>
        <v>0</v>
      </c>
      <c r="S358" s="322">
        <f t="shared" si="63"/>
        <v>0</v>
      </c>
    </row>
    <row r="359" spans="1:19">
      <c r="A359" s="155"/>
      <c r="B359" s="57"/>
      <c r="C359" s="24">
        <f t="shared" si="64"/>
        <v>1</v>
      </c>
      <c r="D359" s="674"/>
      <c r="E359" s="24">
        <f t="shared" si="65"/>
        <v>1</v>
      </c>
      <c r="F359" s="674"/>
      <c r="G359" s="24">
        <f t="shared" si="66"/>
        <v>1</v>
      </c>
      <c r="H359" s="674"/>
      <c r="I359" s="24">
        <f t="shared" si="67"/>
        <v>1</v>
      </c>
      <c r="J359" s="674"/>
      <c r="K359" s="24">
        <f t="shared" si="68"/>
        <v>1</v>
      </c>
      <c r="L359" s="674"/>
      <c r="M359" s="24">
        <f t="shared" si="69"/>
        <v>1</v>
      </c>
      <c r="N359" s="674"/>
      <c r="O359" s="24">
        <f t="shared" si="70"/>
        <v>1</v>
      </c>
      <c r="P359" s="674"/>
      <c r="Q359" s="24">
        <f t="shared" si="71"/>
        <v>1</v>
      </c>
      <c r="R359" s="670">
        <f t="shared" si="72"/>
        <v>0</v>
      </c>
      <c r="S359" s="322">
        <f t="shared" si="63"/>
        <v>0</v>
      </c>
    </row>
    <row r="360" spans="1:19">
      <c r="A360" s="155"/>
      <c r="B360" s="57"/>
      <c r="C360" s="24">
        <f t="shared" si="64"/>
        <v>1</v>
      </c>
      <c r="D360" s="674"/>
      <c r="E360" s="24">
        <f t="shared" si="65"/>
        <v>1</v>
      </c>
      <c r="F360" s="674"/>
      <c r="G360" s="24">
        <f t="shared" si="66"/>
        <v>1</v>
      </c>
      <c r="H360" s="674"/>
      <c r="I360" s="24">
        <f t="shared" si="67"/>
        <v>1</v>
      </c>
      <c r="J360" s="674"/>
      <c r="K360" s="24">
        <f t="shared" si="68"/>
        <v>1</v>
      </c>
      <c r="L360" s="674"/>
      <c r="M360" s="24">
        <f t="shared" si="69"/>
        <v>1</v>
      </c>
      <c r="N360" s="674"/>
      <c r="O360" s="24">
        <f t="shared" si="70"/>
        <v>1</v>
      </c>
      <c r="P360" s="674"/>
      <c r="Q360" s="24">
        <f t="shared" si="71"/>
        <v>1</v>
      </c>
      <c r="R360" s="670">
        <f t="shared" si="72"/>
        <v>0</v>
      </c>
      <c r="S360" s="322">
        <f t="shared" si="63"/>
        <v>0</v>
      </c>
    </row>
    <row r="361" spans="1:19">
      <c r="A361" s="155"/>
      <c r="B361" s="57"/>
      <c r="C361" s="24">
        <f t="shared" si="64"/>
        <v>1</v>
      </c>
      <c r="D361" s="674"/>
      <c r="E361" s="24">
        <f t="shared" si="65"/>
        <v>1</v>
      </c>
      <c r="F361" s="674"/>
      <c r="G361" s="24">
        <f t="shared" si="66"/>
        <v>1</v>
      </c>
      <c r="H361" s="674"/>
      <c r="I361" s="24">
        <f t="shared" si="67"/>
        <v>1</v>
      </c>
      <c r="J361" s="674"/>
      <c r="K361" s="24">
        <f t="shared" si="68"/>
        <v>1</v>
      </c>
      <c r="L361" s="674"/>
      <c r="M361" s="24">
        <f t="shared" si="69"/>
        <v>1</v>
      </c>
      <c r="N361" s="674"/>
      <c r="O361" s="24">
        <f t="shared" si="70"/>
        <v>1</v>
      </c>
      <c r="P361" s="674"/>
      <c r="Q361" s="24">
        <f t="shared" si="71"/>
        <v>1</v>
      </c>
      <c r="R361" s="670">
        <f t="shared" si="72"/>
        <v>0</v>
      </c>
      <c r="S361" s="322">
        <f t="shared" si="63"/>
        <v>0</v>
      </c>
    </row>
    <row r="362" spans="1:19">
      <c r="A362" s="155"/>
      <c r="B362" s="57"/>
      <c r="C362" s="24">
        <f t="shared" si="64"/>
        <v>1</v>
      </c>
      <c r="D362" s="674"/>
      <c r="E362" s="24">
        <f t="shared" si="65"/>
        <v>1</v>
      </c>
      <c r="F362" s="674"/>
      <c r="G362" s="24">
        <f t="shared" si="66"/>
        <v>1</v>
      </c>
      <c r="H362" s="674"/>
      <c r="I362" s="24">
        <f t="shared" si="67"/>
        <v>1</v>
      </c>
      <c r="J362" s="674"/>
      <c r="K362" s="24">
        <f t="shared" si="68"/>
        <v>1</v>
      </c>
      <c r="L362" s="674"/>
      <c r="M362" s="24">
        <f t="shared" si="69"/>
        <v>1</v>
      </c>
      <c r="N362" s="674"/>
      <c r="O362" s="24">
        <f t="shared" si="70"/>
        <v>1</v>
      </c>
      <c r="P362" s="674"/>
      <c r="Q362" s="24">
        <f t="shared" si="71"/>
        <v>1</v>
      </c>
      <c r="R362" s="670">
        <f t="shared" si="72"/>
        <v>0</v>
      </c>
      <c r="S362" s="322">
        <f t="shared" si="63"/>
        <v>0</v>
      </c>
    </row>
    <row r="363" spans="1:19">
      <c r="A363" s="155"/>
      <c r="B363" s="57"/>
      <c r="C363" s="24">
        <f t="shared" si="64"/>
        <v>1</v>
      </c>
      <c r="D363" s="674"/>
      <c r="E363" s="24">
        <f t="shared" si="65"/>
        <v>1</v>
      </c>
      <c r="F363" s="674"/>
      <c r="G363" s="24">
        <f t="shared" si="66"/>
        <v>1</v>
      </c>
      <c r="H363" s="674"/>
      <c r="I363" s="24">
        <f t="shared" si="67"/>
        <v>1</v>
      </c>
      <c r="J363" s="674"/>
      <c r="K363" s="24">
        <f t="shared" si="68"/>
        <v>1</v>
      </c>
      <c r="L363" s="674"/>
      <c r="M363" s="24">
        <f t="shared" si="69"/>
        <v>1</v>
      </c>
      <c r="N363" s="674"/>
      <c r="O363" s="24">
        <f t="shared" si="70"/>
        <v>1</v>
      </c>
      <c r="P363" s="674"/>
      <c r="Q363" s="24">
        <f t="shared" si="71"/>
        <v>1</v>
      </c>
      <c r="R363" s="670">
        <f t="shared" si="72"/>
        <v>0</v>
      </c>
      <c r="S363" s="322">
        <f t="shared" si="63"/>
        <v>0</v>
      </c>
    </row>
    <row r="364" spans="1:19">
      <c r="A364" s="155"/>
      <c r="B364" s="57"/>
      <c r="C364" s="24">
        <f t="shared" si="64"/>
        <v>1</v>
      </c>
      <c r="D364" s="674"/>
      <c r="E364" s="24">
        <f t="shared" si="65"/>
        <v>1</v>
      </c>
      <c r="F364" s="674"/>
      <c r="G364" s="24">
        <f t="shared" si="66"/>
        <v>1</v>
      </c>
      <c r="H364" s="674"/>
      <c r="I364" s="24">
        <f t="shared" si="67"/>
        <v>1</v>
      </c>
      <c r="J364" s="674"/>
      <c r="K364" s="24">
        <f t="shared" si="68"/>
        <v>1</v>
      </c>
      <c r="L364" s="674"/>
      <c r="M364" s="24">
        <f t="shared" si="69"/>
        <v>1</v>
      </c>
      <c r="N364" s="674"/>
      <c r="O364" s="24">
        <f t="shared" si="70"/>
        <v>1</v>
      </c>
      <c r="P364" s="674"/>
      <c r="Q364" s="24">
        <f t="shared" si="71"/>
        <v>1</v>
      </c>
      <c r="R364" s="670">
        <f t="shared" si="72"/>
        <v>0</v>
      </c>
      <c r="S364" s="322">
        <f t="shared" si="63"/>
        <v>0</v>
      </c>
    </row>
    <row r="365" spans="1:19">
      <c r="A365" s="155"/>
      <c r="B365" s="57"/>
      <c r="C365" s="24">
        <f t="shared" si="64"/>
        <v>1</v>
      </c>
      <c r="D365" s="674"/>
      <c r="E365" s="24">
        <f t="shared" si="65"/>
        <v>1</v>
      </c>
      <c r="F365" s="674"/>
      <c r="G365" s="24">
        <f t="shared" si="66"/>
        <v>1</v>
      </c>
      <c r="H365" s="674"/>
      <c r="I365" s="24">
        <f t="shared" si="67"/>
        <v>1</v>
      </c>
      <c r="J365" s="674"/>
      <c r="K365" s="24">
        <f t="shared" si="68"/>
        <v>1</v>
      </c>
      <c r="L365" s="674"/>
      <c r="M365" s="24">
        <f t="shared" si="69"/>
        <v>1</v>
      </c>
      <c r="N365" s="674"/>
      <c r="O365" s="24">
        <f t="shared" si="70"/>
        <v>1</v>
      </c>
      <c r="P365" s="674"/>
      <c r="Q365" s="24">
        <f t="shared" si="71"/>
        <v>1</v>
      </c>
      <c r="R365" s="670">
        <f t="shared" si="72"/>
        <v>0</v>
      </c>
      <c r="S365" s="322">
        <f t="shared" si="63"/>
        <v>0</v>
      </c>
    </row>
    <row r="366" spans="1:19">
      <c r="A366" s="155"/>
      <c r="B366" s="57"/>
      <c r="C366" s="24">
        <f t="shared" si="64"/>
        <v>1</v>
      </c>
      <c r="D366" s="674"/>
      <c r="E366" s="24">
        <f t="shared" si="65"/>
        <v>1</v>
      </c>
      <c r="F366" s="674"/>
      <c r="G366" s="24">
        <f t="shared" si="66"/>
        <v>1</v>
      </c>
      <c r="H366" s="674"/>
      <c r="I366" s="24">
        <f t="shared" si="67"/>
        <v>1</v>
      </c>
      <c r="J366" s="674"/>
      <c r="K366" s="24">
        <f t="shared" si="68"/>
        <v>1</v>
      </c>
      <c r="L366" s="674"/>
      <c r="M366" s="24">
        <f t="shared" si="69"/>
        <v>1</v>
      </c>
      <c r="N366" s="674"/>
      <c r="O366" s="24">
        <f t="shared" si="70"/>
        <v>1</v>
      </c>
      <c r="P366" s="674"/>
      <c r="Q366" s="24">
        <f t="shared" si="71"/>
        <v>1</v>
      </c>
      <c r="R366" s="670">
        <f t="shared" si="72"/>
        <v>0</v>
      </c>
      <c r="S366" s="322">
        <f t="shared" si="63"/>
        <v>0</v>
      </c>
    </row>
    <row r="367" spans="1:19">
      <c r="A367" s="155"/>
      <c r="B367" s="57"/>
      <c r="C367" s="24">
        <f t="shared" si="64"/>
        <v>1</v>
      </c>
      <c r="D367" s="674"/>
      <c r="E367" s="24">
        <f t="shared" si="65"/>
        <v>1</v>
      </c>
      <c r="F367" s="674"/>
      <c r="G367" s="24">
        <f t="shared" si="66"/>
        <v>1</v>
      </c>
      <c r="H367" s="674"/>
      <c r="I367" s="24">
        <f t="shared" si="67"/>
        <v>1</v>
      </c>
      <c r="J367" s="674"/>
      <c r="K367" s="24">
        <f t="shared" si="68"/>
        <v>1</v>
      </c>
      <c r="L367" s="674"/>
      <c r="M367" s="24">
        <f t="shared" si="69"/>
        <v>1</v>
      </c>
      <c r="N367" s="674"/>
      <c r="O367" s="24">
        <f t="shared" si="70"/>
        <v>1</v>
      </c>
      <c r="P367" s="674"/>
      <c r="Q367" s="24">
        <f t="shared" si="71"/>
        <v>1</v>
      </c>
      <c r="R367" s="670">
        <f t="shared" si="72"/>
        <v>0</v>
      </c>
      <c r="S367" s="322">
        <f t="shared" si="63"/>
        <v>0</v>
      </c>
    </row>
    <row r="368" spans="1:19">
      <c r="A368" s="155"/>
      <c r="B368" s="57"/>
      <c r="C368" s="24">
        <f t="shared" si="64"/>
        <v>1</v>
      </c>
      <c r="D368" s="674"/>
      <c r="E368" s="24">
        <f t="shared" si="65"/>
        <v>1</v>
      </c>
      <c r="F368" s="674"/>
      <c r="G368" s="24">
        <f t="shared" si="66"/>
        <v>1</v>
      </c>
      <c r="H368" s="674"/>
      <c r="I368" s="24">
        <f t="shared" si="67"/>
        <v>1</v>
      </c>
      <c r="J368" s="674"/>
      <c r="K368" s="24">
        <f t="shared" si="68"/>
        <v>1</v>
      </c>
      <c r="L368" s="674"/>
      <c r="M368" s="24">
        <f t="shared" si="69"/>
        <v>1</v>
      </c>
      <c r="N368" s="674"/>
      <c r="O368" s="24">
        <f t="shared" si="70"/>
        <v>1</v>
      </c>
      <c r="P368" s="674"/>
      <c r="Q368" s="24">
        <f t="shared" si="71"/>
        <v>1</v>
      </c>
      <c r="R368" s="670">
        <f t="shared" si="72"/>
        <v>0</v>
      </c>
      <c r="S368" s="322">
        <f t="shared" si="63"/>
        <v>0</v>
      </c>
    </row>
    <row r="369" spans="1:19">
      <c r="A369" s="155"/>
      <c r="B369" s="57"/>
      <c r="C369" s="24">
        <f t="shared" si="64"/>
        <v>1</v>
      </c>
      <c r="D369" s="674"/>
      <c r="E369" s="24">
        <f t="shared" si="65"/>
        <v>1</v>
      </c>
      <c r="F369" s="674"/>
      <c r="G369" s="24">
        <f t="shared" si="66"/>
        <v>1</v>
      </c>
      <c r="H369" s="674"/>
      <c r="I369" s="24">
        <f t="shared" si="67"/>
        <v>1</v>
      </c>
      <c r="J369" s="674"/>
      <c r="K369" s="24">
        <f t="shared" si="68"/>
        <v>1</v>
      </c>
      <c r="L369" s="674"/>
      <c r="M369" s="24">
        <f t="shared" si="69"/>
        <v>1</v>
      </c>
      <c r="N369" s="674"/>
      <c r="O369" s="24">
        <f t="shared" si="70"/>
        <v>1</v>
      </c>
      <c r="P369" s="674"/>
      <c r="Q369" s="24">
        <f t="shared" si="71"/>
        <v>1</v>
      </c>
      <c r="R369" s="670">
        <f t="shared" si="72"/>
        <v>0</v>
      </c>
      <c r="S369" s="322">
        <f t="shared" si="63"/>
        <v>0</v>
      </c>
    </row>
    <row r="370" spans="1:19">
      <c r="A370" s="155"/>
      <c r="B370" s="57"/>
      <c r="C370" s="24">
        <f t="shared" si="64"/>
        <v>1</v>
      </c>
      <c r="D370" s="674"/>
      <c r="E370" s="24">
        <f t="shared" si="65"/>
        <v>1</v>
      </c>
      <c r="F370" s="674"/>
      <c r="G370" s="24">
        <f t="shared" si="66"/>
        <v>1</v>
      </c>
      <c r="H370" s="674"/>
      <c r="I370" s="24">
        <f t="shared" si="67"/>
        <v>1</v>
      </c>
      <c r="J370" s="674"/>
      <c r="K370" s="24">
        <f t="shared" si="68"/>
        <v>1</v>
      </c>
      <c r="L370" s="674"/>
      <c r="M370" s="24">
        <f t="shared" si="69"/>
        <v>1</v>
      </c>
      <c r="N370" s="674"/>
      <c r="O370" s="24">
        <f t="shared" si="70"/>
        <v>1</v>
      </c>
      <c r="P370" s="674"/>
      <c r="Q370" s="24">
        <f t="shared" si="71"/>
        <v>1</v>
      </c>
      <c r="R370" s="670">
        <f t="shared" si="72"/>
        <v>0</v>
      </c>
      <c r="S370" s="322">
        <f t="shared" si="63"/>
        <v>0</v>
      </c>
    </row>
    <row r="371" spans="1:19">
      <c r="A371" s="155"/>
      <c r="B371" s="57"/>
      <c r="C371" s="24">
        <f t="shared" si="64"/>
        <v>1</v>
      </c>
      <c r="D371" s="674"/>
      <c r="E371" s="24">
        <f t="shared" si="65"/>
        <v>1</v>
      </c>
      <c r="F371" s="674"/>
      <c r="G371" s="24">
        <f t="shared" si="66"/>
        <v>1</v>
      </c>
      <c r="H371" s="674"/>
      <c r="I371" s="24">
        <f t="shared" si="67"/>
        <v>1</v>
      </c>
      <c r="J371" s="674"/>
      <c r="K371" s="24">
        <f t="shared" si="68"/>
        <v>1</v>
      </c>
      <c r="L371" s="674"/>
      <c r="M371" s="24">
        <f t="shared" si="69"/>
        <v>1</v>
      </c>
      <c r="N371" s="674"/>
      <c r="O371" s="24">
        <f t="shared" si="70"/>
        <v>1</v>
      </c>
      <c r="P371" s="674"/>
      <c r="Q371" s="24">
        <f t="shared" si="71"/>
        <v>1</v>
      </c>
      <c r="R371" s="670">
        <f t="shared" si="72"/>
        <v>0</v>
      </c>
      <c r="S371" s="322">
        <f t="shared" si="63"/>
        <v>0</v>
      </c>
    </row>
    <row r="372" spans="1:19">
      <c r="A372" s="155"/>
      <c r="B372" s="57"/>
      <c r="C372" s="24">
        <f t="shared" si="64"/>
        <v>1</v>
      </c>
      <c r="D372" s="674"/>
      <c r="E372" s="24">
        <f t="shared" si="65"/>
        <v>1</v>
      </c>
      <c r="F372" s="674"/>
      <c r="G372" s="24">
        <f t="shared" si="66"/>
        <v>1</v>
      </c>
      <c r="H372" s="674"/>
      <c r="I372" s="24">
        <f t="shared" si="67"/>
        <v>1</v>
      </c>
      <c r="J372" s="674"/>
      <c r="K372" s="24">
        <f t="shared" si="68"/>
        <v>1</v>
      </c>
      <c r="L372" s="674"/>
      <c r="M372" s="24">
        <f t="shared" si="69"/>
        <v>1</v>
      </c>
      <c r="N372" s="674"/>
      <c r="O372" s="24">
        <f t="shared" si="70"/>
        <v>1</v>
      </c>
      <c r="P372" s="674"/>
      <c r="Q372" s="24">
        <f t="shared" si="71"/>
        <v>1</v>
      </c>
      <c r="R372" s="670">
        <f t="shared" si="72"/>
        <v>0</v>
      </c>
      <c r="S372" s="322">
        <f t="shared" si="63"/>
        <v>0</v>
      </c>
    </row>
    <row r="373" spans="1:19">
      <c r="A373" s="155"/>
      <c r="B373" s="57"/>
      <c r="C373" s="24">
        <f t="shared" si="64"/>
        <v>1</v>
      </c>
      <c r="D373" s="674"/>
      <c r="E373" s="24">
        <f t="shared" si="65"/>
        <v>1</v>
      </c>
      <c r="F373" s="674"/>
      <c r="G373" s="24">
        <f t="shared" si="66"/>
        <v>1</v>
      </c>
      <c r="H373" s="674"/>
      <c r="I373" s="24">
        <f t="shared" si="67"/>
        <v>1</v>
      </c>
      <c r="J373" s="674"/>
      <c r="K373" s="24">
        <f t="shared" si="68"/>
        <v>1</v>
      </c>
      <c r="L373" s="674"/>
      <c r="M373" s="24">
        <f t="shared" si="69"/>
        <v>1</v>
      </c>
      <c r="N373" s="674"/>
      <c r="O373" s="24">
        <f t="shared" si="70"/>
        <v>1</v>
      </c>
      <c r="P373" s="674"/>
      <c r="Q373" s="24">
        <f t="shared" si="71"/>
        <v>1</v>
      </c>
      <c r="R373" s="670">
        <f t="shared" si="72"/>
        <v>0</v>
      </c>
      <c r="S373" s="322">
        <f t="shared" si="63"/>
        <v>0</v>
      </c>
    </row>
    <row r="374" spans="1:19">
      <c r="A374" s="155"/>
      <c r="B374" s="57"/>
      <c r="C374" s="24">
        <f t="shared" si="64"/>
        <v>1</v>
      </c>
      <c r="D374" s="674"/>
      <c r="E374" s="24">
        <f t="shared" si="65"/>
        <v>1</v>
      </c>
      <c r="F374" s="674"/>
      <c r="G374" s="24">
        <f t="shared" si="66"/>
        <v>1</v>
      </c>
      <c r="H374" s="674"/>
      <c r="I374" s="24">
        <f t="shared" si="67"/>
        <v>1</v>
      </c>
      <c r="J374" s="674"/>
      <c r="K374" s="24">
        <f t="shared" si="68"/>
        <v>1</v>
      </c>
      <c r="L374" s="674"/>
      <c r="M374" s="24">
        <f t="shared" si="69"/>
        <v>1</v>
      </c>
      <c r="N374" s="674"/>
      <c r="O374" s="24">
        <f t="shared" si="70"/>
        <v>1</v>
      </c>
      <c r="P374" s="674"/>
      <c r="Q374" s="24">
        <f t="shared" si="71"/>
        <v>1</v>
      </c>
      <c r="R374" s="670">
        <f t="shared" si="72"/>
        <v>0</v>
      </c>
      <c r="S374" s="322">
        <f t="shared" si="63"/>
        <v>0</v>
      </c>
    </row>
    <row r="375" spans="1:19">
      <c r="A375" s="155"/>
      <c r="B375" s="57"/>
      <c r="C375" s="24">
        <f t="shared" si="64"/>
        <v>1</v>
      </c>
      <c r="D375" s="674"/>
      <c r="E375" s="24">
        <f t="shared" si="65"/>
        <v>1</v>
      </c>
      <c r="F375" s="674"/>
      <c r="G375" s="24">
        <f t="shared" si="66"/>
        <v>1</v>
      </c>
      <c r="H375" s="674"/>
      <c r="I375" s="24">
        <f t="shared" si="67"/>
        <v>1</v>
      </c>
      <c r="J375" s="674"/>
      <c r="K375" s="24">
        <f t="shared" si="68"/>
        <v>1</v>
      </c>
      <c r="L375" s="674"/>
      <c r="M375" s="24">
        <f t="shared" si="69"/>
        <v>1</v>
      </c>
      <c r="N375" s="674"/>
      <c r="O375" s="24">
        <f t="shared" si="70"/>
        <v>1</v>
      </c>
      <c r="P375" s="674"/>
      <c r="Q375" s="24">
        <f t="shared" si="71"/>
        <v>1</v>
      </c>
      <c r="R375" s="670">
        <f t="shared" si="72"/>
        <v>0</v>
      </c>
      <c r="S375" s="322">
        <f t="shared" si="63"/>
        <v>0</v>
      </c>
    </row>
    <row r="376" spans="1:19">
      <c r="A376" s="155"/>
      <c r="B376" s="57"/>
      <c r="C376" s="24">
        <f t="shared" si="64"/>
        <v>1</v>
      </c>
      <c r="D376" s="674"/>
      <c r="E376" s="24">
        <f t="shared" si="65"/>
        <v>1</v>
      </c>
      <c r="F376" s="674"/>
      <c r="G376" s="24">
        <f t="shared" si="66"/>
        <v>1</v>
      </c>
      <c r="H376" s="674"/>
      <c r="I376" s="24">
        <f t="shared" si="67"/>
        <v>1</v>
      </c>
      <c r="J376" s="674"/>
      <c r="K376" s="24">
        <f t="shared" si="68"/>
        <v>1</v>
      </c>
      <c r="L376" s="674"/>
      <c r="M376" s="24">
        <f t="shared" si="69"/>
        <v>1</v>
      </c>
      <c r="N376" s="674"/>
      <c r="O376" s="24">
        <f t="shared" si="70"/>
        <v>1</v>
      </c>
      <c r="P376" s="674"/>
      <c r="Q376" s="24">
        <f t="shared" si="71"/>
        <v>1</v>
      </c>
      <c r="R376" s="670">
        <f t="shared" si="72"/>
        <v>0</v>
      </c>
      <c r="S376" s="322">
        <f t="shared" si="63"/>
        <v>0</v>
      </c>
    </row>
    <row r="377" spans="1:19">
      <c r="A377" s="155"/>
      <c r="B377" s="57"/>
      <c r="C377" s="24">
        <f t="shared" si="64"/>
        <v>1</v>
      </c>
      <c r="D377" s="674"/>
      <c r="E377" s="24">
        <f t="shared" si="65"/>
        <v>1</v>
      </c>
      <c r="F377" s="674"/>
      <c r="G377" s="24">
        <f t="shared" si="66"/>
        <v>1</v>
      </c>
      <c r="H377" s="674"/>
      <c r="I377" s="24">
        <f t="shared" si="67"/>
        <v>1</v>
      </c>
      <c r="J377" s="674"/>
      <c r="K377" s="24">
        <f t="shared" si="68"/>
        <v>1</v>
      </c>
      <c r="L377" s="674"/>
      <c r="M377" s="24">
        <f t="shared" si="69"/>
        <v>1</v>
      </c>
      <c r="N377" s="674"/>
      <c r="O377" s="24">
        <f t="shared" si="70"/>
        <v>1</v>
      </c>
      <c r="P377" s="674"/>
      <c r="Q377" s="24">
        <f t="shared" si="71"/>
        <v>1</v>
      </c>
      <c r="R377" s="670">
        <f t="shared" si="72"/>
        <v>0</v>
      </c>
      <c r="S377" s="322">
        <f t="shared" si="63"/>
        <v>0</v>
      </c>
    </row>
    <row r="378" spans="1:19">
      <c r="A378" s="155"/>
      <c r="B378" s="57"/>
      <c r="C378" s="24">
        <f t="shared" si="64"/>
        <v>1</v>
      </c>
      <c r="D378" s="674"/>
      <c r="E378" s="24">
        <f t="shared" si="65"/>
        <v>1</v>
      </c>
      <c r="F378" s="674"/>
      <c r="G378" s="24">
        <f t="shared" si="66"/>
        <v>1</v>
      </c>
      <c r="H378" s="674"/>
      <c r="I378" s="24">
        <f t="shared" si="67"/>
        <v>1</v>
      </c>
      <c r="J378" s="674"/>
      <c r="K378" s="24">
        <f t="shared" si="68"/>
        <v>1</v>
      </c>
      <c r="L378" s="674"/>
      <c r="M378" s="24">
        <f t="shared" si="69"/>
        <v>1</v>
      </c>
      <c r="N378" s="674"/>
      <c r="O378" s="24">
        <f t="shared" si="70"/>
        <v>1</v>
      </c>
      <c r="P378" s="674"/>
      <c r="Q378" s="24">
        <f t="shared" si="71"/>
        <v>1</v>
      </c>
      <c r="R378" s="670">
        <f t="shared" si="72"/>
        <v>0</v>
      </c>
      <c r="S378" s="322">
        <f t="shared" si="63"/>
        <v>0</v>
      </c>
    </row>
    <row r="379" spans="1:19">
      <c r="A379" s="155"/>
      <c r="B379" s="57"/>
      <c r="C379" s="24">
        <f t="shared" si="64"/>
        <v>1</v>
      </c>
      <c r="D379" s="674"/>
      <c r="E379" s="24">
        <f t="shared" si="65"/>
        <v>1</v>
      </c>
      <c r="F379" s="674"/>
      <c r="G379" s="24">
        <f t="shared" si="66"/>
        <v>1</v>
      </c>
      <c r="H379" s="674"/>
      <c r="I379" s="24">
        <f t="shared" si="67"/>
        <v>1</v>
      </c>
      <c r="J379" s="674"/>
      <c r="K379" s="24">
        <f t="shared" si="68"/>
        <v>1</v>
      </c>
      <c r="L379" s="674"/>
      <c r="M379" s="24">
        <f t="shared" si="69"/>
        <v>1</v>
      </c>
      <c r="N379" s="674"/>
      <c r="O379" s="24">
        <f t="shared" si="70"/>
        <v>1</v>
      </c>
      <c r="P379" s="674"/>
      <c r="Q379" s="24">
        <f t="shared" si="71"/>
        <v>1</v>
      </c>
      <c r="R379" s="670">
        <f t="shared" si="72"/>
        <v>0</v>
      </c>
      <c r="S379" s="322">
        <f t="shared" si="63"/>
        <v>0</v>
      </c>
    </row>
    <row r="380" spans="1:19">
      <c r="A380" s="155"/>
      <c r="B380" s="57"/>
      <c r="C380" s="24">
        <f t="shared" si="64"/>
        <v>1</v>
      </c>
      <c r="D380" s="674"/>
      <c r="E380" s="24">
        <f t="shared" si="65"/>
        <v>1</v>
      </c>
      <c r="F380" s="674"/>
      <c r="G380" s="24">
        <f t="shared" si="66"/>
        <v>1</v>
      </c>
      <c r="H380" s="674"/>
      <c r="I380" s="24">
        <f t="shared" si="67"/>
        <v>1</v>
      </c>
      <c r="J380" s="674"/>
      <c r="K380" s="24">
        <f t="shared" si="68"/>
        <v>1</v>
      </c>
      <c r="L380" s="674"/>
      <c r="M380" s="24">
        <f t="shared" si="69"/>
        <v>1</v>
      </c>
      <c r="N380" s="674"/>
      <c r="O380" s="24">
        <f t="shared" si="70"/>
        <v>1</v>
      </c>
      <c r="P380" s="674"/>
      <c r="Q380" s="24">
        <f t="shared" si="71"/>
        <v>1</v>
      </c>
      <c r="R380" s="670">
        <f t="shared" si="72"/>
        <v>0</v>
      </c>
      <c r="S380" s="322">
        <f t="shared" si="63"/>
        <v>0</v>
      </c>
    </row>
    <row r="381" spans="1:19">
      <c r="A381" s="155"/>
      <c r="B381" s="57"/>
      <c r="C381" s="24">
        <f t="shared" si="64"/>
        <v>1</v>
      </c>
      <c r="D381" s="674"/>
      <c r="E381" s="24">
        <f t="shared" si="65"/>
        <v>1</v>
      </c>
      <c r="F381" s="674"/>
      <c r="G381" s="24">
        <f t="shared" si="66"/>
        <v>1</v>
      </c>
      <c r="H381" s="674"/>
      <c r="I381" s="24">
        <f t="shared" si="67"/>
        <v>1</v>
      </c>
      <c r="J381" s="674"/>
      <c r="K381" s="24">
        <f t="shared" si="68"/>
        <v>1</v>
      </c>
      <c r="L381" s="674"/>
      <c r="M381" s="24">
        <f t="shared" si="69"/>
        <v>1</v>
      </c>
      <c r="N381" s="674"/>
      <c r="O381" s="24">
        <f t="shared" si="70"/>
        <v>1</v>
      </c>
      <c r="P381" s="674"/>
      <c r="Q381" s="24">
        <f t="shared" si="71"/>
        <v>1</v>
      </c>
      <c r="R381" s="670">
        <f t="shared" si="72"/>
        <v>0</v>
      </c>
      <c r="S381" s="322">
        <f t="shared" si="63"/>
        <v>0</v>
      </c>
    </row>
    <row r="382" spans="1:19">
      <c r="A382" s="155"/>
      <c r="B382" s="57"/>
      <c r="C382" s="24">
        <f t="shared" si="64"/>
        <v>1</v>
      </c>
      <c r="D382" s="674"/>
      <c r="E382" s="24">
        <f t="shared" si="65"/>
        <v>1</v>
      </c>
      <c r="F382" s="674"/>
      <c r="G382" s="24">
        <f t="shared" si="66"/>
        <v>1</v>
      </c>
      <c r="H382" s="674"/>
      <c r="I382" s="24">
        <f t="shared" si="67"/>
        <v>1</v>
      </c>
      <c r="J382" s="674"/>
      <c r="K382" s="24">
        <f t="shared" si="68"/>
        <v>1</v>
      </c>
      <c r="L382" s="674"/>
      <c r="M382" s="24">
        <f t="shared" si="69"/>
        <v>1</v>
      </c>
      <c r="N382" s="674"/>
      <c r="O382" s="24">
        <f t="shared" si="70"/>
        <v>1</v>
      </c>
      <c r="P382" s="674"/>
      <c r="Q382" s="24">
        <f t="shared" si="71"/>
        <v>1</v>
      </c>
      <c r="R382" s="670">
        <f t="shared" si="72"/>
        <v>0</v>
      </c>
      <c r="S382" s="322">
        <f t="shared" si="63"/>
        <v>0</v>
      </c>
    </row>
    <row r="383" spans="1:19">
      <c r="A383" s="155"/>
      <c r="B383" s="57"/>
      <c r="C383" s="24">
        <f t="shared" si="64"/>
        <v>1</v>
      </c>
      <c r="D383" s="674"/>
      <c r="E383" s="24">
        <f t="shared" si="65"/>
        <v>1</v>
      </c>
      <c r="F383" s="674"/>
      <c r="G383" s="24">
        <f t="shared" si="66"/>
        <v>1</v>
      </c>
      <c r="H383" s="674"/>
      <c r="I383" s="24">
        <f t="shared" si="67"/>
        <v>1</v>
      </c>
      <c r="J383" s="674"/>
      <c r="K383" s="24">
        <f t="shared" si="68"/>
        <v>1</v>
      </c>
      <c r="L383" s="674"/>
      <c r="M383" s="24">
        <f t="shared" si="69"/>
        <v>1</v>
      </c>
      <c r="N383" s="674"/>
      <c r="O383" s="24">
        <f t="shared" si="70"/>
        <v>1</v>
      </c>
      <c r="P383" s="674"/>
      <c r="Q383" s="24">
        <f t="shared" si="71"/>
        <v>1</v>
      </c>
      <c r="R383" s="670">
        <f t="shared" si="72"/>
        <v>0</v>
      </c>
      <c r="S383" s="322">
        <f t="shared" si="63"/>
        <v>0</v>
      </c>
    </row>
    <row r="384" spans="1:19">
      <c r="A384" s="155"/>
      <c r="B384" s="57"/>
      <c r="C384" s="24">
        <f t="shared" si="64"/>
        <v>1</v>
      </c>
      <c r="D384" s="674"/>
      <c r="E384" s="24">
        <f t="shared" si="65"/>
        <v>1</v>
      </c>
      <c r="F384" s="674"/>
      <c r="G384" s="24">
        <f t="shared" si="66"/>
        <v>1</v>
      </c>
      <c r="H384" s="674"/>
      <c r="I384" s="24">
        <f t="shared" si="67"/>
        <v>1</v>
      </c>
      <c r="J384" s="674"/>
      <c r="K384" s="24">
        <f t="shared" si="68"/>
        <v>1</v>
      </c>
      <c r="L384" s="674"/>
      <c r="M384" s="24">
        <f t="shared" si="69"/>
        <v>1</v>
      </c>
      <c r="N384" s="674"/>
      <c r="O384" s="24">
        <f t="shared" si="70"/>
        <v>1</v>
      </c>
      <c r="P384" s="674"/>
      <c r="Q384" s="24">
        <f t="shared" si="71"/>
        <v>1</v>
      </c>
      <c r="R384" s="670">
        <f t="shared" si="72"/>
        <v>0</v>
      </c>
      <c r="S384" s="322">
        <f t="shared" si="63"/>
        <v>0</v>
      </c>
    </row>
    <row r="385" spans="1:19">
      <c r="A385" s="155"/>
      <c r="B385" s="57"/>
      <c r="C385" s="24">
        <f t="shared" si="64"/>
        <v>1</v>
      </c>
      <c r="D385" s="674"/>
      <c r="E385" s="24">
        <f t="shared" si="65"/>
        <v>1</v>
      </c>
      <c r="F385" s="674"/>
      <c r="G385" s="24">
        <f t="shared" si="66"/>
        <v>1</v>
      </c>
      <c r="H385" s="674"/>
      <c r="I385" s="24">
        <f t="shared" si="67"/>
        <v>1</v>
      </c>
      <c r="J385" s="674"/>
      <c r="K385" s="24">
        <f t="shared" si="68"/>
        <v>1</v>
      </c>
      <c r="L385" s="674"/>
      <c r="M385" s="24">
        <f t="shared" si="69"/>
        <v>1</v>
      </c>
      <c r="N385" s="674"/>
      <c r="O385" s="24">
        <f t="shared" si="70"/>
        <v>1</v>
      </c>
      <c r="P385" s="674"/>
      <c r="Q385" s="24">
        <f t="shared" si="71"/>
        <v>1</v>
      </c>
      <c r="R385" s="670">
        <f t="shared" si="72"/>
        <v>0</v>
      </c>
      <c r="S385" s="322">
        <f t="shared" ref="S385:S422" si="73">ROUND(R385*B385/10000,0)</f>
        <v>0</v>
      </c>
    </row>
    <row r="386" spans="1:19">
      <c r="A386" s="155"/>
      <c r="B386" s="57"/>
      <c r="C386" s="24">
        <f t="shared" si="64"/>
        <v>1</v>
      </c>
      <c r="D386" s="674"/>
      <c r="E386" s="24">
        <f t="shared" si="65"/>
        <v>1</v>
      </c>
      <c r="F386" s="674"/>
      <c r="G386" s="24">
        <f t="shared" si="66"/>
        <v>1</v>
      </c>
      <c r="H386" s="674"/>
      <c r="I386" s="24">
        <f t="shared" si="67"/>
        <v>1</v>
      </c>
      <c r="J386" s="674"/>
      <c r="K386" s="24">
        <f t="shared" si="68"/>
        <v>1</v>
      </c>
      <c r="L386" s="674"/>
      <c r="M386" s="24">
        <f t="shared" si="69"/>
        <v>1</v>
      </c>
      <c r="N386" s="674"/>
      <c r="O386" s="24">
        <f t="shared" si="70"/>
        <v>1</v>
      </c>
      <c r="P386" s="674"/>
      <c r="Q386" s="24">
        <f t="shared" si="71"/>
        <v>1</v>
      </c>
      <c r="R386" s="670">
        <f t="shared" si="72"/>
        <v>0</v>
      </c>
      <c r="S386" s="322">
        <f t="shared" si="73"/>
        <v>0</v>
      </c>
    </row>
    <row r="387" spans="1:19">
      <c r="A387" s="155"/>
      <c r="B387" s="57"/>
      <c r="C387" s="24">
        <f t="shared" si="64"/>
        <v>1</v>
      </c>
      <c r="D387" s="674"/>
      <c r="E387" s="24">
        <f t="shared" si="65"/>
        <v>1</v>
      </c>
      <c r="F387" s="674"/>
      <c r="G387" s="24">
        <f t="shared" si="66"/>
        <v>1</v>
      </c>
      <c r="H387" s="674"/>
      <c r="I387" s="24">
        <f t="shared" si="67"/>
        <v>1</v>
      </c>
      <c r="J387" s="674"/>
      <c r="K387" s="24">
        <f t="shared" si="68"/>
        <v>1</v>
      </c>
      <c r="L387" s="674"/>
      <c r="M387" s="24">
        <f t="shared" si="69"/>
        <v>1</v>
      </c>
      <c r="N387" s="674"/>
      <c r="O387" s="24">
        <f t="shared" si="70"/>
        <v>1</v>
      </c>
      <c r="P387" s="674"/>
      <c r="Q387" s="24">
        <f t="shared" si="71"/>
        <v>1</v>
      </c>
      <c r="R387" s="670">
        <f t="shared" si="72"/>
        <v>0</v>
      </c>
      <c r="S387" s="322">
        <f t="shared" si="73"/>
        <v>0</v>
      </c>
    </row>
    <row r="388" spans="1:19">
      <c r="A388" s="155"/>
      <c r="B388" s="57"/>
      <c r="C388" s="24">
        <f t="shared" si="64"/>
        <v>1</v>
      </c>
      <c r="D388" s="674"/>
      <c r="E388" s="24">
        <f t="shared" si="65"/>
        <v>1</v>
      </c>
      <c r="F388" s="674"/>
      <c r="G388" s="24">
        <f t="shared" si="66"/>
        <v>1</v>
      </c>
      <c r="H388" s="674"/>
      <c r="I388" s="24">
        <f t="shared" si="67"/>
        <v>1</v>
      </c>
      <c r="J388" s="674"/>
      <c r="K388" s="24">
        <f t="shared" si="68"/>
        <v>1</v>
      </c>
      <c r="L388" s="674"/>
      <c r="M388" s="24">
        <f t="shared" si="69"/>
        <v>1</v>
      </c>
      <c r="N388" s="674"/>
      <c r="O388" s="24">
        <f t="shared" si="70"/>
        <v>1</v>
      </c>
      <c r="P388" s="674"/>
      <c r="Q388" s="24">
        <f t="shared" si="71"/>
        <v>1</v>
      </c>
      <c r="R388" s="670">
        <f t="shared" si="72"/>
        <v>0</v>
      </c>
      <c r="S388" s="322">
        <f t="shared" si="73"/>
        <v>0</v>
      </c>
    </row>
    <row r="389" spans="1:19">
      <c r="A389" s="155"/>
      <c r="B389" s="57"/>
      <c r="C389" s="24">
        <f t="shared" si="64"/>
        <v>1</v>
      </c>
      <c r="D389" s="674"/>
      <c r="E389" s="24">
        <f t="shared" si="65"/>
        <v>1</v>
      </c>
      <c r="F389" s="674"/>
      <c r="G389" s="24">
        <f t="shared" si="66"/>
        <v>1</v>
      </c>
      <c r="H389" s="674"/>
      <c r="I389" s="24">
        <f t="shared" si="67"/>
        <v>1</v>
      </c>
      <c r="J389" s="674"/>
      <c r="K389" s="24">
        <f t="shared" si="68"/>
        <v>1</v>
      </c>
      <c r="L389" s="674"/>
      <c r="M389" s="24">
        <f t="shared" si="69"/>
        <v>1</v>
      </c>
      <c r="N389" s="674"/>
      <c r="O389" s="24">
        <f t="shared" si="70"/>
        <v>1</v>
      </c>
      <c r="P389" s="674"/>
      <c r="Q389" s="24">
        <f t="shared" si="71"/>
        <v>1</v>
      </c>
      <c r="R389" s="670">
        <f t="shared" si="72"/>
        <v>0</v>
      </c>
      <c r="S389" s="322">
        <f t="shared" si="73"/>
        <v>0</v>
      </c>
    </row>
    <row r="390" spans="1:19">
      <c r="A390" s="155"/>
      <c r="B390" s="57"/>
      <c r="C390" s="24">
        <f t="shared" si="64"/>
        <v>1</v>
      </c>
      <c r="D390" s="674"/>
      <c r="E390" s="24">
        <f t="shared" si="65"/>
        <v>1</v>
      </c>
      <c r="F390" s="674"/>
      <c r="G390" s="24">
        <f t="shared" si="66"/>
        <v>1</v>
      </c>
      <c r="H390" s="674"/>
      <c r="I390" s="24">
        <f t="shared" si="67"/>
        <v>1</v>
      </c>
      <c r="J390" s="674"/>
      <c r="K390" s="24">
        <f t="shared" si="68"/>
        <v>1</v>
      </c>
      <c r="L390" s="674"/>
      <c r="M390" s="24">
        <f t="shared" si="69"/>
        <v>1</v>
      </c>
      <c r="N390" s="674"/>
      <c r="O390" s="24">
        <f t="shared" si="70"/>
        <v>1</v>
      </c>
      <c r="P390" s="674"/>
      <c r="Q390" s="24">
        <f t="shared" si="71"/>
        <v>1</v>
      </c>
      <c r="R390" s="670">
        <f t="shared" si="72"/>
        <v>0</v>
      </c>
      <c r="S390" s="322">
        <f t="shared" si="73"/>
        <v>0</v>
      </c>
    </row>
    <row r="391" spans="1:19">
      <c r="A391" s="155"/>
      <c r="B391" s="57"/>
      <c r="C391" s="24">
        <f t="shared" si="64"/>
        <v>1</v>
      </c>
      <c r="D391" s="674"/>
      <c r="E391" s="24">
        <f t="shared" si="65"/>
        <v>1</v>
      </c>
      <c r="F391" s="674"/>
      <c r="G391" s="24">
        <f t="shared" si="66"/>
        <v>1</v>
      </c>
      <c r="H391" s="674"/>
      <c r="I391" s="24">
        <f t="shared" si="67"/>
        <v>1</v>
      </c>
      <c r="J391" s="674"/>
      <c r="K391" s="24">
        <f t="shared" si="68"/>
        <v>1</v>
      </c>
      <c r="L391" s="674"/>
      <c r="M391" s="24">
        <f t="shared" si="69"/>
        <v>1</v>
      </c>
      <c r="N391" s="674"/>
      <c r="O391" s="24">
        <f t="shared" si="70"/>
        <v>1</v>
      </c>
      <c r="P391" s="674"/>
      <c r="Q391" s="24">
        <f t="shared" si="71"/>
        <v>1</v>
      </c>
      <c r="R391" s="670">
        <f t="shared" si="72"/>
        <v>0</v>
      </c>
      <c r="S391" s="322">
        <f t="shared" si="73"/>
        <v>0</v>
      </c>
    </row>
    <row r="392" spans="1:19">
      <c r="A392" s="155"/>
      <c r="B392" s="57"/>
      <c r="C392" s="24">
        <f t="shared" si="64"/>
        <v>1</v>
      </c>
      <c r="D392" s="674"/>
      <c r="E392" s="24">
        <f t="shared" si="65"/>
        <v>1</v>
      </c>
      <c r="F392" s="674"/>
      <c r="G392" s="24">
        <f t="shared" si="66"/>
        <v>1</v>
      </c>
      <c r="H392" s="674"/>
      <c r="I392" s="24">
        <f t="shared" si="67"/>
        <v>1</v>
      </c>
      <c r="J392" s="674"/>
      <c r="K392" s="24">
        <f t="shared" si="68"/>
        <v>1</v>
      </c>
      <c r="L392" s="674"/>
      <c r="M392" s="24">
        <f t="shared" si="69"/>
        <v>1</v>
      </c>
      <c r="N392" s="674"/>
      <c r="O392" s="24">
        <f t="shared" si="70"/>
        <v>1</v>
      </c>
      <c r="P392" s="674"/>
      <c r="Q392" s="24">
        <f t="shared" si="71"/>
        <v>1</v>
      </c>
      <c r="R392" s="670">
        <f t="shared" si="72"/>
        <v>0</v>
      </c>
      <c r="S392" s="322">
        <f t="shared" si="73"/>
        <v>0</v>
      </c>
    </row>
    <row r="393" spans="1:19">
      <c r="A393" s="155"/>
      <c r="B393" s="57"/>
      <c r="C393" s="24">
        <f t="shared" si="64"/>
        <v>1</v>
      </c>
      <c r="D393" s="674"/>
      <c r="E393" s="24">
        <f t="shared" si="65"/>
        <v>1</v>
      </c>
      <c r="F393" s="674"/>
      <c r="G393" s="24">
        <f t="shared" si="66"/>
        <v>1</v>
      </c>
      <c r="H393" s="674"/>
      <c r="I393" s="24">
        <f t="shared" si="67"/>
        <v>1</v>
      </c>
      <c r="J393" s="674"/>
      <c r="K393" s="24">
        <f t="shared" si="68"/>
        <v>1</v>
      </c>
      <c r="L393" s="674"/>
      <c r="M393" s="24">
        <f t="shared" si="69"/>
        <v>1</v>
      </c>
      <c r="N393" s="674"/>
      <c r="O393" s="24">
        <f t="shared" si="70"/>
        <v>1</v>
      </c>
      <c r="P393" s="674"/>
      <c r="Q393" s="24">
        <f t="shared" si="71"/>
        <v>1</v>
      </c>
      <c r="R393" s="670">
        <f t="shared" si="72"/>
        <v>0</v>
      </c>
      <c r="S393" s="322">
        <f t="shared" si="73"/>
        <v>0</v>
      </c>
    </row>
    <row r="394" spans="1:19">
      <c r="A394" s="155"/>
      <c r="B394" s="57"/>
      <c r="C394" s="24">
        <f t="shared" si="64"/>
        <v>1</v>
      </c>
      <c r="D394" s="674"/>
      <c r="E394" s="24">
        <f t="shared" si="65"/>
        <v>1</v>
      </c>
      <c r="F394" s="674"/>
      <c r="G394" s="24">
        <f t="shared" si="66"/>
        <v>1</v>
      </c>
      <c r="H394" s="674"/>
      <c r="I394" s="24">
        <f t="shared" si="67"/>
        <v>1</v>
      </c>
      <c r="J394" s="674"/>
      <c r="K394" s="24">
        <f t="shared" si="68"/>
        <v>1</v>
      </c>
      <c r="L394" s="674"/>
      <c r="M394" s="24">
        <f t="shared" si="69"/>
        <v>1</v>
      </c>
      <c r="N394" s="674"/>
      <c r="O394" s="24">
        <f t="shared" si="70"/>
        <v>1</v>
      </c>
      <c r="P394" s="674"/>
      <c r="Q394" s="24">
        <f t="shared" si="71"/>
        <v>1</v>
      </c>
      <c r="R394" s="670">
        <f t="shared" si="72"/>
        <v>0</v>
      </c>
      <c r="S394" s="322">
        <f t="shared" si="73"/>
        <v>0</v>
      </c>
    </row>
    <row r="395" spans="1:19">
      <c r="A395" s="155"/>
      <c r="B395" s="57"/>
      <c r="C395" s="24">
        <f t="shared" si="64"/>
        <v>1</v>
      </c>
      <c r="D395" s="674"/>
      <c r="E395" s="24">
        <f t="shared" si="65"/>
        <v>1</v>
      </c>
      <c r="F395" s="674"/>
      <c r="G395" s="24">
        <f t="shared" si="66"/>
        <v>1</v>
      </c>
      <c r="H395" s="674"/>
      <c r="I395" s="24">
        <f t="shared" si="67"/>
        <v>1</v>
      </c>
      <c r="J395" s="674"/>
      <c r="K395" s="24">
        <f t="shared" si="68"/>
        <v>1</v>
      </c>
      <c r="L395" s="674"/>
      <c r="M395" s="24">
        <f t="shared" si="69"/>
        <v>1</v>
      </c>
      <c r="N395" s="674"/>
      <c r="O395" s="24">
        <f t="shared" si="70"/>
        <v>1</v>
      </c>
      <c r="P395" s="674"/>
      <c r="Q395" s="24">
        <f t="shared" si="71"/>
        <v>1</v>
      </c>
      <c r="R395" s="670">
        <f t="shared" si="72"/>
        <v>0</v>
      </c>
      <c r="S395" s="322">
        <f t="shared" si="73"/>
        <v>0</v>
      </c>
    </row>
    <row r="396" spans="1:19">
      <c r="A396" s="155"/>
      <c r="B396" s="57"/>
      <c r="C396" s="24">
        <f t="shared" si="64"/>
        <v>1</v>
      </c>
      <c r="D396" s="674"/>
      <c r="E396" s="24">
        <f t="shared" si="65"/>
        <v>1</v>
      </c>
      <c r="F396" s="674"/>
      <c r="G396" s="24">
        <f t="shared" si="66"/>
        <v>1</v>
      </c>
      <c r="H396" s="674"/>
      <c r="I396" s="24">
        <f t="shared" si="67"/>
        <v>1</v>
      </c>
      <c r="J396" s="674"/>
      <c r="K396" s="24">
        <f t="shared" si="68"/>
        <v>1</v>
      </c>
      <c r="L396" s="674"/>
      <c r="M396" s="24">
        <f t="shared" si="69"/>
        <v>1</v>
      </c>
      <c r="N396" s="674"/>
      <c r="O396" s="24">
        <f t="shared" si="70"/>
        <v>1</v>
      </c>
      <c r="P396" s="674"/>
      <c r="Q396" s="24">
        <f t="shared" si="71"/>
        <v>1</v>
      </c>
      <c r="R396" s="670">
        <f t="shared" si="72"/>
        <v>0</v>
      </c>
      <c r="S396" s="322">
        <f t="shared" si="73"/>
        <v>0</v>
      </c>
    </row>
    <row r="397" spans="1:19">
      <c r="A397" s="155"/>
      <c r="B397" s="57"/>
      <c r="C397" s="24">
        <f t="shared" si="64"/>
        <v>1</v>
      </c>
      <c r="D397" s="674"/>
      <c r="E397" s="24">
        <f t="shared" si="65"/>
        <v>1</v>
      </c>
      <c r="F397" s="674"/>
      <c r="G397" s="24">
        <f t="shared" si="66"/>
        <v>1</v>
      </c>
      <c r="H397" s="674"/>
      <c r="I397" s="24">
        <f t="shared" si="67"/>
        <v>1</v>
      </c>
      <c r="J397" s="674"/>
      <c r="K397" s="24">
        <f t="shared" si="68"/>
        <v>1</v>
      </c>
      <c r="L397" s="674"/>
      <c r="M397" s="24">
        <f t="shared" si="69"/>
        <v>1</v>
      </c>
      <c r="N397" s="674"/>
      <c r="O397" s="24">
        <f t="shared" si="70"/>
        <v>1</v>
      </c>
      <c r="P397" s="674"/>
      <c r="Q397" s="24">
        <f t="shared" si="71"/>
        <v>1</v>
      </c>
      <c r="R397" s="670">
        <f t="shared" si="72"/>
        <v>0</v>
      </c>
      <c r="S397" s="322">
        <f t="shared" si="73"/>
        <v>0</v>
      </c>
    </row>
    <row r="398" spans="1:19">
      <c r="A398" s="155"/>
      <c r="B398" s="57"/>
      <c r="C398" s="24">
        <f t="shared" si="64"/>
        <v>1</v>
      </c>
      <c r="D398" s="674"/>
      <c r="E398" s="24">
        <f t="shared" si="65"/>
        <v>1</v>
      </c>
      <c r="F398" s="674"/>
      <c r="G398" s="24">
        <f t="shared" si="66"/>
        <v>1</v>
      </c>
      <c r="H398" s="674"/>
      <c r="I398" s="24">
        <f t="shared" si="67"/>
        <v>1</v>
      </c>
      <c r="J398" s="674"/>
      <c r="K398" s="24">
        <f t="shared" si="68"/>
        <v>1</v>
      </c>
      <c r="L398" s="674"/>
      <c r="M398" s="24">
        <f t="shared" si="69"/>
        <v>1</v>
      </c>
      <c r="N398" s="674"/>
      <c r="O398" s="24">
        <f t="shared" si="70"/>
        <v>1</v>
      </c>
      <c r="P398" s="674"/>
      <c r="Q398" s="24">
        <f t="shared" si="71"/>
        <v>1</v>
      </c>
      <c r="R398" s="670">
        <f t="shared" si="72"/>
        <v>0</v>
      </c>
      <c r="S398" s="322">
        <f t="shared" si="73"/>
        <v>0</v>
      </c>
    </row>
    <row r="399" spans="1:19">
      <c r="A399" s="155"/>
      <c r="B399" s="57"/>
      <c r="C399" s="24">
        <f t="shared" si="64"/>
        <v>1</v>
      </c>
      <c r="D399" s="674"/>
      <c r="E399" s="24">
        <f t="shared" si="65"/>
        <v>1</v>
      </c>
      <c r="F399" s="674"/>
      <c r="G399" s="24">
        <f t="shared" si="66"/>
        <v>1</v>
      </c>
      <c r="H399" s="674"/>
      <c r="I399" s="24">
        <f t="shared" si="67"/>
        <v>1</v>
      </c>
      <c r="J399" s="674"/>
      <c r="K399" s="24">
        <f t="shared" si="68"/>
        <v>1</v>
      </c>
      <c r="L399" s="674"/>
      <c r="M399" s="24">
        <f t="shared" si="69"/>
        <v>1</v>
      </c>
      <c r="N399" s="674"/>
      <c r="O399" s="24">
        <f t="shared" si="70"/>
        <v>1</v>
      </c>
      <c r="P399" s="674"/>
      <c r="Q399" s="24">
        <f t="shared" si="71"/>
        <v>1</v>
      </c>
      <c r="R399" s="670">
        <f t="shared" si="72"/>
        <v>0</v>
      </c>
      <c r="S399" s="322">
        <f t="shared" si="73"/>
        <v>0</v>
      </c>
    </row>
    <row r="400" spans="1:19">
      <c r="A400" s="155"/>
      <c r="B400" s="57"/>
      <c r="C400" s="24">
        <f t="shared" si="64"/>
        <v>1</v>
      </c>
      <c r="D400" s="674"/>
      <c r="E400" s="24">
        <f t="shared" si="65"/>
        <v>1</v>
      </c>
      <c r="F400" s="674"/>
      <c r="G400" s="24">
        <f t="shared" si="66"/>
        <v>1</v>
      </c>
      <c r="H400" s="674"/>
      <c r="I400" s="24">
        <f t="shared" si="67"/>
        <v>1</v>
      </c>
      <c r="J400" s="674"/>
      <c r="K400" s="24">
        <f t="shared" si="68"/>
        <v>1</v>
      </c>
      <c r="L400" s="674"/>
      <c r="M400" s="24">
        <f t="shared" si="69"/>
        <v>1</v>
      </c>
      <c r="N400" s="674"/>
      <c r="O400" s="24">
        <f t="shared" si="70"/>
        <v>1</v>
      </c>
      <c r="P400" s="674"/>
      <c r="Q400" s="24">
        <f t="shared" si="71"/>
        <v>1</v>
      </c>
      <c r="R400" s="670">
        <f t="shared" si="72"/>
        <v>0</v>
      </c>
      <c r="S400" s="322">
        <f t="shared" si="73"/>
        <v>0</v>
      </c>
    </row>
    <row r="401" spans="1:19">
      <c r="A401" s="155"/>
      <c r="B401" s="57"/>
      <c r="C401" s="24">
        <f t="shared" si="64"/>
        <v>1</v>
      </c>
      <c r="D401" s="674"/>
      <c r="E401" s="24">
        <f t="shared" si="65"/>
        <v>1</v>
      </c>
      <c r="F401" s="674"/>
      <c r="G401" s="24">
        <f t="shared" si="66"/>
        <v>1</v>
      </c>
      <c r="H401" s="674"/>
      <c r="I401" s="24">
        <f t="shared" si="67"/>
        <v>1</v>
      </c>
      <c r="J401" s="674"/>
      <c r="K401" s="24">
        <f t="shared" si="68"/>
        <v>1</v>
      </c>
      <c r="L401" s="674"/>
      <c r="M401" s="24">
        <f t="shared" si="69"/>
        <v>1</v>
      </c>
      <c r="N401" s="674"/>
      <c r="O401" s="24">
        <f t="shared" si="70"/>
        <v>1</v>
      </c>
      <c r="P401" s="674"/>
      <c r="Q401" s="24">
        <f t="shared" si="71"/>
        <v>1</v>
      </c>
      <c r="R401" s="670">
        <f t="shared" si="72"/>
        <v>0</v>
      </c>
      <c r="S401" s="322">
        <f t="shared" si="73"/>
        <v>0</v>
      </c>
    </row>
    <row r="402" spans="1:19">
      <c r="A402" s="155"/>
      <c r="B402" s="57"/>
      <c r="C402" s="24">
        <f t="shared" si="64"/>
        <v>1</v>
      </c>
      <c r="D402" s="674"/>
      <c r="E402" s="24">
        <f t="shared" si="65"/>
        <v>1</v>
      </c>
      <c r="F402" s="674"/>
      <c r="G402" s="24">
        <f t="shared" si="66"/>
        <v>1</v>
      </c>
      <c r="H402" s="674"/>
      <c r="I402" s="24">
        <f t="shared" si="67"/>
        <v>1</v>
      </c>
      <c r="J402" s="674"/>
      <c r="K402" s="24">
        <f t="shared" si="68"/>
        <v>1</v>
      </c>
      <c r="L402" s="674"/>
      <c r="M402" s="24">
        <f t="shared" si="69"/>
        <v>1</v>
      </c>
      <c r="N402" s="674"/>
      <c r="O402" s="24">
        <f t="shared" si="70"/>
        <v>1</v>
      </c>
      <c r="P402" s="674"/>
      <c r="Q402" s="24">
        <f t="shared" si="71"/>
        <v>1</v>
      </c>
      <c r="R402" s="670">
        <f t="shared" si="72"/>
        <v>0</v>
      </c>
      <c r="S402" s="322">
        <f t="shared" si="73"/>
        <v>0</v>
      </c>
    </row>
    <row r="403" spans="1:19">
      <c r="A403" s="155"/>
      <c r="B403" s="57"/>
      <c r="C403" s="24">
        <f t="shared" si="64"/>
        <v>1</v>
      </c>
      <c r="D403" s="674"/>
      <c r="E403" s="24">
        <f t="shared" si="65"/>
        <v>1</v>
      </c>
      <c r="F403" s="674"/>
      <c r="G403" s="24">
        <f t="shared" si="66"/>
        <v>1</v>
      </c>
      <c r="H403" s="674"/>
      <c r="I403" s="24">
        <f t="shared" si="67"/>
        <v>1</v>
      </c>
      <c r="J403" s="674"/>
      <c r="K403" s="24">
        <f t="shared" si="68"/>
        <v>1</v>
      </c>
      <c r="L403" s="674"/>
      <c r="M403" s="24">
        <f t="shared" si="69"/>
        <v>1</v>
      </c>
      <c r="N403" s="674"/>
      <c r="O403" s="24">
        <f t="shared" si="70"/>
        <v>1</v>
      </c>
      <c r="P403" s="674"/>
      <c r="Q403" s="24">
        <f t="shared" si="71"/>
        <v>1</v>
      </c>
      <c r="R403" s="670">
        <f t="shared" si="72"/>
        <v>0</v>
      </c>
      <c r="S403" s="322">
        <f t="shared" si="73"/>
        <v>0</v>
      </c>
    </row>
    <row r="404" spans="1:19">
      <c r="A404" s="155"/>
      <c r="B404" s="57"/>
      <c r="C404" s="24">
        <f t="shared" si="64"/>
        <v>1</v>
      </c>
      <c r="D404" s="674"/>
      <c r="E404" s="24">
        <f t="shared" si="65"/>
        <v>1</v>
      </c>
      <c r="F404" s="674"/>
      <c r="G404" s="24">
        <f t="shared" si="66"/>
        <v>1</v>
      </c>
      <c r="H404" s="674"/>
      <c r="I404" s="24">
        <f t="shared" si="67"/>
        <v>1</v>
      </c>
      <c r="J404" s="674"/>
      <c r="K404" s="24">
        <f t="shared" si="68"/>
        <v>1</v>
      </c>
      <c r="L404" s="674"/>
      <c r="M404" s="24">
        <f t="shared" si="69"/>
        <v>1</v>
      </c>
      <c r="N404" s="674"/>
      <c r="O404" s="24">
        <f t="shared" si="70"/>
        <v>1</v>
      </c>
      <c r="P404" s="674"/>
      <c r="Q404" s="24">
        <f t="shared" si="71"/>
        <v>1</v>
      </c>
      <c r="R404" s="670">
        <f t="shared" si="72"/>
        <v>0</v>
      </c>
      <c r="S404" s="322">
        <f t="shared" si="73"/>
        <v>0</v>
      </c>
    </row>
    <row r="405" spans="1:19">
      <c r="A405" s="155"/>
      <c r="B405" s="57"/>
      <c r="C405" s="24">
        <f t="shared" si="64"/>
        <v>1</v>
      </c>
      <c r="D405" s="674"/>
      <c r="E405" s="24">
        <f t="shared" si="65"/>
        <v>1</v>
      </c>
      <c r="F405" s="674"/>
      <c r="G405" s="24">
        <f t="shared" si="66"/>
        <v>1</v>
      </c>
      <c r="H405" s="674"/>
      <c r="I405" s="24">
        <f t="shared" si="67"/>
        <v>1</v>
      </c>
      <c r="J405" s="674"/>
      <c r="K405" s="24">
        <f t="shared" si="68"/>
        <v>1</v>
      </c>
      <c r="L405" s="674"/>
      <c r="M405" s="24">
        <f t="shared" si="69"/>
        <v>1</v>
      </c>
      <c r="N405" s="674"/>
      <c r="O405" s="24">
        <f t="shared" si="70"/>
        <v>1</v>
      </c>
      <c r="P405" s="674"/>
      <c r="Q405" s="24">
        <f t="shared" si="71"/>
        <v>1</v>
      </c>
      <c r="R405" s="670">
        <f t="shared" si="72"/>
        <v>0</v>
      </c>
      <c r="S405" s="322">
        <f t="shared" si="73"/>
        <v>0</v>
      </c>
    </row>
    <row r="406" spans="1:19">
      <c r="A406" s="155"/>
      <c r="B406" s="57"/>
      <c r="C406" s="24">
        <f t="shared" si="64"/>
        <v>1</v>
      </c>
      <c r="D406" s="674"/>
      <c r="E406" s="24">
        <f t="shared" si="65"/>
        <v>1</v>
      </c>
      <c r="F406" s="674"/>
      <c r="G406" s="24">
        <f t="shared" si="66"/>
        <v>1</v>
      </c>
      <c r="H406" s="674"/>
      <c r="I406" s="24">
        <f t="shared" si="67"/>
        <v>1</v>
      </c>
      <c r="J406" s="674"/>
      <c r="K406" s="24">
        <f t="shared" si="68"/>
        <v>1</v>
      </c>
      <c r="L406" s="674"/>
      <c r="M406" s="24">
        <f t="shared" si="69"/>
        <v>1</v>
      </c>
      <c r="N406" s="674"/>
      <c r="O406" s="24">
        <f t="shared" si="70"/>
        <v>1</v>
      </c>
      <c r="P406" s="674"/>
      <c r="Q406" s="24">
        <f t="shared" si="71"/>
        <v>1</v>
      </c>
      <c r="R406" s="670">
        <f t="shared" si="72"/>
        <v>0</v>
      </c>
      <c r="S406" s="322">
        <f t="shared" si="73"/>
        <v>0</v>
      </c>
    </row>
    <row r="407" spans="1:19">
      <c r="A407" s="155"/>
      <c r="B407" s="57"/>
      <c r="C407" s="24">
        <f t="shared" si="64"/>
        <v>1</v>
      </c>
      <c r="D407" s="674"/>
      <c r="E407" s="24">
        <f t="shared" si="65"/>
        <v>1</v>
      </c>
      <c r="F407" s="674"/>
      <c r="G407" s="24">
        <f t="shared" si="66"/>
        <v>1</v>
      </c>
      <c r="H407" s="674"/>
      <c r="I407" s="24">
        <f t="shared" si="67"/>
        <v>1</v>
      </c>
      <c r="J407" s="674"/>
      <c r="K407" s="24">
        <f t="shared" si="68"/>
        <v>1</v>
      </c>
      <c r="L407" s="674"/>
      <c r="M407" s="24">
        <f t="shared" si="69"/>
        <v>1</v>
      </c>
      <c r="N407" s="674"/>
      <c r="O407" s="24">
        <f t="shared" si="70"/>
        <v>1</v>
      </c>
      <c r="P407" s="674"/>
      <c r="Q407" s="24">
        <f t="shared" si="71"/>
        <v>1</v>
      </c>
      <c r="R407" s="670">
        <f t="shared" si="72"/>
        <v>0</v>
      </c>
      <c r="S407" s="322">
        <f t="shared" si="73"/>
        <v>0</v>
      </c>
    </row>
    <row r="408" spans="1:19">
      <c r="A408" s="155"/>
      <c r="B408" s="57"/>
      <c r="C408" s="24">
        <f t="shared" si="64"/>
        <v>1</v>
      </c>
      <c r="D408" s="674"/>
      <c r="E408" s="24">
        <f t="shared" si="65"/>
        <v>1</v>
      </c>
      <c r="F408" s="674"/>
      <c r="G408" s="24">
        <f t="shared" si="66"/>
        <v>1</v>
      </c>
      <c r="H408" s="674"/>
      <c r="I408" s="24">
        <f t="shared" si="67"/>
        <v>1</v>
      </c>
      <c r="J408" s="674"/>
      <c r="K408" s="24">
        <f t="shared" si="68"/>
        <v>1</v>
      </c>
      <c r="L408" s="674"/>
      <c r="M408" s="24">
        <f t="shared" si="69"/>
        <v>1</v>
      </c>
      <c r="N408" s="674"/>
      <c r="O408" s="24">
        <f t="shared" si="70"/>
        <v>1</v>
      </c>
      <c r="P408" s="674"/>
      <c r="Q408" s="24">
        <f t="shared" si="71"/>
        <v>1</v>
      </c>
      <c r="R408" s="670">
        <f t="shared" si="72"/>
        <v>0</v>
      </c>
      <c r="S408" s="322">
        <f t="shared" si="73"/>
        <v>0</v>
      </c>
    </row>
    <row r="409" spans="1:19">
      <c r="A409" s="155"/>
      <c r="B409" s="57"/>
      <c r="C409" s="24">
        <f t="shared" si="64"/>
        <v>1</v>
      </c>
      <c r="D409" s="674"/>
      <c r="E409" s="24">
        <f t="shared" si="65"/>
        <v>1</v>
      </c>
      <c r="F409" s="674"/>
      <c r="G409" s="24">
        <f t="shared" si="66"/>
        <v>1</v>
      </c>
      <c r="H409" s="674"/>
      <c r="I409" s="24">
        <f t="shared" si="67"/>
        <v>1</v>
      </c>
      <c r="J409" s="674"/>
      <c r="K409" s="24">
        <f t="shared" si="68"/>
        <v>1</v>
      </c>
      <c r="L409" s="674"/>
      <c r="M409" s="24">
        <f t="shared" si="69"/>
        <v>1</v>
      </c>
      <c r="N409" s="674"/>
      <c r="O409" s="24">
        <f t="shared" si="70"/>
        <v>1</v>
      </c>
      <c r="P409" s="674"/>
      <c r="Q409" s="24">
        <f t="shared" si="71"/>
        <v>1</v>
      </c>
      <c r="R409" s="670">
        <f t="shared" si="72"/>
        <v>0</v>
      </c>
      <c r="S409" s="322">
        <f t="shared" si="73"/>
        <v>0</v>
      </c>
    </row>
    <row r="410" spans="1:19">
      <c r="A410" s="155"/>
      <c r="B410" s="57"/>
      <c r="C410" s="24">
        <f t="shared" ref="C410:C473" si="74">IF(B410="",1,(LOOKUP(B410,$3:$3,$4:$4)-LOOKUP($B$24,$3:$3,$4:$4)+100)/100)</f>
        <v>1</v>
      </c>
      <c r="D410" s="674"/>
      <c r="E410" s="24">
        <f t="shared" ref="E410:E473" si="75">(SUMIF($5:$5,D410,$6:$6)-SUMIF($5:$5,$D$24,$6:$6)+100)/100</f>
        <v>1</v>
      </c>
      <c r="F410" s="674"/>
      <c r="G410" s="24">
        <f t="shared" ref="G410:G473" si="76">(SUMIF($7:$7,F410,$8:$8)-SUMIF($7:$7,$F$24,$8:$8)+100)/100</f>
        <v>1</v>
      </c>
      <c r="H410" s="674"/>
      <c r="I410" s="24">
        <f t="shared" ref="I410:I473" si="77">(SUMIF($9:$9,H410,$10:$10)-SUMIF($9:$9,$H$24,$10:$10)+100)/100</f>
        <v>1</v>
      </c>
      <c r="J410" s="674"/>
      <c r="K410" s="24">
        <f t="shared" ref="K410:K473" si="78">(SUMIF($11:$11,J410,$12:$12)-SUMIF($11:$11,$J$24,$12:$12)+100)/100</f>
        <v>1</v>
      </c>
      <c r="L410" s="674"/>
      <c r="M410" s="24">
        <f t="shared" ref="M410:M473" si="79">(SUMIF($13:$13,L410,$14:$14)-SUMIF($13:$13,$L$24,$14:$14)+100)/100</f>
        <v>1</v>
      </c>
      <c r="N410" s="674"/>
      <c r="O410" s="24">
        <f t="shared" ref="O410:O473" si="80">(SUMIF($15:$15,N410,$16:$16)-SUMIF($15:$15,$N$24,$16:$16)+100)/100</f>
        <v>1</v>
      </c>
      <c r="P410" s="674"/>
      <c r="Q410" s="24">
        <f t="shared" ref="Q410:Q473" si="81">(SUMIF($17:$17,P410,$18:$18)-SUMIF($17:$17,$P$24,$18:$18)+100)/100</f>
        <v>1</v>
      </c>
      <c r="R410" s="670">
        <f t="shared" ref="R410:R473" si="82">IF(B410="",0,ROUND($R$24*C410*E410*G410*I410*K410*M410*O410*Q410,0))</f>
        <v>0</v>
      </c>
      <c r="S410" s="322">
        <f t="shared" si="73"/>
        <v>0</v>
      </c>
    </row>
    <row r="411" spans="1:19">
      <c r="A411" s="155"/>
      <c r="B411" s="57"/>
      <c r="C411" s="24">
        <f t="shared" si="74"/>
        <v>1</v>
      </c>
      <c r="D411" s="674"/>
      <c r="E411" s="24">
        <f t="shared" si="75"/>
        <v>1</v>
      </c>
      <c r="F411" s="674"/>
      <c r="G411" s="24">
        <f t="shared" si="76"/>
        <v>1</v>
      </c>
      <c r="H411" s="674"/>
      <c r="I411" s="24">
        <f t="shared" si="77"/>
        <v>1</v>
      </c>
      <c r="J411" s="674"/>
      <c r="K411" s="24">
        <f t="shared" si="78"/>
        <v>1</v>
      </c>
      <c r="L411" s="674"/>
      <c r="M411" s="24">
        <f t="shared" si="79"/>
        <v>1</v>
      </c>
      <c r="N411" s="674"/>
      <c r="O411" s="24">
        <f t="shared" si="80"/>
        <v>1</v>
      </c>
      <c r="P411" s="674"/>
      <c r="Q411" s="24">
        <f t="shared" si="81"/>
        <v>1</v>
      </c>
      <c r="R411" s="670">
        <f t="shared" si="82"/>
        <v>0</v>
      </c>
      <c r="S411" s="322">
        <f t="shared" si="73"/>
        <v>0</v>
      </c>
    </row>
    <row r="412" spans="1:19">
      <c r="A412" s="155"/>
      <c r="B412" s="57"/>
      <c r="C412" s="24">
        <f t="shared" si="74"/>
        <v>1</v>
      </c>
      <c r="D412" s="674"/>
      <c r="E412" s="24">
        <f t="shared" si="75"/>
        <v>1</v>
      </c>
      <c r="F412" s="674"/>
      <c r="G412" s="24">
        <f t="shared" si="76"/>
        <v>1</v>
      </c>
      <c r="H412" s="674"/>
      <c r="I412" s="24">
        <f t="shared" si="77"/>
        <v>1</v>
      </c>
      <c r="J412" s="674"/>
      <c r="K412" s="24">
        <f t="shared" si="78"/>
        <v>1</v>
      </c>
      <c r="L412" s="674"/>
      <c r="M412" s="24">
        <f t="shared" si="79"/>
        <v>1</v>
      </c>
      <c r="N412" s="674"/>
      <c r="O412" s="24">
        <f t="shared" si="80"/>
        <v>1</v>
      </c>
      <c r="P412" s="674"/>
      <c r="Q412" s="24">
        <f t="shared" si="81"/>
        <v>1</v>
      </c>
      <c r="R412" s="670">
        <f t="shared" si="82"/>
        <v>0</v>
      </c>
      <c r="S412" s="322">
        <f t="shared" si="73"/>
        <v>0</v>
      </c>
    </row>
    <row r="413" spans="1:19">
      <c r="A413" s="155"/>
      <c r="B413" s="57"/>
      <c r="C413" s="24">
        <f t="shared" si="74"/>
        <v>1</v>
      </c>
      <c r="D413" s="674"/>
      <c r="E413" s="24">
        <f t="shared" si="75"/>
        <v>1</v>
      </c>
      <c r="F413" s="674"/>
      <c r="G413" s="24">
        <f t="shared" si="76"/>
        <v>1</v>
      </c>
      <c r="H413" s="674"/>
      <c r="I413" s="24">
        <f t="shared" si="77"/>
        <v>1</v>
      </c>
      <c r="J413" s="674"/>
      <c r="K413" s="24">
        <f t="shared" si="78"/>
        <v>1</v>
      </c>
      <c r="L413" s="674"/>
      <c r="M413" s="24">
        <f t="shared" si="79"/>
        <v>1</v>
      </c>
      <c r="N413" s="674"/>
      <c r="O413" s="24">
        <f t="shared" si="80"/>
        <v>1</v>
      </c>
      <c r="P413" s="674"/>
      <c r="Q413" s="24">
        <f t="shared" si="81"/>
        <v>1</v>
      </c>
      <c r="R413" s="670">
        <f t="shared" si="82"/>
        <v>0</v>
      </c>
      <c r="S413" s="322">
        <f t="shared" si="73"/>
        <v>0</v>
      </c>
    </row>
    <row r="414" spans="1:19">
      <c r="A414" s="155"/>
      <c r="B414" s="57"/>
      <c r="C414" s="24">
        <f t="shared" si="74"/>
        <v>1</v>
      </c>
      <c r="D414" s="674"/>
      <c r="E414" s="24">
        <f t="shared" si="75"/>
        <v>1</v>
      </c>
      <c r="F414" s="674"/>
      <c r="G414" s="24">
        <f t="shared" si="76"/>
        <v>1</v>
      </c>
      <c r="H414" s="674"/>
      <c r="I414" s="24">
        <f t="shared" si="77"/>
        <v>1</v>
      </c>
      <c r="J414" s="674"/>
      <c r="K414" s="24">
        <f t="shared" si="78"/>
        <v>1</v>
      </c>
      <c r="L414" s="674"/>
      <c r="M414" s="24">
        <f t="shared" si="79"/>
        <v>1</v>
      </c>
      <c r="N414" s="674"/>
      <c r="O414" s="24">
        <f t="shared" si="80"/>
        <v>1</v>
      </c>
      <c r="P414" s="674"/>
      <c r="Q414" s="24">
        <f t="shared" si="81"/>
        <v>1</v>
      </c>
      <c r="R414" s="670">
        <f t="shared" si="82"/>
        <v>0</v>
      </c>
      <c r="S414" s="322">
        <f t="shared" si="73"/>
        <v>0</v>
      </c>
    </row>
    <row r="415" spans="1:19">
      <c r="A415" s="155"/>
      <c r="B415" s="57"/>
      <c r="C415" s="24">
        <f t="shared" si="74"/>
        <v>1</v>
      </c>
      <c r="D415" s="674"/>
      <c r="E415" s="24">
        <f t="shared" si="75"/>
        <v>1</v>
      </c>
      <c r="F415" s="674"/>
      <c r="G415" s="24">
        <f t="shared" si="76"/>
        <v>1</v>
      </c>
      <c r="H415" s="674"/>
      <c r="I415" s="24">
        <f t="shared" si="77"/>
        <v>1</v>
      </c>
      <c r="J415" s="674"/>
      <c r="K415" s="24">
        <f t="shared" si="78"/>
        <v>1</v>
      </c>
      <c r="L415" s="674"/>
      <c r="M415" s="24">
        <f t="shared" si="79"/>
        <v>1</v>
      </c>
      <c r="N415" s="674"/>
      <c r="O415" s="24">
        <f t="shared" si="80"/>
        <v>1</v>
      </c>
      <c r="P415" s="674"/>
      <c r="Q415" s="24">
        <f t="shared" si="81"/>
        <v>1</v>
      </c>
      <c r="R415" s="670">
        <f t="shared" si="82"/>
        <v>0</v>
      </c>
      <c r="S415" s="322">
        <f t="shared" si="73"/>
        <v>0</v>
      </c>
    </row>
    <row r="416" spans="1:19">
      <c r="A416" s="155"/>
      <c r="B416" s="57"/>
      <c r="C416" s="24">
        <f t="shared" si="74"/>
        <v>1</v>
      </c>
      <c r="D416" s="674"/>
      <c r="E416" s="24">
        <f t="shared" si="75"/>
        <v>1</v>
      </c>
      <c r="F416" s="674"/>
      <c r="G416" s="24">
        <f t="shared" si="76"/>
        <v>1</v>
      </c>
      <c r="H416" s="674"/>
      <c r="I416" s="24">
        <f t="shared" si="77"/>
        <v>1</v>
      </c>
      <c r="J416" s="674"/>
      <c r="K416" s="24">
        <f t="shared" si="78"/>
        <v>1</v>
      </c>
      <c r="L416" s="674"/>
      <c r="M416" s="24">
        <f t="shared" si="79"/>
        <v>1</v>
      </c>
      <c r="N416" s="674"/>
      <c r="O416" s="24">
        <f t="shared" si="80"/>
        <v>1</v>
      </c>
      <c r="P416" s="674"/>
      <c r="Q416" s="24">
        <f t="shared" si="81"/>
        <v>1</v>
      </c>
      <c r="R416" s="670">
        <f t="shared" si="82"/>
        <v>0</v>
      </c>
      <c r="S416" s="322">
        <f t="shared" si="73"/>
        <v>0</v>
      </c>
    </row>
    <row r="417" spans="1:19">
      <c r="A417" s="155"/>
      <c r="B417" s="57"/>
      <c r="C417" s="24">
        <f t="shared" si="74"/>
        <v>1</v>
      </c>
      <c r="D417" s="674"/>
      <c r="E417" s="24">
        <f t="shared" si="75"/>
        <v>1</v>
      </c>
      <c r="F417" s="674"/>
      <c r="G417" s="24">
        <f t="shared" si="76"/>
        <v>1</v>
      </c>
      <c r="H417" s="674"/>
      <c r="I417" s="24">
        <f t="shared" si="77"/>
        <v>1</v>
      </c>
      <c r="J417" s="674"/>
      <c r="K417" s="24">
        <f t="shared" si="78"/>
        <v>1</v>
      </c>
      <c r="L417" s="674"/>
      <c r="M417" s="24">
        <f t="shared" si="79"/>
        <v>1</v>
      </c>
      <c r="N417" s="674"/>
      <c r="O417" s="24">
        <f t="shared" si="80"/>
        <v>1</v>
      </c>
      <c r="P417" s="674"/>
      <c r="Q417" s="24">
        <f t="shared" si="81"/>
        <v>1</v>
      </c>
      <c r="R417" s="670">
        <f t="shared" si="82"/>
        <v>0</v>
      </c>
      <c r="S417" s="322">
        <f t="shared" si="73"/>
        <v>0</v>
      </c>
    </row>
    <row r="418" spans="1:19">
      <c r="A418" s="155"/>
      <c r="B418" s="57"/>
      <c r="C418" s="24">
        <f t="shared" si="74"/>
        <v>1</v>
      </c>
      <c r="D418" s="674"/>
      <c r="E418" s="24">
        <f t="shared" si="75"/>
        <v>1</v>
      </c>
      <c r="F418" s="674"/>
      <c r="G418" s="24">
        <f t="shared" si="76"/>
        <v>1</v>
      </c>
      <c r="H418" s="674"/>
      <c r="I418" s="24">
        <f t="shared" si="77"/>
        <v>1</v>
      </c>
      <c r="J418" s="674"/>
      <c r="K418" s="24">
        <f t="shared" si="78"/>
        <v>1</v>
      </c>
      <c r="L418" s="674"/>
      <c r="M418" s="24">
        <f t="shared" si="79"/>
        <v>1</v>
      </c>
      <c r="N418" s="674"/>
      <c r="O418" s="24">
        <f t="shared" si="80"/>
        <v>1</v>
      </c>
      <c r="P418" s="674"/>
      <c r="Q418" s="24">
        <f t="shared" si="81"/>
        <v>1</v>
      </c>
      <c r="R418" s="670">
        <f t="shared" si="82"/>
        <v>0</v>
      </c>
      <c r="S418" s="322">
        <f t="shared" si="73"/>
        <v>0</v>
      </c>
    </row>
    <row r="419" spans="1:19">
      <c r="A419" s="155"/>
      <c r="B419" s="57"/>
      <c r="C419" s="24">
        <f t="shared" si="74"/>
        <v>1</v>
      </c>
      <c r="D419" s="674"/>
      <c r="E419" s="24">
        <f t="shared" si="75"/>
        <v>1</v>
      </c>
      <c r="F419" s="674"/>
      <c r="G419" s="24">
        <f t="shared" si="76"/>
        <v>1</v>
      </c>
      <c r="H419" s="674"/>
      <c r="I419" s="24">
        <f t="shared" si="77"/>
        <v>1</v>
      </c>
      <c r="J419" s="674"/>
      <c r="K419" s="24">
        <f t="shared" si="78"/>
        <v>1</v>
      </c>
      <c r="L419" s="674"/>
      <c r="M419" s="24">
        <f t="shared" si="79"/>
        <v>1</v>
      </c>
      <c r="N419" s="674"/>
      <c r="O419" s="24">
        <f t="shared" si="80"/>
        <v>1</v>
      </c>
      <c r="P419" s="674"/>
      <c r="Q419" s="24">
        <f t="shared" si="81"/>
        <v>1</v>
      </c>
      <c r="R419" s="670">
        <f t="shared" si="82"/>
        <v>0</v>
      </c>
      <c r="S419" s="322">
        <f t="shared" si="73"/>
        <v>0</v>
      </c>
    </row>
    <row r="420" spans="1:19">
      <c r="A420" s="155"/>
      <c r="B420" s="57"/>
      <c r="C420" s="24">
        <f t="shared" si="74"/>
        <v>1</v>
      </c>
      <c r="D420" s="674"/>
      <c r="E420" s="24">
        <f t="shared" si="75"/>
        <v>1</v>
      </c>
      <c r="F420" s="674"/>
      <c r="G420" s="24">
        <f t="shared" si="76"/>
        <v>1</v>
      </c>
      <c r="H420" s="674"/>
      <c r="I420" s="24">
        <f t="shared" si="77"/>
        <v>1</v>
      </c>
      <c r="J420" s="674"/>
      <c r="K420" s="24">
        <f t="shared" si="78"/>
        <v>1</v>
      </c>
      <c r="L420" s="674"/>
      <c r="M420" s="24">
        <f t="shared" si="79"/>
        <v>1</v>
      </c>
      <c r="N420" s="674"/>
      <c r="O420" s="24">
        <f t="shared" si="80"/>
        <v>1</v>
      </c>
      <c r="P420" s="674"/>
      <c r="Q420" s="24">
        <f t="shared" si="81"/>
        <v>1</v>
      </c>
      <c r="R420" s="670">
        <f t="shared" si="82"/>
        <v>0</v>
      </c>
      <c r="S420" s="322">
        <f t="shared" si="73"/>
        <v>0</v>
      </c>
    </row>
    <row r="421" spans="1:19">
      <c r="A421" s="155"/>
      <c r="B421" s="57"/>
      <c r="C421" s="24">
        <f t="shared" si="74"/>
        <v>1</v>
      </c>
      <c r="D421" s="674"/>
      <c r="E421" s="24">
        <f t="shared" si="75"/>
        <v>1</v>
      </c>
      <c r="F421" s="674"/>
      <c r="G421" s="24">
        <f t="shared" si="76"/>
        <v>1</v>
      </c>
      <c r="H421" s="674"/>
      <c r="I421" s="24">
        <f t="shared" si="77"/>
        <v>1</v>
      </c>
      <c r="J421" s="674"/>
      <c r="K421" s="24">
        <f t="shared" si="78"/>
        <v>1</v>
      </c>
      <c r="L421" s="674"/>
      <c r="M421" s="24">
        <f t="shared" si="79"/>
        <v>1</v>
      </c>
      <c r="N421" s="674"/>
      <c r="O421" s="24">
        <f t="shared" si="80"/>
        <v>1</v>
      </c>
      <c r="P421" s="674"/>
      <c r="Q421" s="24">
        <f t="shared" si="81"/>
        <v>1</v>
      </c>
      <c r="R421" s="670">
        <f t="shared" si="82"/>
        <v>0</v>
      </c>
      <c r="S421" s="322">
        <f t="shared" si="73"/>
        <v>0</v>
      </c>
    </row>
    <row r="422" spans="1:19">
      <c r="A422" s="155"/>
      <c r="B422" s="57"/>
      <c r="C422" s="24">
        <f t="shared" si="74"/>
        <v>1</v>
      </c>
      <c r="D422" s="674"/>
      <c r="E422" s="24">
        <f t="shared" si="75"/>
        <v>1</v>
      </c>
      <c r="F422" s="674"/>
      <c r="G422" s="24">
        <f t="shared" si="76"/>
        <v>1</v>
      </c>
      <c r="H422" s="674"/>
      <c r="I422" s="24">
        <f t="shared" si="77"/>
        <v>1</v>
      </c>
      <c r="J422" s="674"/>
      <c r="K422" s="24">
        <f t="shared" si="78"/>
        <v>1</v>
      </c>
      <c r="L422" s="674"/>
      <c r="M422" s="24">
        <f t="shared" si="79"/>
        <v>1</v>
      </c>
      <c r="N422" s="674"/>
      <c r="O422" s="24">
        <f t="shared" si="80"/>
        <v>1</v>
      </c>
      <c r="P422" s="674"/>
      <c r="Q422" s="24">
        <f t="shared" si="81"/>
        <v>1</v>
      </c>
      <c r="R422" s="670">
        <f t="shared" si="82"/>
        <v>0</v>
      </c>
      <c r="S422" s="322">
        <f t="shared" si="73"/>
        <v>0</v>
      </c>
    </row>
    <row r="423" spans="1:19">
      <c r="A423" s="155"/>
      <c r="B423" s="57"/>
      <c r="C423" s="24">
        <f t="shared" si="74"/>
        <v>1</v>
      </c>
      <c r="D423" s="674"/>
      <c r="E423" s="24">
        <f t="shared" si="75"/>
        <v>1</v>
      </c>
      <c r="F423" s="674"/>
      <c r="G423" s="24">
        <f t="shared" si="76"/>
        <v>1</v>
      </c>
      <c r="H423" s="674"/>
      <c r="I423" s="24">
        <f t="shared" si="77"/>
        <v>1</v>
      </c>
      <c r="J423" s="674"/>
      <c r="K423" s="24">
        <f t="shared" si="78"/>
        <v>1</v>
      </c>
      <c r="L423" s="674"/>
      <c r="M423" s="24">
        <f t="shared" si="79"/>
        <v>1</v>
      </c>
      <c r="N423" s="674"/>
      <c r="O423" s="24">
        <f t="shared" si="80"/>
        <v>1</v>
      </c>
      <c r="P423" s="674"/>
      <c r="Q423" s="24">
        <f t="shared" si="81"/>
        <v>1</v>
      </c>
      <c r="R423" s="670">
        <f t="shared" si="82"/>
        <v>0</v>
      </c>
      <c r="S423" s="322">
        <f t="shared" ref="S423:S467" si="83">ROUND(R423*B423/10000,0)</f>
        <v>0</v>
      </c>
    </row>
    <row r="424" spans="1:19">
      <c r="A424" s="155"/>
      <c r="B424" s="57"/>
      <c r="C424" s="24">
        <f t="shared" si="74"/>
        <v>1</v>
      </c>
      <c r="D424" s="674"/>
      <c r="E424" s="24">
        <f t="shared" si="75"/>
        <v>1</v>
      </c>
      <c r="F424" s="674"/>
      <c r="G424" s="24">
        <f t="shared" si="76"/>
        <v>1</v>
      </c>
      <c r="H424" s="674"/>
      <c r="I424" s="24">
        <f t="shared" si="77"/>
        <v>1</v>
      </c>
      <c r="J424" s="674"/>
      <c r="K424" s="24">
        <f t="shared" si="78"/>
        <v>1</v>
      </c>
      <c r="L424" s="674"/>
      <c r="M424" s="24">
        <f t="shared" si="79"/>
        <v>1</v>
      </c>
      <c r="N424" s="674"/>
      <c r="O424" s="24">
        <f t="shared" si="80"/>
        <v>1</v>
      </c>
      <c r="P424" s="674"/>
      <c r="Q424" s="24">
        <f t="shared" si="81"/>
        <v>1</v>
      </c>
      <c r="R424" s="670">
        <f t="shared" si="82"/>
        <v>0</v>
      </c>
      <c r="S424" s="322">
        <f t="shared" si="83"/>
        <v>0</v>
      </c>
    </row>
    <row r="425" spans="1:19">
      <c r="A425" s="155"/>
      <c r="B425" s="57"/>
      <c r="C425" s="24">
        <f t="shared" si="74"/>
        <v>1</v>
      </c>
      <c r="D425" s="674"/>
      <c r="E425" s="24">
        <f t="shared" si="75"/>
        <v>1</v>
      </c>
      <c r="F425" s="674"/>
      <c r="G425" s="24">
        <f t="shared" si="76"/>
        <v>1</v>
      </c>
      <c r="H425" s="674"/>
      <c r="I425" s="24">
        <f t="shared" si="77"/>
        <v>1</v>
      </c>
      <c r="J425" s="674"/>
      <c r="K425" s="24">
        <f t="shared" si="78"/>
        <v>1</v>
      </c>
      <c r="L425" s="674"/>
      <c r="M425" s="24">
        <f t="shared" si="79"/>
        <v>1</v>
      </c>
      <c r="N425" s="674"/>
      <c r="O425" s="24">
        <f t="shared" si="80"/>
        <v>1</v>
      </c>
      <c r="P425" s="674"/>
      <c r="Q425" s="24">
        <f t="shared" si="81"/>
        <v>1</v>
      </c>
      <c r="R425" s="670">
        <f t="shared" si="82"/>
        <v>0</v>
      </c>
      <c r="S425" s="322">
        <f t="shared" si="83"/>
        <v>0</v>
      </c>
    </row>
    <row r="426" spans="1:19">
      <c r="A426" s="155"/>
      <c r="B426" s="57"/>
      <c r="C426" s="24">
        <f t="shared" si="74"/>
        <v>1</v>
      </c>
      <c r="D426" s="674"/>
      <c r="E426" s="24">
        <f t="shared" si="75"/>
        <v>1</v>
      </c>
      <c r="F426" s="674"/>
      <c r="G426" s="24">
        <f t="shared" si="76"/>
        <v>1</v>
      </c>
      <c r="H426" s="674"/>
      <c r="I426" s="24">
        <f t="shared" si="77"/>
        <v>1</v>
      </c>
      <c r="J426" s="674"/>
      <c r="K426" s="24">
        <f t="shared" si="78"/>
        <v>1</v>
      </c>
      <c r="L426" s="674"/>
      <c r="M426" s="24">
        <f t="shared" si="79"/>
        <v>1</v>
      </c>
      <c r="N426" s="674"/>
      <c r="O426" s="24">
        <f t="shared" si="80"/>
        <v>1</v>
      </c>
      <c r="P426" s="674"/>
      <c r="Q426" s="24">
        <f t="shared" si="81"/>
        <v>1</v>
      </c>
      <c r="R426" s="670">
        <f t="shared" si="82"/>
        <v>0</v>
      </c>
      <c r="S426" s="322">
        <f t="shared" si="83"/>
        <v>0</v>
      </c>
    </row>
    <row r="427" spans="1:19">
      <c r="A427" s="155"/>
      <c r="B427" s="57"/>
      <c r="C427" s="24">
        <f t="shared" si="74"/>
        <v>1</v>
      </c>
      <c r="D427" s="674"/>
      <c r="E427" s="24">
        <f t="shared" si="75"/>
        <v>1</v>
      </c>
      <c r="F427" s="674"/>
      <c r="G427" s="24">
        <f t="shared" si="76"/>
        <v>1</v>
      </c>
      <c r="H427" s="674"/>
      <c r="I427" s="24">
        <f t="shared" si="77"/>
        <v>1</v>
      </c>
      <c r="J427" s="674"/>
      <c r="K427" s="24">
        <f t="shared" si="78"/>
        <v>1</v>
      </c>
      <c r="L427" s="674"/>
      <c r="M427" s="24">
        <f t="shared" si="79"/>
        <v>1</v>
      </c>
      <c r="N427" s="674"/>
      <c r="O427" s="24">
        <f t="shared" si="80"/>
        <v>1</v>
      </c>
      <c r="P427" s="674"/>
      <c r="Q427" s="24">
        <f t="shared" si="81"/>
        <v>1</v>
      </c>
      <c r="R427" s="670">
        <f t="shared" si="82"/>
        <v>0</v>
      </c>
      <c r="S427" s="322">
        <f t="shared" si="83"/>
        <v>0</v>
      </c>
    </row>
    <row r="428" spans="1:19">
      <c r="A428" s="155"/>
      <c r="B428" s="57"/>
      <c r="C428" s="24">
        <f t="shared" si="74"/>
        <v>1</v>
      </c>
      <c r="D428" s="674"/>
      <c r="E428" s="24">
        <f t="shared" si="75"/>
        <v>1</v>
      </c>
      <c r="F428" s="674"/>
      <c r="G428" s="24">
        <f t="shared" si="76"/>
        <v>1</v>
      </c>
      <c r="H428" s="674"/>
      <c r="I428" s="24">
        <f t="shared" si="77"/>
        <v>1</v>
      </c>
      <c r="J428" s="674"/>
      <c r="K428" s="24">
        <f t="shared" si="78"/>
        <v>1</v>
      </c>
      <c r="L428" s="674"/>
      <c r="M428" s="24">
        <f t="shared" si="79"/>
        <v>1</v>
      </c>
      <c r="N428" s="674"/>
      <c r="O428" s="24">
        <f t="shared" si="80"/>
        <v>1</v>
      </c>
      <c r="P428" s="674"/>
      <c r="Q428" s="24">
        <f t="shared" si="81"/>
        <v>1</v>
      </c>
      <c r="R428" s="670">
        <f t="shared" si="82"/>
        <v>0</v>
      </c>
      <c r="S428" s="322">
        <f t="shared" si="83"/>
        <v>0</v>
      </c>
    </row>
    <row r="429" spans="1:19">
      <c r="A429" s="155"/>
      <c r="B429" s="57"/>
      <c r="C429" s="24">
        <f t="shared" si="74"/>
        <v>1</v>
      </c>
      <c r="D429" s="674"/>
      <c r="E429" s="24">
        <f t="shared" si="75"/>
        <v>1</v>
      </c>
      <c r="F429" s="674"/>
      <c r="G429" s="24">
        <f t="shared" si="76"/>
        <v>1</v>
      </c>
      <c r="H429" s="674"/>
      <c r="I429" s="24">
        <f t="shared" si="77"/>
        <v>1</v>
      </c>
      <c r="J429" s="674"/>
      <c r="K429" s="24">
        <f t="shared" si="78"/>
        <v>1</v>
      </c>
      <c r="L429" s="674"/>
      <c r="M429" s="24">
        <f t="shared" si="79"/>
        <v>1</v>
      </c>
      <c r="N429" s="674"/>
      <c r="O429" s="24">
        <f t="shared" si="80"/>
        <v>1</v>
      </c>
      <c r="P429" s="674"/>
      <c r="Q429" s="24">
        <f t="shared" si="81"/>
        <v>1</v>
      </c>
      <c r="R429" s="670">
        <f t="shared" si="82"/>
        <v>0</v>
      </c>
      <c r="S429" s="322">
        <f t="shared" si="83"/>
        <v>0</v>
      </c>
    </row>
    <row r="430" spans="1:19">
      <c r="A430" s="155"/>
      <c r="B430" s="57"/>
      <c r="C430" s="24">
        <f t="shared" si="74"/>
        <v>1</v>
      </c>
      <c r="D430" s="674"/>
      <c r="E430" s="24">
        <f t="shared" si="75"/>
        <v>1</v>
      </c>
      <c r="F430" s="674"/>
      <c r="G430" s="24">
        <f t="shared" si="76"/>
        <v>1</v>
      </c>
      <c r="H430" s="674"/>
      <c r="I430" s="24">
        <f t="shared" si="77"/>
        <v>1</v>
      </c>
      <c r="J430" s="674"/>
      <c r="K430" s="24">
        <f t="shared" si="78"/>
        <v>1</v>
      </c>
      <c r="L430" s="674"/>
      <c r="M430" s="24">
        <f t="shared" si="79"/>
        <v>1</v>
      </c>
      <c r="N430" s="674"/>
      <c r="O430" s="24">
        <f t="shared" si="80"/>
        <v>1</v>
      </c>
      <c r="P430" s="674"/>
      <c r="Q430" s="24">
        <f t="shared" si="81"/>
        <v>1</v>
      </c>
      <c r="R430" s="670">
        <f t="shared" si="82"/>
        <v>0</v>
      </c>
      <c r="S430" s="322">
        <f t="shared" si="83"/>
        <v>0</v>
      </c>
    </row>
    <row r="431" spans="1:19">
      <c r="A431" s="155"/>
      <c r="B431" s="57"/>
      <c r="C431" s="24">
        <f t="shared" si="74"/>
        <v>1</v>
      </c>
      <c r="D431" s="674"/>
      <c r="E431" s="24">
        <f t="shared" si="75"/>
        <v>1</v>
      </c>
      <c r="F431" s="674"/>
      <c r="G431" s="24">
        <f t="shared" si="76"/>
        <v>1</v>
      </c>
      <c r="H431" s="674"/>
      <c r="I431" s="24">
        <f t="shared" si="77"/>
        <v>1</v>
      </c>
      <c r="J431" s="674"/>
      <c r="K431" s="24">
        <f t="shared" si="78"/>
        <v>1</v>
      </c>
      <c r="L431" s="674"/>
      <c r="M431" s="24">
        <f t="shared" si="79"/>
        <v>1</v>
      </c>
      <c r="N431" s="674"/>
      <c r="O431" s="24">
        <f t="shared" si="80"/>
        <v>1</v>
      </c>
      <c r="P431" s="674"/>
      <c r="Q431" s="24">
        <f t="shared" si="81"/>
        <v>1</v>
      </c>
      <c r="R431" s="670">
        <f t="shared" si="82"/>
        <v>0</v>
      </c>
      <c r="S431" s="322">
        <f t="shared" si="83"/>
        <v>0</v>
      </c>
    </row>
    <row r="432" spans="1:19">
      <c r="A432" s="155"/>
      <c r="B432" s="57"/>
      <c r="C432" s="24">
        <f t="shared" si="74"/>
        <v>1</v>
      </c>
      <c r="D432" s="674"/>
      <c r="E432" s="24">
        <f t="shared" si="75"/>
        <v>1</v>
      </c>
      <c r="F432" s="674"/>
      <c r="G432" s="24">
        <f t="shared" si="76"/>
        <v>1</v>
      </c>
      <c r="H432" s="674"/>
      <c r="I432" s="24">
        <f t="shared" si="77"/>
        <v>1</v>
      </c>
      <c r="J432" s="674"/>
      <c r="K432" s="24">
        <f t="shared" si="78"/>
        <v>1</v>
      </c>
      <c r="L432" s="674"/>
      <c r="M432" s="24">
        <f t="shared" si="79"/>
        <v>1</v>
      </c>
      <c r="N432" s="674"/>
      <c r="O432" s="24">
        <f t="shared" si="80"/>
        <v>1</v>
      </c>
      <c r="P432" s="674"/>
      <c r="Q432" s="24">
        <f t="shared" si="81"/>
        <v>1</v>
      </c>
      <c r="R432" s="670">
        <f t="shared" si="82"/>
        <v>0</v>
      </c>
      <c r="S432" s="322">
        <f t="shared" si="83"/>
        <v>0</v>
      </c>
    </row>
    <row r="433" spans="1:19">
      <c r="A433" s="155"/>
      <c r="B433" s="57"/>
      <c r="C433" s="24">
        <f t="shared" si="74"/>
        <v>1</v>
      </c>
      <c r="D433" s="674"/>
      <c r="E433" s="24">
        <f t="shared" si="75"/>
        <v>1</v>
      </c>
      <c r="F433" s="674"/>
      <c r="G433" s="24">
        <f t="shared" si="76"/>
        <v>1</v>
      </c>
      <c r="H433" s="674"/>
      <c r="I433" s="24">
        <f t="shared" si="77"/>
        <v>1</v>
      </c>
      <c r="J433" s="674"/>
      <c r="K433" s="24">
        <f t="shared" si="78"/>
        <v>1</v>
      </c>
      <c r="L433" s="674"/>
      <c r="M433" s="24">
        <f t="shared" si="79"/>
        <v>1</v>
      </c>
      <c r="N433" s="674"/>
      <c r="O433" s="24">
        <f t="shared" si="80"/>
        <v>1</v>
      </c>
      <c r="P433" s="674"/>
      <c r="Q433" s="24">
        <f t="shared" si="81"/>
        <v>1</v>
      </c>
      <c r="R433" s="670">
        <f t="shared" si="82"/>
        <v>0</v>
      </c>
      <c r="S433" s="322">
        <f t="shared" si="83"/>
        <v>0</v>
      </c>
    </row>
    <row r="434" spans="1:19">
      <c r="A434" s="155"/>
      <c r="B434" s="57"/>
      <c r="C434" s="24">
        <f t="shared" si="74"/>
        <v>1</v>
      </c>
      <c r="D434" s="674"/>
      <c r="E434" s="24">
        <f t="shared" si="75"/>
        <v>1</v>
      </c>
      <c r="F434" s="674"/>
      <c r="G434" s="24">
        <f t="shared" si="76"/>
        <v>1</v>
      </c>
      <c r="H434" s="674"/>
      <c r="I434" s="24">
        <f t="shared" si="77"/>
        <v>1</v>
      </c>
      <c r="J434" s="674"/>
      <c r="K434" s="24">
        <f t="shared" si="78"/>
        <v>1</v>
      </c>
      <c r="L434" s="674"/>
      <c r="M434" s="24">
        <f t="shared" si="79"/>
        <v>1</v>
      </c>
      <c r="N434" s="674"/>
      <c r="O434" s="24">
        <f t="shared" si="80"/>
        <v>1</v>
      </c>
      <c r="P434" s="674"/>
      <c r="Q434" s="24">
        <f t="shared" si="81"/>
        <v>1</v>
      </c>
      <c r="R434" s="670">
        <f t="shared" si="82"/>
        <v>0</v>
      </c>
      <c r="S434" s="322">
        <f t="shared" si="83"/>
        <v>0</v>
      </c>
    </row>
    <row r="435" spans="1:19">
      <c r="A435" s="155"/>
      <c r="B435" s="57"/>
      <c r="C435" s="24">
        <f t="shared" si="74"/>
        <v>1</v>
      </c>
      <c r="D435" s="674"/>
      <c r="E435" s="24">
        <f t="shared" si="75"/>
        <v>1</v>
      </c>
      <c r="F435" s="674"/>
      <c r="G435" s="24">
        <f t="shared" si="76"/>
        <v>1</v>
      </c>
      <c r="H435" s="674"/>
      <c r="I435" s="24">
        <f t="shared" si="77"/>
        <v>1</v>
      </c>
      <c r="J435" s="674"/>
      <c r="K435" s="24">
        <f t="shared" si="78"/>
        <v>1</v>
      </c>
      <c r="L435" s="674"/>
      <c r="M435" s="24">
        <f t="shared" si="79"/>
        <v>1</v>
      </c>
      <c r="N435" s="674"/>
      <c r="O435" s="24">
        <f t="shared" si="80"/>
        <v>1</v>
      </c>
      <c r="P435" s="674"/>
      <c r="Q435" s="24">
        <f t="shared" si="81"/>
        <v>1</v>
      </c>
      <c r="R435" s="670">
        <f t="shared" si="82"/>
        <v>0</v>
      </c>
      <c r="S435" s="322">
        <f t="shared" si="83"/>
        <v>0</v>
      </c>
    </row>
    <row r="436" spans="1:19">
      <c r="A436" s="155"/>
      <c r="B436" s="57"/>
      <c r="C436" s="24">
        <f t="shared" si="74"/>
        <v>1</v>
      </c>
      <c r="D436" s="674"/>
      <c r="E436" s="24">
        <f t="shared" si="75"/>
        <v>1</v>
      </c>
      <c r="F436" s="674"/>
      <c r="G436" s="24">
        <f t="shared" si="76"/>
        <v>1</v>
      </c>
      <c r="H436" s="674"/>
      <c r="I436" s="24">
        <f t="shared" si="77"/>
        <v>1</v>
      </c>
      <c r="J436" s="674"/>
      <c r="K436" s="24">
        <f t="shared" si="78"/>
        <v>1</v>
      </c>
      <c r="L436" s="674"/>
      <c r="M436" s="24">
        <f t="shared" si="79"/>
        <v>1</v>
      </c>
      <c r="N436" s="674"/>
      <c r="O436" s="24">
        <f t="shared" si="80"/>
        <v>1</v>
      </c>
      <c r="P436" s="674"/>
      <c r="Q436" s="24">
        <f t="shared" si="81"/>
        <v>1</v>
      </c>
      <c r="R436" s="670">
        <f t="shared" si="82"/>
        <v>0</v>
      </c>
      <c r="S436" s="322">
        <f t="shared" si="83"/>
        <v>0</v>
      </c>
    </row>
    <row r="437" spans="1:19">
      <c r="A437" s="155"/>
      <c r="B437" s="57"/>
      <c r="C437" s="24">
        <f t="shared" si="74"/>
        <v>1</v>
      </c>
      <c r="D437" s="674"/>
      <c r="E437" s="24">
        <f t="shared" si="75"/>
        <v>1</v>
      </c>
      <c r="F437" s="674"/>
      <c r="G437" s="24">
        <f t="shared" si="76"/>
        <v>1</v>
      </c>
      <c r="H437" s="674"/>
      <c r="I437" s="24">
        <f t="shared" si="77"/>
        <v>1</v>
      </c>
      <c r="J437" s="674"/>
      <c r="K437" s="24">
        <f t="shared" si="78"/>
        <v>1</v>
      </c>
      <c r="L437" s="674"/>
      <c r="M437" s="24">
        <f t="shared" si="79"/>
        <v>1</v>
      </c>
      <c r="N437" s="674"/>
      <c r="O437" s="24">
        <f t="shared" si="80"/>
        <v>1</v>
      </c>
      <c r="P437" s="674"/>
      <c r="Q437" s="24">
        <f t="shared" si="81"/>
        <v>1</v>
      </c>
      <c r="R437" s="670">
        <f t="shared" si="82"/>
        <v>0</v>
      </c>
      <c r="S437" s="322">
        <f t="shared" si="83"/>
        <v>0</v>
      </c>
    </row>
    <row r="438" spans="1:19">
      <c r="A438" s="155"/>
      <c r="B438" s="57"/>
      <c r="C438" s="24">
        <f t="shared" si="74"/>
        <v>1</v>
      </c>
      <c r="D438" s="674"/>
      <c r="E438" s="24">
        <f t="shared" si="75"/>
        <v>1</v>
      </c>
      <c r="F438" s="674"/>
      <c r="G438" s="24">
        <f t="shared" si="76"/>
        <v>1</v>
      </c>
      <c r="H438" s="674"/>
      <c r="I438" s="24">
        <f t="shared" si="77"/>
        <v>1</v>
      </c>
      <c r="J438" s="674"/>
      <c r="K438" s="24">
        <f t="shared" si="78"/>
        <v>1</v>
      </c>
      <c r="L438" s="674"/>
      <c r="M438" s="24">
        <f t="shared" si="79"/>
        <v>1</v>
      </c>
      <c r="N438" s="674"/>
      <c r="O438" s="24">
        <f t="shared" si="80"/>
        <v>1</v>
      </c>
      <c r="P438" s="674"/>
      <c r="Q438" s="24">
        <f t="shared" si="81"/>
        <v>1</v>
      </c>
      <c r="R438" s="670">
        <f t="shared" si="82"/>
        <v>0</v>
      </c>
      <c r="S438" s="322">
        <f t="shared" si="83"/>
        <v>0</v>
      </c>
    </row>
    <row r="439" spans="1:19">
      <c r="A439" s="155"/>
      <c r="B439" s="57"/>
      <c r="C439" s="24">
        <f t="shared" si="74"/>
        <v>1</v>
      </c>
      <c r="D439" s="674"/>
      <c r="E439" s="24">
        <f t="shared" si="75"/>
        <v>1</v>
      </c>
      <c r="F439" s="674"/>
      <c r="G439" s="24">
        <f t="shared" si="76"/>
        <v>1</v>
      </c>
      <c r="H439" s="674"/>
      <c r="I439" s="24">
        <f t="shared" si="77"/>
        <v>1</v>
      </c>
      <c r="J439" s="674"/>
      <c r="K439" s="24">
        <f t="shared" si="78"/>
        <v>1</v>
      </c>
      <c r="L439" s="674"/>
      <c r="M439" s="24">
        <f t="shared" si="79"/>
        <v>1</v>
      </c>
      <c r="N439" s="674"/>
      <c r="O439" s="24">
        <f t="shared" si="80"/>
        <v>1</v>
      </c>
      <c r="P439" s="674"/>
      <c r="Q439" s="24">
        <f t="shared" si="81"/>
        <v>1</v>
      </c>
      <c r="R439" s="670">
        <f t="shared" si="82"/>
        <v>0</v>
      </c>
      <c r="S439" s="322">
        <f t="shared" si="83"/>
        <v>0</v>
      </c>
    </row>
    <row r="440" spans="1:19">
      <c r="A440" s="155"/>
      <c r="B440" s="57"/>
      <c r="C440" s="24">
        <f t="shared" si="74"/>
        <v>1</v>
      </c>
      <c r="D440" s="674"/>
      <c r="E440" s="24">
        <f t="shared" si="75"/>
        <v>1</v>
      </c>
      <c r="F440" s="674"/>
      <c r="G440" s="24">
        <f t="shared" si="76"/>
        <v>1</v>
      </c>
      <c r="H440" s="674"/>
      <c r="I440" s="24">
        <f t="shared" si="77"/>
        <v>1</v>
      </c>
      <c r="J440" s="674"/>
      <c r="K440" s="24">
        <f t="shared" si="78"/>
        <v>1</v>
      </c>
      <c r="L440" s="674"/>
      <c r="M440" s="24">
        <f t="shared" si="79"/>
        <v>1</v>
      </c>
      <c r="N440" s="674"/>
      <c r="O440" s="24">
        <f t="shared" si="80"/>
        <v>1</v>
      </c>
      <c r="P440" s="674"/>
      <c r="Q440" s="24">
        <f t="shared" si="81"/>
        <v>1</v>
      </c>
      <c r="R440" s="670">
        <f t="shared" si="82"/>
        <v>0</v>
      </c>
      <c r="S440" s="322">
        <f t="shared" si="83"/>
        <v>0</v>
      </c>
    </row>
    <row r="441" spans="1:19">
      <c r="A441" s="155"/>
      <c r="B441" s="57"/>
      <c r="C441" s="24">
        <f t="shared" si="74"/>
        <v>1</v>
      </c>
      <c r="D441" s="674"/>
      <c r="E441" s="24">
        <f t="shared" si="75"/>
        <v>1</v>
      </c>
      <c r="F441" s="674"/>
      <c r="G441" s="24">
        <f t="shared" si="76"/>
        <v>1</v>
      </c>
      <c r="H441" s="674"/>
      <c r="I441" s="24">
        <f t="shared" si="77"/>
        <v>1</v>
      </c>
      <c r="J441" s="674"/>
      <c r="K441" s="24">
        <f t="shared" si="78"/>
        <v>1</v>
      </c>
      <c r="L441" s="674"/>
      <c r="M441" s="24">
        <f t="shared" si="79"/>
        <v>1</v>
      </c>
      <c r="N441" s="674"/>
      <c r="O441" s="24">
        <f t="shared" si="80"/>
        <v>1</v>
      </c>
      <c r="P441" s="674"/>
      <c r="Q441" s="24">
        <f t="shared" si="81"/>
        <v>1</v>
      </c>
      <c r="R441" s="670">
        <f t="shared" si="82"/>
        <v>0</v>
      </c>
      <c r="S441" s="322">
        <f t="shared" si="83"/>
        <v>0</v>
      </c>
    </row>
    <row r="442" spans="1:19">
      <c r="A442" s="155"/>
      <c r="B442" s="57"/>
      <c r="C442" s="24">
        <f t="shared" si="74"/>
        <v>1</v>
      </c>
      <c r="D442" s="674"/>
      <c r="E442" s="24">
        <f t="shared" si="75"/>
        <v>1</v>
      </c>
      <c r="F442" s="674"/>
      <c r="G442" s="24">
        <f t="shared" si="76"/>
        <v>1</v>
      </c>
      <c r="H442" s="674"/>
      <c r="I442" s="24">
        <f t="shared" si="77"/>
        <v>1</v>
      </c>
      <c r="J442" s="674"/>
      <c r="K442" s="24">
        <f t="shared" si="78"/>
        <v>1</v>
      </c>
      <c r="L442" s="674"/>
      <c r="M442" s="24">
        <f t="shared" si="79"/>
        <v>1</v>
      </c>
      <c r="N442" s="674"/>
      <c r="O442" s="24">
        <f t="shared" si="80"/>
        <v>1</v>
      </c>
      <c r="P442" s="674"/>
      <c r="Q442" s="24">
        <f t="shared" si="81"/>
        <v>1</v>
      </c>
      <c r="R442" s="670">
        <f t="shared" si="82"/>
        <v>0</v>
      </c>
      <c r="S442" s="322">
        <f t="shared" si="83"/>
        <v>0</v>
      </c>
    </row>
    <row r="443" spans="1:19">
      <c r="A443" s="155"/>
      <c r="B443" s="57"/>
      <c r="C443" s="24">
        <f t="shared" si="74"/>
        <v>1</v>
      </c>
      <c r="D443" s="674"/>
      <c r="E443" s="24">
        <f t="shared" si="75"/>
        <v>1</v>
      </c>
      <c r="F443" s="674"/>
      <c r="G443" s="24">
        <f t="shared" si="76"/>
        <v>1</v>
      </c>
      <c r="H443" s="674"/>
      <c r="I443" s="24">
        <f t="shared" si="77"/>
        <v>1</v>
      </c>
      <c r="J443" s="674"/>
      <c r="K443" s="24">
        <f t="shared" si="78"/>
        <v>1</v>
      </c>
      <c r="L443" s="674"/>
      <c r="M443" s="24">
        <f t="shared" si="79"/>
        <v>1</v>
      </c>
      <c r="N443" s="674"/>
      <c r="O443" s="24">
        <f t="shared" si="80"/>
        <v>1</v>
      </c>
      <c r="P443" s="674"/>
      <c r="Q443" s="24">
        <f t="shared" si="81"/>
        <v>1</v>
      </c>
      <c r="R443" s="670">
        <f t="shared" si="82"/>
        <v>0</v>
      </c>
      <c r="S443" s="322">
        <f t="shared" si="83"/>
        <v>0</v>
      </c>
    </row>
    <row r="444" spans="1:19">
      <c r="A444" s="155"/>
      <c r="B444" s="57"/>
      <c r="C444" s="24">
        <f t="shared" si="74"/>
        <v>1</v>
      </c>
      <c r="D444" s="674"/>
      <c r="E444" s="24">
        <f t="shared" si="75"/>
        <v>1</v>
      </c>
      <c r="F444" s="674"/>
      <c r="G444" s="24">
        <f t="shared" si="76"/>
        <v>1</v>
      </c>
      <c r="H444" s="674"/>
      <c r="I444" s="24">
        <f t="shared" si="77"/>
        <v>1</v>
      </c>
      <c r="J444" s="674"/>
      <c r="K444" s="24">
        <f t="shared" si="78"/>
        <v>1</v>
      </c>
      <c r="L444" s="674"/>
      <c r="M444" s="24">
        <f t="shared" si="79"/>
        <v>1</v>
      </c>
      <c r="N444" s="674"/>
      <c r="O444" s="24">
        <f t="shared" si="80"/>
        <v>1</v>
      </c>
      <c r="P444" s="674"/>
      <c r="Q444" s="24">
        <f t="shared" si="81"/>
        <v>1</v>
      </c>
      <c r="R444" s="670">
        <f t="shared" si="82"/>
        <v>0</v>
      </c>
      <c r="S444" s="322">
        <f t="shared" si="83"/>
        <v>0</v>
      </c>
    </row>
    <row r="445" spans="1:19">
      <c r="A445" s="155"/>
      <c r="B445" s="57"/>
      <c r="C445" s="24">
        <f t="shared" si="74"/>
        <v>1</v>
      </c>
      <c r="D445" s="674"/>
      <c r="E445" s="24">
        <f t="shared" si="75"/>
        <v>1</v>
      </c>
      <c r="F445" s="674"/>
      <c r="G445" s="24">
        <f t="shared" si="76"/>
        <v>1</v>
      </c>
      <c r="H445" s="674"/>
      <c r="I445" s="24">
        <f t="shared" si="77"/>
        <v>1</v>
      </c>
      <c r="J445" s="674"/>
      <c r="K445" s="24">
        <f t="shared" si="78"/>
        <v>1</v>
      </c>
      <c r="L445" s="674"/>
      <c r="M445" s="24">
        <f t="shared" si="79"/>
        <v>1</v>
      </c>
      <c r="N445" s="674"/>
      <c r="O445" s="24">
        <f t="shared" si="80"/>
        <v>1</v>
      </c>
      <c r="P445" s="674"/>
      <c r="Q445" s="24">
        <f t="shared" si="81"/>
        <v>1</v>
      </c>
      <c r="R445" s="670">
        <f t="shared" si="82"/>
        <v>0</v>
      </c>
      <c r="S445" s="322">
        <f t="shared" si="83"/>
        <v>0</v>
      </c>
    </row>
    <row r="446" spans="1:19">
      <c r="A446" s="155"/>
      <c r="B446" s="57"/>
      <c r="C446" s="24">
        <f t="shared" si="74"/>
        <v>1</v>
      </c>
      <c r="D446" s="674"/>
      <c r="E446" s="24">
        <f t="shared" si="75"/>
        <v>1</v>
      </c>
      <c r="F446" s="674"/>
      <c r="G446" s="24">
        <f t="shared" si="76"/>
        <v>1</v>
      </c>
      <c r="H446" s="674"/>
      <c r="I446" s="24">
        <f t="shared" si="77"/>
        <v>1</v>
      </c>
      <c r="J446" s="674"/>
      <c r="K446" s="24">
        <f t="shared" si="78"/>
        <v>1</v>
      </c>
      <c r="L446" s="674"/>
      <c r="M446" s="24">
        <f t="shared" si="79"/>
        <v>1</v>
      </c>
      <c r="N446" s="674"/>
      <c r="O446" s="24">
        <f t="shared" si="80"/>
        <v>1</v>
      </c>
      <c r="P446" s="674"/>
      <c r="Q446" s="24">
        <f t="shared" si="81"/>
        <v>1</v>
      </c>
      <c r="R446" s="670">
        <f t="shared" si="82"/>
        <v>0</v>
      </c>
      <c r="S446" s="322">
        <f t="shared" si="83"/>
        <v>0</v>
      </c>
    </row>
    <row r="447" spans="1:19">
      <c r="A447" s="155"/>
      <c r="B447" s="57"/>
      <c r="C447" s="24">
        <f t="shared" si="74"/>
        <v>1</v>
      </c>
      <c r="D447" s="674"/>
      <c r="E447" s="24">
        <f t="shared" si="75"/>
        <v>1</v>
      </c>
      <c r="F447" s="674"/>
      <c r="G447" s="24">
        <f t="shared" si="76"/>
        <v>1</v>
      </c>
      <c r="H447" s="674"/>
      <c r="I447" s="24">
        <f t="shared" si="77"/>
        <v>1</v>
      </c>
      <c r="J447" s="674"/>
      <c r="K447" s="24">
        <f t="shared" si="78"/>
        <v>1</v>
      </c>
      <c r="L447" s="674"/>
      <c r="M447" s="24">
        <f t="shared" si="79"/>
        <v>1</v>
      </c>
      <c r="N447" s="674"/>
      <c r="O447" s="24">
        <f t="shared" si="80"/>
        <v>1</v>
      </c>
      <c r="P447" s="674"/>
      <c r="Q447" s="24">
        <f t="shared" si="81"/>
        <v>1</v>
      </c>
      <c r="R447" s="670">
        <f t="shared" si="82"/>
        <v>0</v>
      </c>
      <c r="S447" s="322">
        <f t="shared" si="83"/>
        <v>0</v>
      </c>
    </row>
    <row r="448" spans="1:19">
      <c r="A448" s="155"/>
      <c r="B448" s="57"/>
      <c r="C448" s="24">
        <f t="shared" si="74"/>
        <v>1</v>
      </c>
      <c r="D448" s="674"/>
      <c r="E448" s="24">
        <f t="shared" si="75"/>
        <v>1</v>
      </c>
      <c r="F448" s="674"/>
      <c r="G448" s="24">
        <f t="shared" si="76"/>
        <v>1</v>
      </c>
      <c r="H448" s="674"/>
      <c r="I448" s="24">
        <f t="shared" si="77"/>
        <v>1</v>
      </c>
      <c r="J448" s="674"/>
      <c r="K448" s="24">
        <f t="shared" si="78"/>
        <v>1</v>
      </c>
      <c r="L448" s="674"/>
      <c r="M448" s="24">
        <f t="shared" si="79"/>
        <v>1</v>
      </c>
      <c r="N448" s="674"/>
      <c r="O448" s="24">
        <f t="shared" si="80"/>
        <v>1</v>
      </c>
      <c r="P448" s="674"/>
      <c r="Q448" s="24">
        <f t="shared" si="81"/>
        <v>1</v>
      </c>
      <c r="R448" s="670">
        <f t="shared" si="82"/>
        <v>0</v>
      </c>
      <c r="S448" s="322">
        <f t="shared" si="83"/>
        <v>0</v>
      </c>
    </row>
    <row r="449" spans="1:19">
      <c r="A449" s="155"/>
      <c r="B449" s="57"/>
      <c r="C449" s="24">
        <f t="shared" si="74"/>
        <v>1</v>
      </c>
      <c r="D449" s="674"/>
      <c r="E449" s="24">
        <f t="shared" si="75"/>
        <v>1</v>
      </c>
      <c r="F449" s="674"/>
      <c r="G449" s="24">
        <f t="shared" si="76"/>
        <v>1</v>
      </c>
      <c r="H449" s="674"/>
      <c r="I449" s="24">
        <f t="shared" si="77"/>
        <v>1</v>
      </c>
      <c r="J449" s="674"/>
      <c r="K449" s="24">
        <f t="shared" si="78"/>
        <v>1</v>
      </c>
      <c r="L449" s="674"/>
      <c r="M449" s="24">
        <f t="shared" si="79"/>
        <v>1</v>
      </c>
      <c r="N449" s="674"/>
      <c r="O449" s="24">
        <f t="shared" si="80"/>
        <v>1</v>
      </c>
      <c r="P449" s="674"/>
      <c r="Q449" s="24">
        <f t="shared" si="81"/>
        <v>1</v>
      </c>
      <c r="R449" s="670">
        <f t="shared" si="82"/>
        <v>0</v>
      </c>
      <c r="S449" s="322">
        <f t="shared" si="83"/>
        <v>0</v>
      </c>
    </row>
    <row r="450" spans="1:19">
      <c r="A450" s="155"/>
      <c r="B450" s="57"/>
      <c r="C450" s="24">
        <f t="shared" si="74"/>
        <v>1</v>
      </c>
      <c r="D450" s="674"/>
      <c r="E450" s="24">
        <f t="shared" si="75"/>
        <v>1</v>
      </c>
      <c r="F450" s="674"/>
      <c r="G450" s="24">
        <f t="shared" si="76"/>
        <v>1</v>
      </c>
      <c r="H450" s="674"/>
      <c r="I450" s="24">
        <f t="shared" si="77"/>
        <v>1</v>
      </c>
      <c r="J450" s="674"/>
      <c r="K450" s="24">
        <f t="shared" si="78"/>
        <v>1</v>
      </c>
      <c r="L450" s="674"/>
      <c r="M450" s="24">
        <f t="shared" si="79"/>
        <v>1</v>
      </c>
      <c r="N450" s="674"/>
      <c r="O450" s="24">
        <f t="shared" si="80"/>
        <v>1</v>
      </c>
      <c r="P450" s="674"/>
      <c r="Q450" s="24">
        <f t="shared" si="81"/>
        <v>1</v>
      </c>
      <c r="R450" s="670">
        <f t="shared" si="82"/>
        <v>0</v>
      </c>
      <c r="S450" s="322">
        <f t="shared" si="83"/>
        <v>0</v>
      </c>
    </row>
    <row r="451" spans="1:19">
      <c r="A451" s="155"/>
      <c r="B451" s="57"/>
      <c r="C451" s="24">
        <f t="shared" si="74"/>
        <v>1</v>
      </c>
      <c r="D451" s="674"/>
      <c r="E451" s="24">
        <f t="shared" si="75"/>
        <v>1</v>
      </c>
      <c r="F451" s="674"/>
      <c r="G451" s="24">
        <f t="shared" si="76"/>
        <v>1</v>
      </c>
      <c r="H451" s="674"/>
      <c r="I451" s="24">
        <f t="shared" si="77"/>
        <v>1</v>
      </c>
      <c r="J451" s="674"/>
      <c r="K451" s="24">
        <f t="shared" si="78"/>
        <v>1</v>
      </c>
      <c r="L451" s="674"/>
      <c r="M451" s="24">
        <f t="shared" si="79"/>
        <v>1</v>
      </c>
      <c r="N451" s="674"/>
      <c r="O451" s="24">
        <f t="shared" si="80"/>
        <v>1</v>
      </c>
      <c r="P451" s="674"/>
      <c r="Q451" s="24">
        <f t="shared" si="81"/>
        <v>1</v>
      </c>
      <c r="R451" s="670">
        <f t="shared" si="82"/>
        <v>0</v>
      </c>
      <c r="S451" s="322">
        <f t="shared" si="83"/>
        <v>0</v>
      </c>
    </row>
    <row r="452" spans="1:19">
      <c r="A452" s="155"/>
      <c r="B452" s="57"/>
      <c r="C452" s="24">
        <f t="shared" si="74"/>
        <v>1</v>
      </c>
      <c r="D452" s="674"/>
      <c r="E452" s="24">
        <f t="shared" si="75"/>
        <v>1</v>
      </c>
      <c r="F452" s="674"/>
      <c r="G452" s="24">
        <f t="shared" si="76"/>
        <v>1</v>
      </c>
      <c r="H452" s="674"/>
      <c r="I452" s="24">
        <f t="shared" si="77"/>
        <v>1</v>
      </c>
      <c r="J452" s="674"/>
      <c r="K452" s="24">
        <f t="shared" si="78"/>
        <v>1</v>
      </c>
      <c r="L452" s="674"/>
      <c r="M452" s="24">
        <f t="shared" si="79"/>
        <v>1</v>
      </c>
      <c r="N452" s="674"/>
      <c r="O452" s="24">
        <f t="shared" si="80"/>
        <v>1</v>
      </c>
      <c r="P452" s="674"/>
      <c r="Q452" s="24">
        <f t="shared" si="81"/>
        <v>1</v>
      </c>
      <c r="R452" s="670">
        <f t="shared" si="82"/>
        <v>0</v>
      </c>
      <c r="S452" s="322">
        <f t="shared" si="83"/>
        <v>0</v>
      </c>
    </row>
    <row r="453" spans="1:19">
      <c r="A453" s="155"/>
      <c r="B453" s="57"/>
      <c r="C453" s="24">
        <f t="shared" si="74"/>
        <v>1</v>
      </c>
      <c r="D453" s="674"/>
      <c r="E453" s="24">
        <f t="shared" si="75"/>
        <v>1</v>
      </c>
      <c r="F453" s="674"/>
      <c r="G453" s="24">
        <f t="shared" si="76"/>
        <v>1</v>
      </c>
      <c r="H453" s="674"/>
      <c r="I453" s="24">
        <f t="shared" si="77"/>
        <v>1</v>
      </c>
      <c r="J453" s="674"/>
      <c r="K453" s="24">
        <f t="shared" si="78"/>
        <v>1</v>
      </c>
      <c r="L453" s="674"/>
      <c r="M453" s="24">
        <f t="shared" si="79"/>
        <v>1</v>
      </c>
      <c r="N453" s="674"/>
      <c r="O453" s="24">
        <f t="shared" si="80"/>
        <v>1</v>
      </c>
      <c r="P453" s="674"/>
      <c r="Q453" s="24">
        <f t="shared" si="81"/>
        <v>1</v>
      </c>
      <c r="R453" s="670">
        <f t="shared" si="82"/>
        <v>0</v>
      </c>
      <c r="S453" s="322">
        <f t="shared" si="83"/>
        <v>0</v>
      </c>
    </row>
    <row r="454" spans="1:19">
      <c r="A454" s="155"/>
      <c r="B454" s="57"/>
      <c r="C454" s="24">
        <f t="shared" si="74"/>
        <v>1</v>
      </c>
      <c r="D454" s="674"/>
      <c r="E454" s="24">
        <f t="shared" si="75"/>
        <v>1</v>
      </c>
      <c r="F454" s="674"/>
      <c r="G454" s="24">
        <f t="shared" si="76"/>
        <v>1</v>
      </c>
      <c r="H454" s="674"/>
      <c r="I454" s="24">
        <f t="shared" si="77"/>
        <v>1</v>
      </c>
      <c r="J454" s="674"/>
      <c r="K454" s="24">
        <f t="shared" si="78"/>
        <v>1</v>
      </c>
      <c r="L454" s="674"/>
      <c r="M454" s="24">
        <f t="shared" si="79"/>
        <v>1</v>
      </c>
      <c r="N454" s="674"/>
      <c r="O454" s="24">
        <f t="shared" si="80"/>
        <v>1</v>
      </c>
      <c r="P454" s="674"/>
      <c r="Q454" s="24">
        <f t="shared" si="81"/>
        <v>1</v>
      </c>
      <c r="R454" s="670">
        <f t="shared" si="82"/>
        <v>0</v>
      </c>
      <c r="S454" s="322">
        <f t="shared" si="83"/>
        <v>0</v>
      </c>
    </row>
    <row r="455" spans="1:19">
      <c r="A455" s="155"/>
      <c r="B455" s="57"/>
      <c r="C455" s="24">
        <f t="shared" si="74"/>
        <v>1</v>
      </c>
      <c r="D455" s="674"/>
      <c r="E455" s="24">
        <f t="shared" si="75"/>
        <v>1</v>
      </c>
      <c r="F455" s="674"/>
      <c r="G455" s="24">
        <f t="shared" si="76"/>
        <v>1</v>
      </c>
      <c r="H455" s="674"/>
      <c r="I455" s="24">
        <f t="shared" si="77"/>
        <v>1</v>
      </c>
      <c r="J455" s="674"/>
      <c r="K455" s="24">
        <f t="shared" si="78"/>
        <v>1</v>
      </c>
      <c r="L455" s="674"/>
      <c r="M455" s="24">
        <f t="shared" si="79"/>
        <v>1</v>
      </c>
      <c r="N455" s="674"/>
      <c r="O455" s="24">
        <f t="shared" si="80"/>
        <v>1</v>
      </c>
      <c r="P455" s="674"/>
      <c r="Q455" s="24">
        <f t="shared" si="81"/>
        <v>1</v>
      </c>
      <c r="R455" s="670">
        <f t="shared" si="82"/>
        <v>0</v>
      </c>
      <c r="S455" s="322">
        <f t="shared" si="83"/>
        <v>0</v>
      </c>
    </row>
    <row r="456" spans="1:19">
      <c r="A456" s="155"/>
      <c r="B456" s="57"/>
      <c r="C456" s="24">
        <f t="shared" si="74"/>
        <v>1</v>
      </c>
      <c r="D456" s="674"/>
      <c r="E456" s="24">
        <f t="shared" si="75"/>
        <v>1</v>
      </c>
      <c r="F456" s="674"/>
      <c r="G456" s="24">
        <f t="shared" si="76"/>
        <v>1</v>
      </c>
      <c r="H456" s="674"/>
      <c r="I456" s="24">
        <f t="shared" si="77"/>
        <v>1</v>
      </c>
      <c r="J456" s="674"/>
      <c r="K456" s="24">
        <f t="shared" si="78"/>
        <v>1</v>
      </c>
      <c r="L456" s="674"/>
      <c r="M456" s="24">
        <f t="shared" si="79"/>
        <v>1</v>
      </c>
      <c r="N456" s="674"/>
      <c r="O456" s="24">
        <f t="shared" si="80"/>
        <v>1</v>
      </c>
      <c r="P456" s="674"/>
      <c r="Q456" s="24">
        <f t="shared" si="81"/>
        <v>1</v>
      </c>
      <c r="R456" s="670">
        <f t="shared" si="82"/>
        <v>0</v>
      </c>
      <c r="S456" s="322">
        <f t="shared" si="83"/>
        <v>0</v>
      </c>
    </row>
    <row r="457" spans="1:19">
      <c r="A457" s="155"/>
      <c r="B457" s="57"/>
      <c r="C457" s="24">
        <f t="shared" si="74"/>
        <v>1</v>
      </c>
      <c r="D457" s="674"/>
      <c r="E457" s="24">
        <f t="shared" si="75"/>
        <v>1</v>
      </c>
      <c r="F457" s="674"/>
      <c r="G457" s="24">
        <f t="shared" si="76"/>
        <v>1</v>
      </c>
      <c r="H457" s="674"/>
      <c r="I457" s="24">
        <f t="shared" si="77"/>
        <v>1</v>
      </c>
      <c r="J457" s="674"/>
      <c r="K457" s="24">
        <f t="shared" si="78"/>
        <v>1</v>
      </c>
      <c r="L457" s="674"/>
      <c r="M457" s="24">
        <f t="shared" si="79"/>
        <v>1</v>
      </c>
      <c r="N457" s="674"/>
      <c r="O457" s="24">
        <f t="shared" si="80"/>
        <v>1</v>
      </c>
      <c r="P457" s="674"/>
      <c r="Q457" s="24">
        <f t="shared" si="81"/>
        <v>1</v>
      </c>
      <c r="R457" s="670">
        <f t="shared" si="82"/>
        <v>0</v>
      </c>
      <c r="S457" s="322">
        <f t="shared" si="83"/>
        <v>0</v>
      </c>
    </row>
    <row r="458" spans="1:19">
      <c r="A458" s="155"/>
      <c r="B458" s="57"/>
      <c r="C458" s="24">
        <f t="shared" si="74"/>
        <v>1</v>
      </c>
      <c r="D458" s="674"/>
      <c r="E458" s="24">
        <f t="shared" si="75"/>
        <v>1</v>
      </c>
      <c r="F458" s="674"/>
      <c r="G458" s="24">
        <f t="shared" si="76"/>
        <v>1</v>
      </c>
      <c r="H458" s="674"/>
      <c r="I458" s="24">
        <f t="shared" si="77"/>
        <v>1</v>
      </c>
      <c r="J458" s="674"/>
      <c r="K458" s="24">
        <f t="shared" si="78"/>
        <v>1</v>
      </c>
      <c r="L458" s="674"/>
      <c r="M458" s="24">
        <f t="shared" si="79"/>
        <v>1</v>
      </c>
      <c r="N458" s="674"/>
      <c r="O458" s="24">
        <f t="shared" si="80"/>
        <v>1</v>
      </c>
      <c r="P458" s="674"/>
      <c r="Q458" s="24">
        <f t="shared" si="81"/>
        <v>1</v>
      </c>
      <c r="R458" s="670">
        <f t="shared" si="82"/>
        <v>0</v>
      </c>
      <c r="S458" s="322">
        <f t="shared" si="83"/>
        <v>0</v>
      </c>
    </row>
    <row r="459" spans="1:19">
      <c r="A459" s="155"/>
      <c r="B459" s="57"/>
      <c r="C459" s="24">
        <f t="shared" si="74"/>
        <v>1</v>
      </c>
      <c r="D459" s="674"/>
      <c r="E459" s="24">
        <f t="shared" si="75"/>
        <v>1</v>
      </c>
      <c r="F459" s="674"/>
      <c r="G459" s="24">
        <f t="shared" si="76"/>
        <v>1</v>
      </c>
      <c r="H459" s="674"/>
      <c r="I459" s="24">
        <f t="shared" si="77"/>
        <v>1</v>
      </c>
      <c r="J459" s="674"/>
      <c r="K459" s="24">
        <f t="shared" si="78"/>
        <v>1</v>
      </c>
      <c r="L459" s="674"/>
      <c r="M459" s="24">
        <f t="shared" si="79"/>
        <v>1</v>
      </c>
      <c r="N459" s="674"/>
      <c r="O459" s="24">
        <f t="shared" si="80"/>
        <v>1</v>
      </c>
      <c r="P459" s="674"/>
      <c r="Q459" s="24">
        <f t="shared" si="81"/>
        <v>1</v>
      </c>
      <c r="R459" s="670">
        <f t="shared" si="82"/>
        <v>0</v>
      </c>
      <c r="S459" s="322">
        <f t="shared" si="83"/>
        <v>0</v>
      </c>
    </row>
    <row r="460" spans="1:19">
      <c r="A460" s="155"/>
      <c r="B460" s="57"/>
      <c r="C460" s="24">
        <f t="shared" si="74"/>
        <v>1</v>
      </c>
      <c r="D460" s="674"/>
      <c r="E460" s="24">
        <f t="shared" si="75"/>
        <v>1</v>
      </c>
      <c r="F460" s="674"/>
      <c r="G460" s="24">
        <f t="shared" si="76"/>
        <v>1</v>
      </c>
      <c r="H460" s="674"/>
      <c r="I460" s="24">
        <f t="shared" si="77"/>
        <v>1</v>
      </c>
      <c r="J460" s="674"/>
      <c r="K460" s="24">
        <f t="shared" si="78"/>
        <v>1</v>
      </c>
      <c r="L460" s="674"/>
      <c r="M460" s="24">
        <f t="shared" si="79"/>
        <v>1</v>
      </c>
      <c r="N460" s="674"/>
      <c r="O460" s="24">
        <f t="shared" si="80"/>
        <v>1</v>
      </c>
      <c r="P460" s="674"/>
      <c r="Q460" s="24">
        <f t="shared" si="81"/>
        <v>1</v>
      </c>
      <c r="R460" s="670">
        <f t="shared" si="82"/>
        <v>0</v>
      </c>
      <c r="S460" s="322">
        <f t="shared" si="83"/>
        <v>0</v>
      </c>
    </row>
    <row r="461" spans="1:19">
      <c r="A461" s="155"/>
      <c r="B461" s="57"/>
      <c r="C461" s="24">
        <f t="shared" si="74"/>
        <v>1</v>
      </c>
      <c r="D461" s="674"/>
      <c r="E461" s="24">
        <f t="shared" si="75"/>
        <v>1</v>
      </c>
      <c r="F461" s="674"/>
      <c r="G461" s="24">
        <f t="shared" si="76"/>
        <v>1</v>
      </c>
      <c r="H461" s="674"/>
      <c r="I461" s="24">
        <f t="shared" si="77"/>
        <v>1</v>
      </c>
      <c r="J461" s="674"/>
      <c r="K461" s="24">
        <f t="shared" si="78"/>
        <v>1</v>
      </c>
      <c r="L461" s="674"/>
      <c r="M461" s="24">
        <f t="shared" si="79"/>
        <v>1</v>
      </c>
      <c r="N461" s="674"/>
      <c r="O461" s="24">
        <f t="shared" si="80"/>
        <v>1</v>
      </c>
      <c r="P461" s="674"/>
      <c r="Q461" s="24">
        <f t="shared" si="81"/>
        <v>1</v>
      </c>
      <c r="R461" s="670">
        <f t="shared" si="82"/>
        <v>0</v>
      </c>
      <c r="S461" s="322">
        <f t="shared" si="83"/>
        <v>0</v>
      </c>
    </row>
    <row r="462" spans="1:19">
      <c r="A462" s="155"/>
      <c r="B462" s="57"/>
      <c r="C462" s="24">
        <f t="shared" si="74"/>
        <v>1</v>
      </c>
      <c r="D462" s="674"/>
      <c r="E462" s="24">
        <f t="shared" si="75"/>
        <v>1</v>
      </c>
      <c r="F462" s="674"/>
      <c r="G462" s="24">
        <f t="shared" si="76"/>
        <v>1</v>
      </c>
      <c r="H462" s="674"/>
      <c r="I462" s="24">
        <f t="shared" si="77"/>
        <v>1</v>
      </c>
      <c r="J462" s="674"/>
      <c r="K462" s="24">
        <f t="shared" si="78"/>
        <v>1</v>
      </c>
      <c r="L462" s="674"/>
      <c r="M462" s="24">
        <f t="shared" si="79"/>
        <v>1</v>
      </c>
      <c r="N462" s="674"/>
      <c r="O462" s="24">
        <f t="shared" si="80"/>
        <v>1</v>
      </c>
      <c r="P462" s="674"/>
      <c r="Q462" s="24">
        <f t="shared" si="81"/>
        <v>1</v>
      </c>
      <c r="R462" s="670">
        <f t="shared" si="82"/>
        <v>0</v>
      </c>
      <c r="S462" s="322">
        <f t="shared" si="83"/>
        <v>0</v>
      </c>
    </row>
    <row r="463" spans="1:19">
      <c r="A463" s="155"/>
      <c r="B463" s="57"/>
      <c r="C463" s="24">
        <f t="shared" si="74"/>
        <v>1</v>
      </c>
      <c r="D463" s="674"/>
      <c r="E463" s="24">
        <f t="shared" si="75"/>
        <v>1</v>
      </c>
      <c r="F463" s="674"/>
      <c r="G463" s="24">
        <f t="shared" si="76"/>
        <v>1</v>
      </c>
      <c r="H463" s="674"/>
      <c r="I463" s="24">
        <f t="shared" si="77"/>
        <v>1</v>
      </c>
      <c r="J463" s="674"/>
      <c r="K463" s="24">
        <f t="shared" si="78"/>
        <v>1</v>
      </c>
      <c r="L463" s="674"/>
      <c r="M463" s="24">
        <f t="shared" si="79"/>
        <v>1</v>
      </c>
      <c r="N463" s="674"/>
      <c r="O463" s="24">
        <f t="shared" si="80"/>
        <v>1</v>
      </c>
      <c r="P463" s="674"/>
      <c r="Q463" s="24">
        <f t="shared" si="81"/>
        <v>1</v>
      </c>
      <c r="R463" s="670">
        <f t="shared" si="82"/>
        <v>0</v>
      </c>
      <c r="S463" s="322">
        <f t="shared" si="83"/>
        <v>0</v>
      </c>
    </row>
    <row r="464" spans="1:19">
      <c r="A464" s="155"/>
      <c r="B464" s="57"/>
      <c r="C464" s="24">
        <f t="shared" si="74"/>
        <v>1</v>
      </c>
      <c r="D464" s="674"/>
      <c r="E464" s="24">
        <f t="shared" si="75"/>
        <v>1</v>
      </c>
      <c r="F464" s="674"/>
      <c r="G464" s="24">
        <f t="shared" si="76"/>
        <v>1</v>
      </c>
      <c r="H464" s="674"/>
      <c r="I464" s="24">
        <f t="shared" si="77"/>
        <v>1</v>
      </c>
      <c r="J464" s="674"/>
      <c r="K464" s="24">
        <f t="shared" si="78"/>
        <v>1</v>
      </c>
      <c r="L464" s="674"/>
      <c r="M464" s="24">
        <f t="shared" si="79"/>
        <v>1</v>
      </c>
      <c r="N464" s="674"/>
      <c r="O464" s="24">
        <f t="shared" si="80"/>
        <v>1</v>
      </c>
      <c r="P464" s="674"/>
      <c r="Q464" s="24">
        <f t="shared" si="81"/>
        <v>1</v>
      </c>
      <c r="R464" s="670">
        <f t="shared" si="82"/>
        <v>0</v>
      </c>
      <c r="S464" s="322">
        <f t="shared" si="83"/>
        <v>0</v>
      </c>
    </row>
    <row r="465" spans="1:19">
      <c r="A465" s="155"/>
      <c r="B465" s="57"/>
      <c r="C465" s="24">
        <f t="shared" si="74"/>
        <v>1</v>
      </c>
      <c r="D465" s="674"/>
      <c r="E465" s="24">
        <f t="shared" si="75"/>
        <v>1</v>
      </c>
      <c r="F465" s="674"/>
      <c r="G465" s="24">
        <f t="shared" si="76"/>
        <v>1</v>
      </c>
      <c r="H465" s="674"/>
      <c r="I465" s="24">
        <f t="shared" si="77"/>
        <v>1</v>
      </c>
      <c r="J465" s="674"/>
      <c r="K465" s="24">
        <f t="shared" si="78"/>
        <v>1</v>
      </c>
      <c r="L465" s="674"/>
      <c r="M465" s="24">
        <f t="shared" si="79"/>
        <v>1</v>
      </c>
      <c r="N465" s="674"/>
      <c r="O465" s="24">
        <f t="shared" si="80"/>
        <v>1</v>
      </c>
      <c r="P465" s="674"/>
      <c r="Q465" s="24">
        <f t="shared" si="81"/>
        <v>1</v>
      </c>
      <c r="R465" s="670">
        <f t="shared" si="82"/>
        <v>0</v>
      </c>
      <c r="S465" s="322">
        <f t="shared" si="83"/>
        <v>0</v>
      </c>
    </row>
    <row r="466" spans="1:19">
      <c r="A466" s="155"/>
      <c r="B466" s="57"/>
      <c r="C466" s="24">
        <f t="shared" si="74"/>
        <v>1</v>
      </c>
      <c r="D466" s="674"/>
      <c r="E466" s="24">
        <f t="shared" si="75"/>
        <v>1</v>
      </c>
      <c r="F466" s="674"/>
      <c r="G466" s="24">
        <f t="shared" si="76"/>
        <v>1</v>
      </c>
      <c r="H466" s="674"/>
      <c r="I466" s="24">
        <f t="shared" si="77"/>
        <v>1</v>
      </c>
      <c r="J466" s="674"/>
      <c r="K466" s="24">
        <f t="shared" si="78"/>
        <v>1</v>
      </c>
      <c r="L466" s="674"/>
      <c r="M466" s="24">
        <f t="shared" si="79"/>
        <v>1</v>
      </c>
      <c r="N466" s="674"/>
      <c r="O466" s="24">
        <f t="shared" si="80"/>
        <v>1</v>
      </c>
      <c r="P466" s="674"/>
      <c r="Q466" s="24">
        <f t="shared" si="81"/>
        <v>1</v>
      </c>
      <c r="R466" s="670">
        <f t="shared" si="82"/>
        <v>0</v>
      </c>
      <c r="S466" s="322">
        <f t="shared" si="83"/>
        <v>0</v>
      </c>
    </row>
    <row r="467" spans="1:19">
      <c r="A467" s="155"/>
      <c r="B467" s="57"/>
      <c r="C467" s="24">
        <f t="shared" si="74"/>
        <v>1</v>
      </c>
      <c r="D467" s="674"/>
      <c r="E467" s="24">
        <f t="shared" si="75"/>
        <v>1</v>
      </c>
      <c r="F467" s="674"/>
      <c r="G467" s="24">
        <f t="shared" si="76"/>
        <v>1</v>
      </c>
      <c r="H467" s="674"/>
      <c r="I467" s="24">
        <f t="shared" si="77"/>
        <v>1</v>
      </c>
      <c r="J467" s="674"/>
      <c r="K467" s="24">
        <f t="shared" si="78"/>
        <v>1</v>
      </c>
      <c r="L467" s="674"/>
      <c r="M467" s="24">
        <f t="shared" si="79"/>
        <v>1</v>
      </c>
      <c r="N467" s="674"/>
      <c r="O467" s="24">
        <f t="shared" si="80"/>
        <v>1</v>
      </c>
      <c r="P467" s="674"/>
      <c r="Q467" s="24">
        <f t="shared" si="81"/>
        <v>1</v>
      </c>
      <c r="R467" s="670">
        <f t="shared" si="82"/>
        <v>0</v>
      </c>
      <c r="S467" s="322">
        <f t="shared" si="83"/>
        <v>0</v>
      </c>
    </row>
    <row r="468" spans="1:19">
      <c r="A468" s="155"/>
      <c r="B468" s="57"/>
      <c r="C468" s="24">
        <f t="shared" si="74"/>
        <v>1</v>
      </c>
      <c r="D468" s="674"/>
      <c r="E468" s="24">
        <f t="shared" si="75"/>
        <v>1</v>
      </c>
      <c r="F468" s="674"/>
      <c r="G468" s="24">
        <f t="shared" si="76"/>
        <v>1</v>
      </c>
      <c r="H468" s="674"/>
      <c r="I468" s="24">
        <f t="shared" si="77"/>
        <v>1</v>
      </c>
      <c r="J468" s="674"/>
      <c r="K468" s="24">
        <f t="shared" si="78"/>
        <v>1</v>
      </c>
      <c r="L468" s="674"/>
      <c r="M468" s="24">
        <f t="shared" si="79"/>
        <v>1</v>
      </c>
      <c r="N468" s="674"/>
      <c r="O468" s="24">
        <f t="shared" si="80"/>
        <v>1</v>
      </c>
      <c r="P468" s="674"/>
      <c r="Q468" s="24">
        <f t="shared" si="81"/>
        <v>1</v>
      </c>
      <c r="R468" s="670">
        <f t="shared" si="82"/>
        <v>0</v>
      </c>
      <c r="S468" s="322">
        <f t="shared" ref="S468:S497" si="84">ROUND(R468*B468/10000,0)</f>
        <v>0</v>
      </c>
    </row>
    <row r="469" spans="1:19">
      <c r="A469" s="155"/>
      <c r="B469" s="57"/>
      <c r="C469" s="24">
        <f t="shared" si="74"/>
        <v>1</v>
      </c>
      <c r="D469" s="674"/>
      <c r="E469" s="24">
        <f t="shared" si="75"/>
        <v>1</v>
      </c>
      <c r="F469" s="674"/>
      <c r="G469" s="24">
        <f t="shared" si="76"/>
        <v>1</v>
      </c>
      <c r="H469" s="674"/>
      <c r="I469" s="24">
        <f t="shared" si="77"/>
        <v>1</v>
      </c>
      <c r="J469" s="674"/>
      <c r="K469" s="24">
        <f t="shared" si="78"/>
        <v>1</v>
      </c>
      <c r="L469" s="674"/>
      <c r="M469" s="24">
        <f t="shared" si="79"/>
        <v>1</v>
      </c>
      <c r="N469" s="674"/>
      <c r="O469" s="24">
        <f t="shared" si="80"/>
        <v>1</v>
      </c>
      <c r="P469" s="674"/>
      <c r="Q469" s="24">
        <f t="shared" si="81"/>
        <v>1</v>
      </c>
      <c r="R469" s="670">
        <f t="shared" si="82"/>
        <v>0</v>
      </c>
      <c r="S469" s="322">
        <f t="shared" si="84"/>
        <v>0</v>
      </c>
    </row>
    <row r="470" spans="1:19">
      <c r="A470" s="155"/>
      <c r="B470" s="57"/>
      <c r="C470" s="24">
        <f t="shared" si="74"/>
        <v>1</v>
      </c>
      <c r="D470" s="674"/>
      <c r="E470" s="24">
        <f t="shared" si="75"/>
        <v>1</v>
      </c>
      <c r="F470" s="674"/>
      <c r="G470" s="24">
        <f t="shared" si="76"/>
        <v>1</v>
      </c>
      <c r="H470" s="674"/>
      <c r="I470" s="24">
        <f t="shared" si="77"/>
        <v>1</v>
      </c>
      <c r="J470" s="674"/>
      <c r="K470" s="24">
        <f t="shared" si="78"/>
        <v>1</v>
      </c>
      <c r="L470" s="674"/>
      <c r="M470" s="24">
        <f t="shared" si="79"/>
        <v>1</v>
      </c>
      <c r="N470" s="674"/>
      <c r="O470" s="24">
        <f t="shared" si="80"/>
        <v>1</v>
      </c>
      <c r="P470" s="674"/>
      <c r="Q470" s="24">
        <f t="shared" si="81"/>
        <v>1</v>
      </c>
      <c r="R470" s="670">
        <f t="shared" si="82"/>
        <v>0</v>
      </c>
      <c r="S470" s="322">
        <f t="shared" si="84"/>
        <v>0</v>
      </c>
    </row>
    <row r="471" spans="1:19">
      <c r="A471" s="155"/>
      <c r="B471" s="57"/>
      <c r="C471" s="24">
        <f t="shared" si="74"/>
        <v>1</v>
      </c>
      <c r="D471" s="674"/>
      <c r="E471" s="24">
        <f t="shared" si="75"/>
        <v>1</v>
      </c>
      <c r="F471" s="674"/>
      <c r="G471" s="24">
        <f t="shared" si="76"/>
        <v>1</v>
      </c>
      <c r="H471" s="674"/>
      <c r="I471" s="24">
        <f t="shared" si="77"/>
        <v>1</v>
      </c>
      <c r="J471" s="674"/>
      <c r="K471" s="24">
        <f t="shared" si="78"/>
        <v>1</v>
      </c>
      <c r="L471" s="674"/>
      <c r="M471" s="24">
        <f t="shared" si="79"/>
        <v>1</v>
      </c>
      <c r="N471" s="674"/>
      <c r="O471" s="24">
        <f t="shared" si="80"/>
        <v>1</v>
      </c>
      <c r="P471" s="674"/>
      <c r="Q471" s="24">
        <f t="shared" si="81"/>
        <v>1</v>
      </c>
      <c r="R471" s="670">
        <f t="shared" si="82"/>
        <v>0</v>
      </c>
      <c r="S471" s="322">
        <f t="shared" si="84"/>
        <v>0</v>
      </c>
    </row>
    <row r="472" spans="1:19">
      <c r="A472" s="155"/>
      <c r="B472" s="57"/>
      <c r="C472" s="24">
        <f t="shared" si="74"/>
        <v>1</v>
      </c>
      <c r="D472" s="674"/>
      <c r="E472" s="24">
        <f t="shared" si="75"/>
        <v>1</v>
      </c>
      <c r="F472" s="674"/>
      <c r="G472" s="24">
        <f t="shared" si="76"/>
        <v>1</v>
      </c>
      <c r="H472" s="674"/>
      <c r="I472" s="24">
        <f t="shared" si="77"/>
        <v>1</v>
      </c>
      <c r="J472" s="674"/>
      <c r="K472" s="24">
        <f t="shared" si="78"/>
        <v>1</v>
      </c>
      <c r="L472" s="674"/>
      <c r="M472" s="24">
        <f t="shared" si="79"/>
        <v>1</v>
      </c>
      <c r="N472" s="674"/>
      <c r="O472" s="24">
        <f t="shared" si="80"/>
        <v>1</v>
      </c>
      <c r="P472" s="674"/>
      <c r="Q472" s="24">
        <f t="shared" si="81"/>
        <v>1</v>
      </c>
      <c r="R472" s="670">
        <f t="shared" si="82"/>
        <v>0</v>
      </c>
      <c r="S472" s="322">
        <f t="shared" si="84"/>
        <v>0</v>
      </c>
    </row>
    <row r="473" spans="1:19">
      <c r="A473" s="155"/>
      <c r="B473" s="57"/>
      <c r="C473" s="24">
        <f t="shared" si="74"/>
        <v>1</v>
      </c>
      <c r="D473" s="674"/>
      <c r="E473" s="24">
        <f t="shared" si="75"/>
        <v>1</v>
      </c>
      <c r="F473" s="674"/>
      <c r="G473" s="24">
        <f t="shared" si="76"/>
        <v>1</v>
      </c>
      <c r="H473" s="674"/>
      <c r="I473" s="24">
        <f t="shared" si="77"/>
        <v>1</v>
      </c>
      <c r="J473" s="674"/>
      <c r="K473" s="24">
        <f t="shared" si="78"/>
        <v>1</v>
      </c>
      <c r="L473" s="674"/>
      <c r="M473" s="24">
        <f t="shared" si="79"/>
        <v>1</v>
      </c>
      <c r="N473" s="674"/>
      <c r="O473" s="24">
        <f t="shared" si="80"/>
        <v>1</v>
      </c>
      <c r="P473" s="674"/>
      <c r="Q473" s="24">
        <f t="shared" si="81"/>
        <v>1</v>
      </c>
      <c r="R473" s="670">
        <f t="shared" si="82"/>
        <v>0</v>
      </c>
      <c r="S473" s="322">
        <f t="shared" si="84"/>
        <v>0</v>
      </c>
    </row>
    <row r="474" spans="1:19">
      <c r="A474" s="155"/>
      <c r="B474" s="57"/>
      <c r="C474" s="24">
        <f t="shared" ref="C474:C524" si="85">IF(B474="",1,(LOOKUP(B474,$3:$3,$4:$4)-LOOKUP($B$24,$3:$3,$4:$4)+100)/100)</f>
        <v>1</v>
      </c>
      <c r="D474" s="674"/>
      <c r="E474" s="24">
        <f t="shared" ref="E474:E524" si="86">(SUMIF($5:$5,D474,$6:$6)-SUMIF($5:$5,$D$24,$6:$6)+100)/100</f>
        <v>1</v>
      </c>
      <c r="F474" s="674"/>
      <c r="G474" s="24">
        <f t="shared" ref="G474:G524" si="87">(SUMIF($7:$7,F474,$8:$8)-SUMIF($7:$7,$F$24,$8:$8)+100)/100</f>
        <v>1</v>
      </c>
      <c r="H474" s="674"/>
      <c r="I474" s="24">
        <f t="shared" ref="I474:I524" si="88">(SUMIF($9:$9,H474,$10:$10)-SUMIF($9:$9,$H$24,$10:$10)+100)/100</f>
        <v>1</v>
      </c>
      <c r="J474" s="674"/>
      <c r="K474" s="24">
        <f t="shared" ref="K474:K524" si="89">(SUMIF($11:$11,J474,$12:$12)-SUMIF($11:$11,$J$24,$12:$12)+100)/100</f>
        <v>1</v>
      </c>
      <c r="L474" s="674"/>
      <c r="M474" s="24">
        <f t="shared" ref="M474:M524" si="90">(SUMIF($13:$13,L474,$14:$14)-SUMIF($13:$13,$L$24,$14:$14)+100)/100</f>
        <v>1</v>
      </c>
      <c r="N474" s="674"/>
      <c r="O474" s="24">
        <f t="shared" ref="O474:O524" si="91">(SUMIF($15:$15,N474,$16:$16)-SUMIF($15:$15,$N$24,$16:$16)+100)/100</f>
        <v>1</v>
      </c>
      <c r="P474" s="674"/>
      <c r="Q474" s="24">
        <f t="shared" ref="Q474:Q524" si="92">(SUMIF($17:$17,P474,$18:$18)-SUMIF($17:$17,$P$24,$18:$18)+100)/100</f>
        <v>1</v>
      </c>
      <c r="R474" s="670">
        <f t="shared" ref="R474:R524" si="93">IF(B474="",0,ROUND($R$24*C474*E474*G474*I474*K474*M474*O474*Q474,0))</f>
        <v>0</v>
      </c>
      <c r="S474" s="322">
        <f t="shared" si="84"/>
        <v>0</v>
      </c>
    </row>
    <row r="475" spans="1:19">
      <c r="A475" s="155"/>
      <c r="B475" s="57"/>
      <c r="C475" s="24">
        <f t="shared" si="85"/>
        <v>1</v>
      </c>
      <c r="D475" s="674"/>
      <c r="E475" s="24">
        <f t="shared" si="86"/>
        <v>1</v>
      </c>
      <c r="F475" s="674"/>
      <c r="G475" s="24">
        <f t="shared" si="87"/>
        <v>1</v>
      </c>
      <c r="H475" s="674"/>
      <c r="I475" s="24">
        <f t="shared" si="88"/>
        <v>1</v>
      </c>
      <c r="J475" s="674"/>
      <c r="K475" s="24">
        <f t="shared" si="89"/>
        <v>1</v>
      </c>
      <c r="L475" s="674"/>
      <c r="M475" s="24">
        <f t="shared" si="90"/>
        <v>1</v>
      </c>
      <c r="N475" s="674"/>
      <c r="O475" s="24">
        <f t="shared" si="91"/>
        <v>1</v>
      </c>
      <c r="P475" s="674"/>
      <c r="Q475" s="24">
        <f t="shared" si="92"/>
        <v>1</v>
      </c>
      <c r="R475" s="670">
        <f t="shared" si="93"/>
        <v>0</v>
      </c>
      <c r="S475" s="322">
        <f t="shared" si="84"/>
        <v>0</v>
      </c>
    </row>
    <row r="476" spans="1:19">
      <c r="A476" s="155"/>
      <c r="B476" s="57"/>
      <c r="C476" s="24">
        <f t="shared" si="85"/>
        <v>1</v>
      </c>
      <c r="D476" s="674"/>
      <c r="E476" s="24">
        <f t="shared" si="86"/>
        <v>1</v>
      </c>
      <c r="F476" s="674"/>
      <c r="G476" s="24">
        <f t="shared" si="87"/>
        <v>1</v>
      </c>
      <c r="H476" s="674"/>
      <c r="I476" s="24">
        <f t="shared" si="88"/>
        <v>1</v>
      </c>
      <c r="J476" s="674"/>
      <c r="K476" s="24">
        <f t="shared" si="89"/>
        <v>1</v>
      </c>
      <c r="L476" s="674"/>
      <c r="M476" s="24">
        <f t="shared" si="90"/>
        <v>1</v>
      </c>
      <c r="N476" s="674"/>
      <c r="O476" s="24">
        <f t="shared" si="91"/>
        <v>1</v>
      </c>
      <c r="P476" s="674"/>
      <c r="Q476" s="24">
        <f t="shared" si="92"/>
        <v>1</v>
      </c>
      <c r="R476" s="670">
        <f t="shared" si="93"/>
        <v>0</v>
      </c>
      <c r="S476" s="322">
        <f t="shared" si="84"/>
        <v>0</v>
      </c>
    </row>
    <row r="477" spans="1:19">
      <c r="A477" s="155"/>
      <c r="B477" s="57"/>
      <c r="C477" s="24">
        <f t="shared" si="85"/>
        <v>1</v>
      </c>
      <c r="D477" s="674"/>
      <c r="E477" s="24">
        <f t="shared" si="86"/>
        <v>1</v>
      </c>
      <c r="F477" s="674"/>
      <c r="G477" s="24">
        <f t="shared" si="87"/>
        <v>1</v>
      </c>
      <c r="H477" s="674"/>
      <c r="I477" s="24">
        <f t="shared" si="88"/>
        <v>1</v>
      </c>
      <c r="J477" s="674"/>
      <c r="K477" s="24">
        <f t="shared" si="89"/>
        <v>1</v>
      </c>
      <c r="L477" s="674"/>
      <c r="M477" s="24">
        <f t="shared" si="90"/>
        <v>1</v>
      </c>
      <c r="N477" s="674"/>
      <c r="O477" s="24">
        <f t="shared" si="91"/>
        <v>1</v>
      </c>
      <c r="P477" s="674"/>
      <c r="Q477" s="24">
        <f t="shared" si="92"/>
        <v>1</v>
      </c>
      <c r="R477" s="670">
        <f t="shared" si="93"/>
        <v>0</v>
      </c>
      <c r="S477" s="322">
        <f t="shared" si="84"/>
        <v>0</v>
      </c>
    </row>
    <row r="478" spans="1:19">
      <c r="A478" s="155"/>
      <c r="B478" s="57"/>
      <c r="C478" s="24">
        <f t="shared" si="85"/>
        <v>1</v>
      </c>
      <c r="D478" s="674"/>
      <c r="E478" s="24">
        <f t="shared" si="86"/>
        <v>1</v>
      </c>
      <c r="F478" s="674"/>
      <c r="G478" s="24">
        <f t="shared" si="87"/>
        <v>1</v>
      </c>
      <c r="H478" s="674"/>
      <c r="I478" s="24">
        <f t="shared" si="88"/>
        <v>1</v>
      </c>
      <c r="J478" s="674"/>
      <c r="K478" s="24">
        <f t="shared" si="89"/>
        <v>1</v>
      </c>
      <c r="L478" s="674"/>
      <c r="M478" s="24">
        <f t="shared" si="90"/>
        <v>1</v>
      </c>
      <c r="N478" s="674"/>
      <c r="O478" s="24">
        <f t="shared" si="91"/>
        <v>1</v>
      </c>
      <c r="P478" s="674"/>
      <c r="Q478" s="24">
        <f t="shared" si="92"/>
        <v>1</v>
      </c>
      <c r="R478" s="670">
        <f t="shared" si="93"/>
        <v>0</v>
      </c>
      <c r="S478" s="322">
        <f t="shared" si="84"/>
        <v>0</v>
      </c>
    </row>
    <row r="479" spans="1:19">
      <c r="A479" s="155"/>
      <c r="B479" s="57"/>
      <c r="C479" s="24">
        <f t="shared" si="85"/>
        <v>1</v>
      </c>
      <c r="D479" s="674"/>
      <c r="E479" s="24">
        <f t="shared" si="86"/>
        <v>1</v>
      </c>
      <c r="F479" s="674"/>
      <c r="G479" s="24">
        <f t="shared" si="87"/>
        <v>1</v>
      </c>
      <c r="H479" s="674"/>
      <c r="I479" s="24">
        <f t="shared" si="88"/>
        <v>1</v>
      </c>
      <c r="J479" s="674"/>
      <c r="K479" s="24">
        <f t="shared" si="89"/>
        <v>1</v>
      </c>
      <c r="L479" s="674"/>
      <c r="M479" s="24">
        <f t="shared" si="90"/>
        <v>1</v>
      </c>
      <c r="N479" s="674"/>
      <c r="O479" s="24">
        <f t="shared" si="91"/>
        <v>1</v>
      </c>
      <c r="P479" s="674"/>
      <c r="Q479" s="24">
        <f t="shared" si="92"/>
        <v>1</v>
      </c>
      <c r="R479" s="670">
        <f t="shared" si="93"/>
        <v>0</v>
      </c>
      <c r="S479" s="322">
        <f t="shared" si="84"/>
        <v>0</v>
      </c>
    </row>
    <row r="480" spans="1:19">
      <c r="A480" s="155"/>
      <c r="B480" s="57"/>
      <c r="C480" s="24">
        <f t="shared" si="85"/>
        <v>1</v>
      </c>
      <c r="D480" s="674"/>
      <c r="E480" s="24">
        <f t="shared" si="86"/>
        <v>1</v>
      </c>
      <c r="F480" s="674"/>
      <c r="G480" s="24">
        <f t="shared" si="87"/>
        <v>1</v>
      </c>
      <c r="H480" s="674"/>
      <c r="I480" s="24">
        <f t="shared" si="88"/>
        <v>1</v>
      </c>
      <c r="J480" s="674"/>
      <c r="K480" s="24">
        <f t="shared" si="89"/>
        <v>1</v>
      </c>
      <c r="L480" s="674"/>
      <c r="M480" s="24">
        <f t="shared" si="90"/>
        <v>1</v>
      </c>
      <c r="N480" s="674"/>
      <c r="O480" s="24">
        <f t="shared" si="91"/>
        <v>1</v>
      </c>
      <c r="P480" s="674"/>
      <c r="Q480" s="24">
        <f t="shared" si="92"/>
        <v>1</v>
      </c>
      <c r="R480" s="670">
        <f t="shared" si="93"/>
        <v>0</v>
      </c>
      <c r="S480" s="322">
        <f t="shared" si="84"/>
        <v>0</v>
      </c>
    </row>
    <row r="481" spans="1:19">
      <c r="A481" s="155"/>
      <c r="B481" s="57"/>
      <c r="C481" s="24">
        <f t="shared" si="85"/>
        <v>1</v>
      </c>
      <c r="D481" s="674"/>
      <c r="E481" s="24">
        <f t="shared" si="86"/>
        <v>1</v>
      </c>
      <c r="F481" s="674"/>
      <c r="G481" s="24">
        <f t="shared" si="87"/>
        <v>1</v>
      </c>
      <c r="H481" s="674"/>
      <c r="I481" s="24">
        <f t="shared" si="88"/>
        <v>1</v>
      </c>
      <c r="J481" s="674"/>
      <c r="K481" s="24">
        <f t="shared" si="89"/>
        <v>1</v>
      </c>
      <c r="L481" s="674"/>
      <c r="M481" s="24">
        <f t="shared" si="90"/>
        <v>1</v>
      </c>
      <c r="N481" s="674"/>
      <c r="O481" s="24">
        <f t="shared" si="91"/>
        <v>1</v>
      </c>
      <c r="P481" s="674"/>
      <c r="Q481" s="24">
        <f t="shared" si="92"/>
        <v>1</v>
      </c>
      <c r="R481" s="670">
        <f t="shared" si="93"/>
        <v>0</v>
      </c>
      <c r="S481" s="322">
        <f t="shared" si="84"/>
        <v>0</v>
      </c>
    </row>
    <row r="482" spans="1:19">
      <c r="A482" s="155"/>
      <c r="B482" s="57"/>
      <c r="C482" s="24">
        <f t="shared" si="85"/>
        <v>1</v>
      </c>
      <c r="D482" s="674"/>
      <c r="E482" s="24">
        <f t="shared" si="86"/>
        <v>1</v>
      </c>
      <c r="F482" s="674"/>
      <c r="G482" s="24">
        <f t="shared" si="87"/>
        <v>1</v>
      </c>
      <c r="H482" s="674"/>
      <c r="I482" s="24">
        <f t="shared" si="88"/>
        <v>1</v>
      </c>
      <c r="J482" s="674"/>
      <c r="K482" s="24">
        <f t="shared" si="89"/>
        <v>1</v>
      </c>
      <c r="L482" s="674"/>
      <c r="M482" s="24">
        <f t="shared" si="90"/>
        <v>1</v>
      </c>
      <c r="N482" s="674"/>
      <c r="O482" s="24">
        <f t="shared" si="91"/>
        <v>1</v>
      </c>
      <c r="P482" s="674"/>
      <c r="Q482" s="24">
        <f t="shared" si="92"/>
        <v>1</v>
      </c>
      <c r="R482" s="670">
        <f t="shared" si="93"/>
        <v>0</v>
      </c>
      <c r="S482" s="322">
        <f t="shared" si="84"/>
        <v>0</v>
      </c>
    </row>
    <row r="483" spans="1:19">
      <c r="A483" s="155"/>
      <c r="B483" s="57"/>
      <c r="C483" s="24">
        <f t="shared" si="85"/>
        <v>1</v>
      </c>
      <c r="D483" s="674"/>
      <c r="E483" s="24">
        <f t="shared" si="86"/>
        <v>1</v>
      </c>
      <c r="F483" s="674"/>
      <c r="G483" s="24">
        <f t="shared" si="87"/>
        <v>1</v>
      </c>
      <c r="H483" s="674"/>
      <c r="I483" s="24">
        <f t="shared" si="88"/>
        <v>1</v>
      </c>
      <c r="J483" s="674"/>
      <c r="K483" s="24">
        <f t="shared" si="89"/>
        <v>1</v>
      </c>
      <c r="L483" s="674"/>
      <c r="M483" s="24">
        <f t="shared" si="90"/>
        <v>1</v>
      </c>
      <c r="N483" s="674"/>
      <c r="O483" s="24">
        <f t="shared" si="91"/>
        <v>1</v>
      </c>
      <c r="P483" s="674"/>
      <c r="Q483" s="24">
        <f t="shared" si="92"/>
        <v>1</v>
      </c>
      <c r="R483" s="670">
        <f t="shared" si="93"/>
        <v>0</v>
      </c>
      <c r="S483" s="322">
        <f t="shared" si="84"/>
        <v>0</v>
      </c>
    </row>
    <row r="484" spans="1:19">
      <c r="A484" s="155"/>
      <c r="B484" s="57"/>
      <c r="C484" s="24">
        <f t="shared" si="85"/>
        <v>1</v>
      </c>
      <c r="D484" s="674"/>
      <c r="E484" s="24">
        <f t="shared" si="86"/>
        <v>1</v>
      </c>
      <c r="F484" s="674"/>
      <c r="G484" s="24">
        <f t="shared" si="87"/>
        <v>1</v>
      </c>
      <c r="H484" s="674"/>
      <c r="I484" s="24">
        <f t="shared" si="88"/>
        <v>1</v>
      </c>
      <c r="J484" s="674"/>
      <c r="K484" s="24">
        <f t="shared" si="89"/>
        <v>1</v>
      </c>
      <c r="L484" s="674"/>
      <c r="M484" s="24">
        <f t="shared" si="90"/>
        <v>1</v>
      </c>
      <c r="N484" s="674"/>
      <c r="O484" s="24">
        <f t="shared" si="91"/>
        <v>1</v>
      </c>
      <c r="P484" s="674"/>
      <c r="Q484" s="24">
        <f t="shared" si="92"/>
        <v>1</v>
      </c>
      <c r="R484" s="670">
        <f t="shared" si="93"/>
        <v>0</v>
      </c>
      <c r="S484" s="322">
        <f t="shared" si="84"/>
        <v>0</v>
      </c>
    </row>
    <row r="485" spans="1:19">
      <c r="A485" s="155"/>
      <c r="B485" s="57"/>
      <c r="C485" s="24">
        <f t="shared" si="85"/>
        <v>1</v>
      </c>
      <c r="D485" s="674"/>
      <c r="E485" s="24">
        <f t="shared" si="86"/>
        <v>1</v>
      </c>
      <c r="F485" s="674"/>
      <c r="G485" s="24">
        <f t="shared" si="87"/>
        <v>1</v>
      </c>
      <c r="H485" s="674"/>
      <c r="I485" s="24">
        <f t="shared" si="88"/>
        <v>1</v>
      </c>
      <c r="J485" s="674"/>
      <c r="K485" s="24">
        <f t="shared" si="89"/>
        <v>1</v>
      </c>
      <c r="L485" s="674"/>
      <c r="M485" s="24">
        <f t="shared" si="90"/>
        <v>1</v>
      </c>
      <c r="N485" s="674"/>
      <c r="O485" s="24">
        <f t="shared" si="91"/>
        <v>1</v>
      </c>
      <c r="P485" s="674"/>
      <c r="Q485" s="24">
        <f t="shared" si="92"/>
        <v>1</v>
      </c>
      <c r="R485" s="670">
        <f t="shared" si="93"/>
        <v>0</v>
      </c>
      <c r="S485" s="322">
        <f t="shared" si="84"/>
        <v>0</v>
      </c>
    </row>
    <row r="486" spans="1:19">
      <c r="A486" s="155"/>
      <c r="B486" s="57"/>
      <c r="C486" s="24">
        <f t="shared" si="85"/>
        <v>1</v>
      </c>
      <c r="D486" s="674"/>
      <c r="E486" s="24">
        <f t="shared" si="86"/>
        <v>1</v>
      </c>
      <c r="F486" s="674"/>
      <c r="G486" s="24">
        <f t="shared" si="87"/>
        <v>1</v>
      </c>
      <c r="H486" s="674"/>
      <c r="I486" s="24">
        <f t="shared" si="88"/>
        <v>1</v>
      </c>
      <c r="J486" s="674"/>
      <c r="K486" s="24">
        <f t="shared" si="89"/>
        <v>1</v>
      </c>
      <c r="L486" s="674"/>
      <c r="M486" s="24">
        <f t="shared" si="90"/>
        <v>1</v>
      </c>
      <c r="N486" s="674"/>
      <c r="O486" s="24">
        <f t="shared" si="91"/>
        <v>1</v>
      </c>
      <c r="P486" s="674"/>
      <c r="Q486" s="24">
        <f t="shared" si="92"/>
        <v>1</v>
      </c>
      <c r="R486" s="670">
        <f t="shared" si="93"/>
        <v>0</v>
      </c>
      <c r="S486" s="322">
        <f t="shared" si="84"/>
        <v>0</v>
      </c>
    </row>
    <row r="487" spans="1:19">
      <c r="A487" s="155"/>
      <c r="B487" s="57"/>
      <c r="C487" s="24">
        <f t="shared" si="85"/>
        <v>1</v>
      </c>
      <c r="D487" s="674"/>
      <c r="E487" s="24">
        <f t="shared" si="86"/>
        <v>1</v>
      </c>
      <c r="F487" s="674"/>
      <c r="G487" s="24">
        <f t="shared" si="87"/>
        <v>1</v>
      </c>
      <c r="H487" s="674"/>
      <c r="I487" s="24">
        <f t="shared" si="88"/>
        <v>1</v>
      </c>
      <c r="J487" s="674"/>
      <c r="K487" s="24">
        <f t="shared" si="89"/>
        <v>1</v>
      </c>
      <c r="L487" s="674"/>
      <c r="M487" s="24">
        <f t="shared" si="90"/>
        <v>1</v>
      </c>
      <c r="N487" s="674"/>
      <c r="O487" s="24">
        <f t="shared" si="91"/>
        <v>1</v>
      </c>
      <c r="P487" s="674"/>
      <c r="Q487" s="24">
        <f t="shared" si="92"/>
        <v>1</v>
      </c>
      <c r="R487" s="670">
        <f t="shared" si="93"/>
        <v>0</v>
      </c>
      <c r="S487" s="322">
        <f t="shared" si="84"/>
        <v>0</v>
      </c>
    </row>
    <row r="488" spans="1:19">
      <c r="A488" s="155"/>
      <c r="B488" s="57"/>
      <c r="C488" s="24">
        <f t="shared" si="85"/>
        <v>1</v>
      </c>
      <c r="D488" s="674"/>
      <c r="E488" s="24">
        <f t="shared" si="86"/>
        <v>1</v>
      </c>
      <c r="F488" s="674"/>
      <c r="G488" s="24">
        <f t="shared" si="87"/>
        <v>1</v>
      </c>
      <c r="H488" s="674"/>
      <c r="I488" s="24">
        <f t="shared" si="88"/>
        <v>1</v>
      </c>
      <c r="J488" s="674"/>
      <c r="K488" s="24">
        <f t="shared" si="89"/>
        <v>1</v>
      </c>
      <c r="L488" s="674"/>
      <c r="M488" s="24">
        <f t="shared" si="90"/>
        <v>1</v>
      </c>
      <c r="N488" s="674"/>
      <c r="O488" s="24">
        <f t="shared" si="91"/>
        <v>1</v>
      </c>
      <c r="P488" s="674"/>
      <c r="Q488" s="24">
        <f t="shared" si="92"/>
        <v>1</v>
      </c>
      <c r="R488" s="670">
        <f t="shared" si="93"/>
        <v>0</v>
      </c>
      <c r="S488" s="322">
        <f t="shared" si="84"/>
        <v>0</v>
      </c>
    </row>
    <row r="489" spans="1:19">
      <c r="A489" s="155"/>
      <c r="B489" s="57"/>
      <c r="C489" s="24">
        <f t="shared" si="85"/>
        <v>1</v>
      </c>
      <c r="D489" s="674"/>
      <c r="E489" s="24">
        <f t="shared" si="86"/>
        <v>1</v>
      </c>
      <c r="F489" s="674"/>
      <c r="G489" s="24">
        <f t="shared" si="87"/>
        <v>1</v>
      </c>
      <c r="H489" s="674"/>
      <c r="I489" s="24">
        <f t="shared" si="88"/>
        <v>1</v>
      </c>
      <c r="J489" s="674"/>
      <c r="K489" s="24">
        <f t="shared" si="89"/>
        <v>1</v>
      </c>
      <c r="L489" s="674"/>
      <c r="M489" s="24">
        <f t="shared" si="90"/>
        <v>1</v>
      </c>
      <c r="N489" s="674"/>
      <c r="O489" s="24">
        <f t="shared" si="91"/>
        <v>1</v>
      </c>
      <c r="P489" s="674"/>
      <c r="Q489" s="24">
        <f t="shared" si="92"/>
        <v>1</v>
      </c>
      <c r="R489" s="670">
        <f t="shared" si="93"/>
        <v>0</v>
      </c>
      <c r="S489" s="322">
        <f t="shared" si="84"/>
        <v>0</v>
      </c>
    </row>
    <row r="490" spans="1:19">
      <c r="A490" s="155"/>
      <c r="B490" s="57"/>
      <c r="C490" s="24">
        <f t="shared" si="85"/>
        <v>1</v>
      </c>
      <c r="D490" s="674"/>
      <c r="E490" s="24">
        <f t="shared" si="86"/>
        <v>1</v>
      </c>
      <c r="F490" s="674"/>
      <c r="G490" s="24">
        <f t="shared" si="87"/>
        <v>1</v>
      </c>
      <c r="H490" s="674"/>
      <c r="I490" s="24">
        <f t="shared" si="88"/>
        <v>1</v>
      </c>
      <c r="J490" s="674"/>
      <c r="K490" s="24">
        <f t="shared" si="89"/>
        <v>1</v>
      </c>
      <c r="L490" s="674"/>
      <c r="M490" s="24">
        <f t="shared" si="90"/>
        <v>1</v>
      </c>
      <c r="N490" s="674"/>
      <c r="O490" s="24">
        <f t="shared" si="91"/>
        <v>1</v>
      </c>
      <c r="P490" s="674"/>
      <c r="Q490" s="24">
        <f t="shared" si="92"/>
        <v>1</v>
      </c>
      <c r="R490" s="670">
        <f t="shared" si="93"/>
        <v>0</v>
      </c>
      <c r="S490" s="322">
        <f t="shared" si="84"/>
        <v>0</v>
      </c>
    </row>
    <row r="491" spans="1:19">
      <c r="A491" s="155"/>
      <c r="B491" s="57"/>
      <c r="C491" s="24">
        <f t="shared" si="85"/>
        <v>1</v>
      </c>
      <c r="D491" s="674"/>
      <c r="E491" s="24">
        <f t="shared" si="86"/>
        <v>1</v>
      </c>
      <c r="F491" s="674"/>
      <c r="G491" s="24">
        <f t="shared" si="87"/>
        <v>1</v>
      </c>
      <c r="H491" s="674"/>
      <c r="I491" s="24">
        <f t="shared" si="88"/>
        <v>1</v>
      </c>
      <c r="J491" s="674"/>
      <c r="K491" s="24">
        <f t="shared" si="89"/>
        <v>1</v>
      </c>
      <c r="L491" s="674"/>
      <c r="M491" s="24">
        <f t="shared" si="90"/>
        <v>1</v>
      </c>
      <c r="N491" s="674"/>
      <c r="O491" s="24">
        <f t="shared" si="91"/>
        <v>1</v>
      </c>
      <c r="P491" s="674"/>
      <c r="Q491" s="24">
        <f t="shared" si="92"/>
        <v>1</v>
      </c>
      <c r="R491" s="670">
        <f t="shared" si="93"/>
        <v>0</v>
      </c>
      <c r="S491" s="322">
        <f t="shared" si="84"/>
        <v>0</v>
      </c>
    </row>
    <row r="492" spans="1:19">
      <c r="A492" s="155"/>
      <c r="B492" s="57"/>
      <c r="C492" s="24">
        <f t="shared" si="85"/>
        <v>1</v>
      </c>
      <c r="D492" s="674"/>
      <c r="E492" s="24">
        <f t="shared" si="86"/>
        <v>1</v>
      </c>
      <c r="F492" s="674"/>
      <c r="G492" s="24">
        <f t="shared" si="87"/>
        <v>1</v>
      </c>
      <c r="H492" s="674"/>
      <c r="I492" s="24">
        <f t="shared" si="88"/>
        <v>1</v>
      </c>
      <c r="J492" s="674"/>
      <c r="K492" s="24">
        <f t="shared" si="89"/>
        <v>1</v>
      </c>
      <c r="L492" s="674"/>
      <c r="M492" s="24">
        <f t="shared" si="90"/>
        <v>1</v>
      </c>
      <c r="N492" s="674"/>
      <c r="O492" s="24">
        <f t="shared" si="91"/>
        <v>1</v>
      </c>
      <c r="P492" s="674"/>
      <c r="Q492" s="24">
        <f t="shared" si="92"/>
        <v>1</v>
      </c>
      <c r="R492" s="670">
        <f t="shared" si="93"/>
        <v>0</v>
      </c>
      <c r="S492" s="322">
        <f t="shared" si="84"/>
        <v>0</v>
      </c>
    </row>
    <row r="493" spans="1:19">
      <c r="A493" s="155"/>
      <c r="B493" s="57"/>
      <c r="C493" s="24">
        <f t="shared" si="85"/>
        <v>1</v>
      </c>
      <c r="D493" s="674"/>
      <c r="E493" s="24">
        <f t="shared" si="86"/>
        <v>1</v>
      </c>
      <c r="F493" s="674"/>
      <c r="G493" s="24">
        <f t="shared" si="87"/>
        <v>1</v>
      </c>
      <c r="H493" s="674"/>
      <c r="I493" s="24">
        <f t="shared" si="88"/>
        <v>1</v>
      </c>
      <c r="J493" s="674"/>
      <c r="K493" s="24">
        <f t="shared" si="89"/>
        <v>1</v>
      </c>
      <c r="L493" s="674"/>
      <c r="M493" s="24">
        <f t="shared" si="90"/>
        <v>1</v>
      </c>
      <c r="N493" s="674"/>
      <c r="O493" s="24">
        <f t="shared" si="91"/>
        <v>1</v>
      </c>
      <c r="P493" s="674"/>
      <c r="Q493" s="24">
        <f t="shared" si="92"/>
        <v>1</v>
      </c>
      <c r="R493" s="670">
        <f t="shared" si="93"/>
        <v>0</v>
      </c>
      <c r="S493" s="322">
        <f t="shared" si="84"/>
        <v>0</v>
      </c>
    </row>
    <row r="494" spans="1:19">
      <c r="A494" s="155"/>
      <c r="B494" s="57"/>
      <c r="C494" s="24">
        <f t="shared" si="85"/>
        <v>1</v>
      </c>
      <c r="D494" s="674"/>
      <c r="E494" s="24">
        <f t="shared" si="86"/>
        <v>1</v>
      </c>
      <c r="F494" s="674"/>
      <c r="G494" s="24">
        <f t="shared" si="87"/>
        <v>1</v>
      </c>
      <c r="H494" s="674"/>
      <c r="I494" s="24">
        <f t="shared" si="88"/>
        <v>1</v>
      </c>
      <c r="J494" s="674"/>
      <c r="K494" s="24">
        <f t="shared" si="89"/>
        <v>1</v>
      </c>
      <c r="L494" s="674"/>
      <c r="M494" s="24">
        <f t="shared" si="90"/>
        <v>1</v>
      </c>
      <c r="N494" s="674"/>
      <c r="O494" s="24">
        <f t="shared" si="91"/>
        <v>1</v>
      </c>
      <c r="P494" s="674"/>
      <c r="Q494" s="24">
        <f t="shared" si="92"/>
        <v>1</v>
      </c>
      <c r="R494" s="670">
        <f t="shared" si="93"/>
        <v>0</v>
      </c>
      <c r="S494" s="322">
        <f t="shared" si="84"/>
        <v>0</v>
      </c>
    </row>
    <row r="495" spans="1:19">
      <c r="A495" s="155"/>
      <c r="B495" s="57"/>
      <c r="C495" s="24">
        <f t="shared" si="85"/>
        <v>1</v>
      </c>
      <c r="D495" s="674"/>
      <c r="E495" s="24">
        <f t="shared" si="86"/>
        <v>1</v>
      </c>
      <c r="F495" s="674"/>
      <c r="G495" s="24">
        <f t="shared" si="87"/>
        <v>1</v>
      </c>
      <c r="H495" s="674"/>
      <c r="I495" s="24">
        <f t="shared" si="88"/>
        <v>1</v>
      </c>
      <c r="J495" s="674"/>
      <c r="K495" s="24">
        <f t="shared" si="89"/>
        <v>1</v>
      </c>
      <c r="L495" s="674"/>
      <c r="M495" s="24">
        <f t="shared" si="90"/>
        <v>1</v>
      </c>
      <c r="N495" s="674"/>
      <c r="O495" s="24">
        <f t="shared" si="91"/>
        <v>1</v>
      </c>
      <c r="P495" s="674"/>
      <c r="Q495" s="24">
        <f t="shared" si="92"/>
        <v>1</v>
      </c>
      <c r="R495" s="670">
        <f t="shared" si="93"/>
        <v>0</v>
      </c>
      <c r="S495" s="322">
        <f t="shared" si="84"/>
        <v>0</v>
      </c>
    </row>
    <row r="496" spans="1:19">
      <c r="A496" s="155"/>
      <c r="B496" s="57"/>
      <c r="C496" s="24">
        <f t="shared" si="85"/>
        <v>1</v>
      </c>
      <c r="D496" s="674"/>
      <c r="E496" s="24">
        <f t="shared" si="86"/>
        <v>1</v>
      </c>
      <c r="F496" s="674"/>
      <c r="G496" s="24">
        <f t="shared" si="87"/>
        <v>1</v>
      </c>
      <c r="H496" s="674"/>
      <c r="I496" s="24">
        <f t="shared" si="88"/>
        <v>1</v>
      </c>
      <c r="J496" s="674"/>
      <c r="K496" s="24">
        <f t="shared" si="89"/>
        <v>1</v>
      </c>
      <c r="L496" s="674"/>
      <c r="M496" s="24">
        <f t="shared" si="90"/>
        <v>1</v>
      </c>
      <c r="N496" s="674"/>
      <c r="O496" s="24">
        <f t="shared" si="91"/>
        <v>1</v>
      </c>
      <c r="P496" s="674"/>
      <c r="Q496" s="24">
        <f t="shared" si="92"/>
        <v>1</v>
      </c>
      <c r="R496" s="670">
        <f t="shared" si="93"/>
        <v>0</v>
      </c>
      <c r="S496" s="322">
        <f t="shared" si="84"/>
        <v>0</v>
      </c>
    </row>
    <row r="497" spans="1:19">
      <c r="A497" s="155"/>
      <c r="B497" s="57"/>
      <c r="C497" s="24">
        <f t="shared" si="85"/>
        <v>1</v>
      </c>
      <c r="D497" s="674"/>
      <c r="E497" s="24">
        <f t="shared" si="86"/>
        <v>1</v>
      </c>
      <c r="F497" s="674"/>
      <c r="G497" s="24">
        <f t="shared" si="87"/>
        <v>1</v>
      </c>
      <c r="H497" s="674"/>
      <c r="I497" s="24">
        <f t="shared" si="88"/>
        <v>1</v>
      </c>
      <c r="J497" s="674"/>
      <c r="K497" s="24">
        <f t="shared" si="89"/>
        <v>1</v>
      </c>
      <c r="L497" s="674"/>
      <c r="M497" s="24">
        <f t="shared" si="90"/>
        <v>1</v>
      </c>
      <c r="N497" s="674"/>
      <c r="O497" s="24">
        <f t="shared" si="91"/>
        <v>1</v>
      </c>
      <c r="P497" s="674"/>
      <c r="Q497" s="24">
        <f t="shared" si="92"/>
        <v>1</v>
      </c>
      <c r="R497" s="670">
        <f t="shared" si="93"/>
        <v>0</v>
      </c>
      <c r="S497" s="322">
        <f t="shared" si="84"/>
        <v>0</v>
      </c>
    </row>
    <row r="498" spans="1:19">
      <c r="A498" s="155"/>
      <c r="B498" s="57"/>
      <c r="C498" s="24">
        <f t="shared" si="85"/>
        <v>1</v>
      </c>
      <c r="D498" s="674"/>
      <c r="E498" s="24">
        <f t="shared" si="86"/>
        <v>1</v>
      </c>
      <c r="F498" s="674"/>
      <c r="G498" s="24">
        <f t="shared" si="87"/>
        <v>1</v>
      </c>
      <c r="H498" s="674"/>
      <c r="I498" s="24">
        <f t="shared" si="88"/>
        <v>1</v>
      </c>
      <c r="J498" s="674"/>
      <c r="K498" s="24">
        <f t="shared" si="89"/>
        <v>1</v>
      </c>
      <c r="L498" s="674"/>
      <c r="M498" s="24">
        <f t="shared" si="90"/>
        <v>1</v>
      </c>
      <c r="N498" s="674"/>
      <c r="O498" s="24">
        <f t="shared" si="91"/>
        <v>1</v>
      </c>
      <c r="P498" s="674"/>
      <c r="Q498" s="24">
        <f t="shared" si="92"/>
        <v>1</v>
      </c>
      <c r="R498" s="670">
        <f t="shared" si="93"/>
        <v>0</v>
      </c>
      <c r="S498" s="322">
        <f t="shared" ref="S498:S524" si="94">ROUND(R498*B498/10000,0)</f>
        <v>0</v>
      </c>
    </row>
    <row r="499" spans="1:19">
      <c r="A499" s="155"/>
      <c r="B499" s="57"/>
      <c r="C499" s="24">
        <f t="shared" si="85"/>
        <v>1</v>
      </c>
      <c r="D499" s="674"/>
      <c r="E499" s="24">
        <f t="shared" si="86"/>
        <v>1</v>
      </c>
      <c r="F499" s="674"/>
      <c r="G499" s="24">
        <f t="shared" si="87"/>
        <v>1</v>
      </c>
      <c r="H499" s="674"/>
      <c r="I499" s="24">
        <f t="shared" si="88"/>
        <v>1</v>
      </c>
      <c r="J499" s="674"/>
      <c r="K499" s="24">
        <f t="shared" si="89"/>
        <v>1</v>
      </c>
      <c r="L499" s="674"/>
      <c r="M499" s="24">
        <f t="shared" si="90"/>
        <v>1</v>
      </c>
      <c r="N499" s="674"/>
      <c r="O499" s="24">
        <f t="shared" si="91"/>
        <v>1</v>
      </c>
      <c r="P499" s="674"/>
      <c r="Q499" s="24">
        <f t="shared" si="92"/>
        <v>1</v>
      </c>
      <c r="R499" s="670">
        <f t="shared" si="93"/>
        <v>0</v>
      </c>
      <c r="S499" s="322">
        <f t="shared" si="94"/>
        <v>0</v>
      </c>
    </row>
    <row r="500" spans="1:19">
      <c r="A500" s="155"/>
      <c r="B500" s="57"/>
      <c r="C500" s="24">
        <f t="shared" si="85"/>
        <v>1</v>
      </c>
      <c r="D500" s="674"/>
      <c r="E500" s="24">
        <f t="shared" si="86"/>
        <v>1</v>
      </c>
      <c r="F500" s="674"/>
      <c r="G500" s="24">
        <f t="shared" si="87"/>
        <v>1</v>
      </c>
      <c r="H500" s="674"/>
      <c r="I500" s="24">
        <f t="shared" si="88"/>
        <v>1</v>
      </c>
      <c r="J500" s="674"/>
      <c r="K500" s="24">
        <f t="shared" si="89"/>
        <v>1</v>
      </c>
      <c r="L500" s="674"/>
      <c r="M500" s="24">
        <f t="shared" si="90"/>
        <v>1</v>
      </c>
      <c r="N500" s="674"/>
      <c r="O500" s="24">
        <f t="shared" si="91"/>
        <v>1</v>
      </c>
      <c r="P500" s="674"/>
      <c r="Q500" s="24">
        <f t="shared" si="92"/>
        <v>1</v>
      </c>
      <c r="R500" s="670">
        <f t="shared" si="93"/>
        <v>0</v>
      </c>
      <c r="S500" s="322">
        <f t="shared" si="94"/>
        <v>0</v>
      </c>
    </row>
    <row r="501" spans="1:19">
      <c r="A501" s="155"/>
      <c r="B501" s="57"/>
      <c r="C501" s="24">
        <f t="shared" si="85"/>
        <v>1</v>
      </c>
      <c r="D501" s="674"/>
      <c r="E501" s="24">
        <f t="shared" si="86"/>
        <v>1</v>
      </c>
      <c r="F501" s="674"/>
      <c r="G501" s="24">
        <f t="shared" si="87"/>
        <v>1</v>
      </c>
      <c r="H501" s="674"/>
      <c r="I501" s="24">
        <f t="shared" si="88"/>
        <v>1</v>
      </c>
      <c r="J501" s="674"/>
      <c r="K501" s="24">
        <f t="shared" si="89"/>
        <v>1</v>
      </c>
      <c r="L501" s="674"/>
      <c r="M501" s="24">
        <f t="shared" si="90"/>
        <v>1</v>
      </c>
      <c r="N501" s="674"/>
      <c r="O501" s="24">
        <f t="shared" si="91"/>
        <v>1</v>
      </c>
      <c r="P501" s="674"/>
      <c r="Q501" s="24">
        <f t="shared" si="92"/>
        <v>1</v>
      </c>
      <c r="R501" s="670">
        <f t="shared" si="93"/>
        <v>0</v>
      </c>
      <c r="S501" s="322">
        <f t="shared" si="94"/>
        <v>0</v>
      </c>
    </row>
    <row r="502" spans="1:19">
      <c r="A502" s="155"/>
      <c r="B502" s="57"/>
      <c r="C502" s="24">
        <f t="shared" si="85"/>
        <v>1</v>
      </c>
      <c r="D502" s="674"/>
      <c r="E502" s="24">
        <f t="shared" si="86"/>
        <v>1</v>
      </c>
      <c r="F502" s="674"/>
      <c r="G502" s="24">
        <f t="shared" si="87"/>
        <v>1</v>
      </c>
      <c r="H502" s="674"/>
      <c r="I502" s="24">
        <f t="shared" si="88"/>
        <v>1</v>
      </c>
      <c r="J502" s="674"/>
      <c r="K502" s="24">
        <f t="shared" si="89"/>
        <v>1</v>
      </c>
      <c r="L502" s="674"/>
      <c r="M502" s="24">
        <f t="shared" si="90"/>
        <v>1</v>
      </c>
      <c r="N502" s="674"/>
      <c r="O502" s="24">
        <f t="shared" si="91"/>
        <v>1</v>
      </c>
      <c r="P502" s="674"/>
      <c r="Q502" s="24">
        <f t="shared" si="92"/>
        <v>1</v>
      </c>
      <c r="R502" s="670">
        <f t="shared" si="93"/>
        <v>0</v>
      </c>
      <c r="S502" s="322">
        <f t="shared" si="94"/>
        <v>0</v>
      </c>
    </row>
    <row r="503" spans="1:19">
      <c r="A503" s="155"/>
      <c r="B503" s="57"/>
      <c r="C503" s="24">
        <f t="shared" si="85"/>
        <v>1</v>
      </c>
      <c r="D503" s="674"/>
      <c r="E503" s="24">
        <f t="shared" si="86"/>
        <v>1</v>
      </c>
      <c r="F503" s="674"/>
      <c r="G503" s="24">
        <f t="shared" si="87"/>
        <v>1</v>
      </c>
      <c r="H503" s="674"/>
      <c r="I503" s="24">
        <f t="shared" si="88"/>
        <v>1</v>
      </c>
      <c r="J503" s="674"/>
      <c r="K503" s="24">
        <f t="shared" si="89"/>
        <v>1</v>
      </c>
      <c r="L503" s="674"/>
      <c r="M503" s="24">
        <f t="shared" si="90"/>
        <v>1</v>
      </c>
      <c r="N503" s="674"/>
      <c r="O503" s="24">
        <f t="shared" si="91"/>
        <v>1</v>
      </c>
      <c r="P503" s="674"/>
      <c r="Q503" s="24">
        <f t="shared" si="92"/>
        <v>1</v>
      </c>
      <c r="R503" s="670">
        <f t="shared" si="93"/>
        <v>0</v>
      </c>
      <c r="S503" s="322">
        <f t="shared" si="94"/>
        <v>0</v>
      </c>
    </row>
    <row r="504" spans="1:19">
      <c r="A504" s="155"/>
      <c r="B504" s="57"/>
      <c r="C504" s="24">
        <f t="shared" si="85"/>
        <v>1</v>
      </c>
      <c r="D504" s="674"/>
      <c r="E504" s="24">
        <f t="shared" si="86"/>
        <v>1</v>
      </c>
      <c r="F504" s="674"/>
      <c r="G504" s="24">
        <f t="shared" si="87"/>
        <v>1</v>
      </c>
      <c r="H504" s="674"/>
      <c r="I504" s="24">
        <f t="shared" si="88"/>
        <v>1</v>
      </c>
      <c r="J504" s="674"/>
      <c r="K504" s="24">
        <f t="shared" si="89"/>
        <v>1</v>
      </c>
      <c r="L504" s="674"/>
      <c r="M504" s="24">
        <f t="shared" si="90"/>
        <v>1</v>
      </c>
      <c r="N504" s="674"/>
      <c r="O504" s="24">
        <f t="shared" si="91"/>
        <v>1</v>
      </c>
      <c r="P504" s="674"/>
      <c r="Q504" s="24">
        <f t="shared" si="92"/>
        <v>1</v>
      </c>
      <c r="R504" s="670">
        <f t="shared" si="93"/>
        <v>0</v>
      </c>
      <c r="S504" s="322">
        <f t="shared" si="94"/>
        <v>0</v>
      </c>
    </row>
    <row r="505" spans="1:19">
      <c r="A505" s="155"/>
      <c r="B505" s="57"/>
      <c r="C505" s="24">
        <f t="shared" si="85"/>
        <v>1</v>
      </c>
      <c r="D505" s="674"/>
      <c r="E505" s="24">
        <f t="shared" si="86"/>
        <v>1</v>
      </c>
      <c r="F505" s="674"/>
      <c r="G505" s="24">
        <f t="shared" si="87"/>
        <v>1</v>
      </c>
      <c r="H505" s="674"/>
      <c r="I505" s="24">
        <f t="shared" si="88"/>
        <v>1</v>
      </c>
      <c r="J505" s="674"/>
      <c r="K505" s="24">
        <f t="shared" si="89"/>
        <v>1</v>
      </c>
      <c r="L505" s="674"/>
      <c r="M505" s="24">
        <f t="shared" si="90"/>
        <v>1</v>
      </c>
      <c r="N505" s="674"/>
      <c r="O505" s="24">
        <f t="shared" si="91"/>
        <v>1</v>
      </c>
      <c r="P505" s="674"/>
      <c r="Q505" s="24">
        <f t="shared" si="92"/>
        <v>1</v>
      </c>
      <c r="R505" s="670">
        <f t="shared" si="93"/>
        <v>0</v>
      </c>
      <c r="S505" s="322">
        <f t="shared" si="94"/>
        <v>0</v>
      </c>
    </row>
    <row r="506" spans="1:19">
      <c r="A506" s="155"/>
      <c r="B506" s="57"/>
      <c r="C506" s="24">
        <f t="shared" si="85"/>
        <v>1</v>
      </c>
      <c r="D506" s="674"/>
      <c r="E506" s="24">
        <f t="shared" si="86"/>
        <v>1</v>
      </c>
      <c r="F506" s="674"/>
      <c r="G506" s="24">
        <f t="shared" si="87"/>
        <v>1</v>
      </c>
      <c r="H506" s="674"/>
      <c r="I506" s="24">
        <f t="shared" si="88"/>
        <v>1</v>
      </c>
      <c r="J506" s="674"/>
      <c r="K506" s="24">
        <f t="shared" si="89"/>
        <v>1</v>
      </c>
      <c r="L506" s="674"/>
      <c r="M506" s="24">
        <f t="shared" si="90"/>
        <v>1</v>
      </c>
      <c r="N506" s="674"/>
      <c r="O506" s="24">
        <f t="shared" si="91"/>
        <v>1</v>
      </c>
      <c r="P506" s="674"/>
      <c r="Q506" s="24">
        <f t="shared" si="92"/>
        <v>1</v>
      </c>
      <c r="R506" s="670">
        <f t="shared" si="93"/>
        <v>0</v>
      </c>
      <c r="S506" s="322">
        <f t="shared" si="94"/>
        <v>0</v>
      </c>
    </row>
    <row r="507" spans="1:19">
      <c r="A507" s="155"/>
      <c r="B507" s="57"/>
      <c r="C507" s="24">
        <f t="shared" si="85"/>
        <v>1</v>
      </c>
      <c r="D507" s="674"/>
      <c r="E507" s="24">
        <f t="shared" si="86"/>
        <v>1</v>
      </c>
      <c r="F507" s="674"/>
      <c r="G507" s="24">
        <f t="shared" si="87"/>
        <v>1</v>
      </c>
      <c r="H507" s="674"/>
      <c r="I507" s="24">
        <f t="shared" si="88"/>
        <v>1</v>
      </c>
      <c r="J507" s="674"/>
      <c r="K507" s="24">
        <f t="shared" si="89"/>
        <v>1</v>
      </c>
      <c r="L507" s="674"/>
      <c r="M507" s="24">
        <f t="shared" si="90"/>
        <v>1</v>
      </c>
      <c r="N507" s="674"/>
      <c r="O507" s="24">
        <f t="shared" si="91"/>
        <v>1</v>
      </c>
      <c r="P507" s="674"/>
      <c r="Q507" s="24">
        <f t="shared" si="92"/>
        <v>1</v>
      </c>
      <c r="R507" s="670">
        <f t="shared" si="93"/>
        <v>0</v>
      </c>
      <c r="S507" s="322">
        <f t="shared" si="94"/>
        <v>0</v>
      </c>
    </row>
    <row r="508" spans="1:19">
      <c r="A508" s="155"/>
      <c r="B508" s="57"/>
      <c r="C508" s="24">
        <f t="shared" si="85"/>
        <v>1</v>
      </c>
      <c r="D508" s="674"/>
      <c r="E508" s="24">
        <f t="shared" si="86"/>
        <v>1</v>
      </c>
      <c r="F508" s="674"/>
      <c r="G508" s="24">
        <f t="shared" si="87"/>
        <v>1</v>
      </c>
      <c r="H508" s="674"/>
      <c r="I508" s="24">
        <f t="shared" si="88"/>
        <v>1</v>
      </c>
      <c r="J508" s="674"/>
      <c r="K508" s="24">
        <f t="shared" si="89"/>
        <v>1</v>
      </c>
      <c r="L508" s="674"/>
      <c r="M508" s="24">
        <f t="shared" si="90"/>
        <v>1</v>
      </c>
      <c r="N508" s="674"/>
      <c r="O508" s="24">
        <f t="shared" si="91"/>
        <v>1</v>
      </c>
      <c r="P508" s="674"/>
      <c r="Q508" s="24">
        <f t="shared" si="92"/>
        <v>1</v>
      </c>
      <c r="R508" s="670">
        <f t="shared" si="93"/>
        <v>0</v>
      </c>
      <c r="S508" s="322">
        <f t="shared" si="94"/>
        <v>0</v>
      </c>
    </row>
    <row r="509" spans="1:19">
      <c r="A509" s="155"/>
      <c r="B509" s="57"/>
      <c r="C509" s="24">
        <f t="shared" si="85"/>
        <v>1</v>
      </c>
      <c r="D509" s="674"/>
      <c r="E509" s="24">
        <f t="shared" si="86"/>
        <v>1</v>
      </c>
      <c r="F509" s="674"/>
      <c r="G509" s="24">
        <f t="shared" si="87"/>
        <v>1</v>
      </c>
      <c r="H509" s="674"/>
      <c r="I509" s="24">
        <f t="shared" si="88"/>
        <v>1</v>
      </c>
      <c r="J509" s="674"/>
      <c r="K509" s="24">
        <f t="shared" si="89"/>
        <v>1</v>
      </c>
      <c r="L509" s="674"/>
      <c r="M509" s="24">
        <f t="shared" si="90"/>
        <v>1</v>
      </c>
      <c r="N509" s="674"/>
      <c r="O509" s="24">
        <f t="shared" si="91"/>
        <v>1</v>
      </c>
      <c r="P509" s="674"/>
      <c r="Q509" s="24">
        <f t="shared" si="92"/>
        <v>1</v>
      </c>
      <c r="R509" s="670">
        <f t="shared" si="93"/>
        <v>0</v>
      </c>
      <c r="S509" s="322">
        <f t="shared" si="94"/>
        <v>0</v>
      </c>
    </row>
    <row r="510" spans="1:19">
      <c r="A510" s="155"/>
      <c r="B510" s="57"/>
      <c r="C510" s="24">
        <f t="shared" si="85"/>
        <v>1</v>
      </c>
      <c r="D510" s="674"/>
      <c r="E510" s="24">
        <f t="shared" si="86"/>
        <v>1</v>
      </c>
      <c r="F510" s="674"/>
      <c r="G510" s="24">
        <f t="shared" si="87"/>
        <v>1</v>
      </c>
      <c r="H510" s="674"/>
      <c r="I510" s="24">
        <f t="shared" si="88"/>
        <v>1</v>
      </c>
      <c r="J510" s="674"/>
      <c r="K510" s="24">
        <f t="shared" si="89"/>
        <v>1</v>
      </c>
      <c r="L510" s="674"/>
      <c r="M510" s="24">
        <f t="shared" si="90"/>
        <v>1</v>
      </c>
      <c r="N510" s="674"/>
      <c r="O510" s="24">
        <f t="shared" si="91"/>
        <v>1</v>
      </c>
      <c r="P510" s="674"/>
      <c r="Q510" s="24">
        <f t="shared" si="92"/>
        <v>1</v>
      </c>
      <c r="R510" s="670">
        <f t="shared" si="93"/>
        <v>0</v>
      </c>
      <c r="S510" s="322">
        <f t="shared" si="94"/>
        <v>0</v>
      </c>
    </row>
    <row r="511" spans="1:19">
      <c r="A511" s="155"/>
      <c r="B511" s="57"/>
      <c r="C511" s="24">
        <f t="shared" si="85"/>
        <v>1</v>
      </c>
      <c r="D511" s="674"/>
      <c r="E511" s="24">
        <f t="shared" si="86"/>
        <v>1</v>
      </c>
      <c r="F511" s="674"/>
      <c r="G511" s="24">
        <f t="shared" si="87"/>
        <v>1</v>
      </c>
      <c r="H511" s="674"/>
      <c r="I511" s="24">
        <f t="shared" si="88"/>
        <v>1</v>
      </c>
      <c r="J511" s="674"/>
      <c r="K511" s="24">
        <f t="shared" si="89"/>
        <v>1</v>
      </c>
      <c r="L511" s="674"/>
      <c r="M511" s="24">
        <f t="shared" si="90"/>
        <v>1</v>
      </c>
      <c r="N511" s="674"/>
      <c r="O511" s="24">
        <f t="shared" si="91"/>
        <v>1</v>
      </c>
      <c r="P511" s="674"/>
      <c r="Q511" s="24">
        <f t="shared" si="92"/>
        <v>1</v>
      </c>
      <c r="R511" s="670">
        <f t="shared" si="93"/>
        <v>0</v>
      </c>
      <c r="S511" s="322">
        <f t="shared" si="94"/>
        <v>0</v>
      </c>
    </row>
    <row r="512" spans="1:19">
      <c r="A512" s="155"/>
      <c r="B512" s="57"/>
      <c r="C512" s="24">
        <f t="shared" si="85"/>
        <v>1</v>
      </c>
      <c r="D512" s="674"/>
      <c r="E512" s="24">
        <f t="shared" si="86"/>
        <v>1</v>
      </c>
      <c r="F512" s="674"/>
      <c r="G512" s="24">
        <f t="shared" si="87"/>
        <v>1</v>
      </c>
      <c r="H512" s="674"/>
      <c r="I512" s="24">
        <f t="shared" si="88"/>
        <v>1</v>
      </c>
      <c r="J512" s="674"/>
      <c r="K512" s="24">
        <f t="shared" si="89"/>
        <v>1</v>
      </c>
      <c r="L512" s="674"/>
      <c r="M512" s="24">
        <f t="shared" si="90"/>
        <v>1</v>
      </c>
      <c r="N512" s="674"/>
      <c r="O512" s="24">
        <f t="shared" si="91"/>
        <v>1</v>
      </c>
      <c r="P512" s="674"/>
      <c r="Q512" s="24">
        <f t="shared" si="92"/>
        <v>1</v>
      </c>
      <c r="R512" s="670">
        <f t="shared" si="93"/>
        <v>0</v>
      </c>
      <c r="S512" s="322">
        <f t="shared" si="94"/>
        <v>0</v>
      </c>
    </row>
    <row r="513" spans="1:19">
      <c r="A513" s="155"/>
      <c r="B513" s="57"/>
      <c r="C513" s="24">
        <f t="shared" si="85"/>
        <v>1</v>
      </c>
      <c r="D513" s="674"/>
      <c r="E513" s="24">
        <f t="shared" si="86"/>
        <v>1</v>
      </c>
      <c r="F513" s="674"/>
      <c r="G513" s="24">
        <f t="shared" si="87"/>
        <v>1</v>
      </c>
      <c r="H513" s="674"/>
      <c r="I513" s="24">
        <f t="shared" si="88"/>
        <v>1</v>
      </c>
      <c r="J513" s="674"/>
      <c r="K513" s="24">
        <f t="shared" si="89"/>
        <v>1</v>
      </c>
      <c r="L513" s="674"/>
      <c r="M513" s="24">
        <f t="shared" si="90"/>
        <v>1</v>
      </c>
      <c r="N513" s="674"/>
      <c r="O513" s="24">
        <f t="shared" si="91"/>
        <v>1</v>
      </c>
      <c r="P513" s="674"/>
      <c r="Q513" s="24">
        <f t="shared" si="92"/>
        <v>1</v>
      </c>
      <c r="R513" s="670">
        <f t="shared" si="93"/>
        <v>0</v>
      </c>
      <c r="S513" s="322">
        <f t="shared" si="94"/>
        <v>0</v>
      </c>
    </row>
    <row r="514" spans="1:19">
      <c r="A514" s="155"/>
      <c r="B514" s="57"/>
      <c r="C514" s="24">
        <f t="shared" si="85"/>
        <v>1</v>
      </c>
      <c r="D514" s="674"/>
      <c r="E514" s="24">
        <f t="shared" si="86"/>
        <v>1</v>
      </c>
      <c r="F514" s="674"/>
      <c r="G514" s="24">
        <f t="shared" si="87"/>
        <v>1</v>
      </c>
      <c r="H514" s="674"/>
      <c r="I514" s="24">
        <f t="shared" si="88"/>
        <v>1</v>
      </c>
      <c r="J514" s="674"/>
      <c r="K514" s="24">
        <f t="shared" si="89"/>
        <v>1</v>
      </c>
      <c r="L514" s="674"/>
      <c r="M514" s="24">
        <f t="shared" si="90"/>
        <v>1</v>
      </c>
      <c r="N514" s="674"/>
      <c r="O514" s="24">
        <f t="shared" si="91"/>
        <v>1</v>
      </c>
      <c r="P514" s="674"/>
      <c r="Q514" s="24">
        <f t="shared" si="92"/>
        <v>1</v>
      </c>
      <c r="R514" s="670">
        <f t="shared" si="93"/>
        <v>0</v>
      </c>
      <c r="S514" s="322">
        <f t="shared" si="94"/>
        <v>0</v>
      </c>
    </row>
    <row r="515" spans="1:19">
      <c r="A515" s="155"/>
      <c r="B515" s="57"/>
      <c r="C515" s="24">
        <f t="shared" si="85"/>
        <v>1</v>
      </c>
      <c r="D515" s="674"/>
      <c r="E515" s="24">
        <f t="shared" si="86"/>
        <v>1</v>
      </c>
      <c r="F515" s="674"/>
      <c r="G515" s="24">
        <f t="shared" si="87"/>
        <v>1</v>
      </c>
      <c r="H515" s="674"/>
      <c r="I515" s="24">
        <f t="shared" si="88"/>
        <v>1</v>
      </c>
      <c r="J515" s="674"/>
      <c r="K515" s="24">
        <f t="shared" si="89"/>
        <v>1</v>
      </c>
      <c r="L515" s="674"/>
      <c r="M515" s="24">
        <f t="shared" si="90"/>
        <v>1</v>
      </c>
      <c r="N515" s="674"/>
      <c r="O515" s="24">
        <f t="shared" si="91"/>
        <v>1</v>
      </c>
      <c r="P515" s="674"/>
      <c r="Q515" s="24">
        <f t="shared" si="92"/>
        <v>1</v>
      </c>
      <c r="R515" s="670">
        <f t="shared" si="93"/>
        <v>0</v>
      </c>
      <c r="S515" s="322">
        <f t="shared" si="94"/>
        <v>0</v>
      </c>
    </row>
    <row r="516" spans="1:19">
      <c r="A516" s="155"/>
      <c r="B516" s="57"/>
      <c r="C516" s="24">
        <f t="shared" si="85"/>
        <v>1</v>
      </c>
      <c r="D516" s="674"/>
      <c r="E516" s="24">
        <f t="shared" si="86"/>
        <v>1</v>
      </c>
      <c r="F516" s="674"/>
      <c r="G516" s="24">
        <f t="shared" si="87"/>
        <v>1</v>
      </c>
      <c r="H516" s="674"/>
      <c r="I516" s="24">
        <f t="shared" si="88"/>
        <v>1</v>
      </c>
      <c r="J516" s="674"/>
      <c r="K516" s="24">
        <f t="shared" si="89"/>
        <v>1</v>
      </c>
      <c r="L516" s="674"/>
      <c r="M516" s="24">
        <f t="shared" si="90"/>
        <v>1</v>
      </c>
      <c r="N516" s="674"/>
      <c r="O516" s="24">
        <f t="shared" si="91"/>
        <v>1</v>
      </c>
      <c r="P516" s="674"/>
      <c r="Q516" s="24">
        <f t="shared" si="92"/>
        <v>1</v>
      </c>
      <c r="R516" s="670">
        <f t="shared" si="93"/>
        <v>0</v>
      </c>
      <c r="S516" s="322">
        <f t="shared" si="94"/>
        <v>0</v>
      </c>
    </row>
    <row r="517" spans="1:19">
      <c r="A517" s="155"/>
      <c r="B517" s="57"/>
      <c r="C517" s="24">
        <f t="shared" si="85"/>
        <v>1</v>
      </c>
      <c r="D517" s="674"/>
      <c r="E517" s="24">
        <f t="shared" si="86"/>
        <v>1</v>
      </c>
      <c r="F517" s="674"/>
      <c r="G517" s="24">
        <f t="shared" si="87"/>
        <v>1</v>
      </c>
      <c r="H517" s="674"/>
      <c r="I517" s="24">
        <f t="shared" si="88"/>
        <v>1</v>
      </c>
      <c r="J517" s="674"/>
      <c r="K517" s="24">
        <f t="shared" si="89"/>
        <v>1</v>
      </c>
      <c r="L517" s="674"/>
      <c r="M517" s="24">
        <f t="shared" si="90"/>
        <v>1</v>
      </c>
      <c r="N517" s="674"/>
      <c r="O517" s="24">
        <f t="shared" si="91"/>
        <v>1</v>
      </c>
      <c r="P517" s="674"/>
      <c r="Q517" s="24">
        <f t="shared" si="92"/>
        <v>1</v>
      </c>
      <c r="R517" s="670">
        <f t="shared" si="93"/>
        <v>0</v>
      </c>
      <c r="S517" s="322">
        <f t="shared" si="94"/>
        <v>0</v>
      </c>
    </row>
    <row r="518" spans="1:19">
      <c r="A518" s="155"/>
      <c r="B518" s="57"/>
      <c r="C518" s="24">
        <f t="shared" si="85"/>
        <v>1</v>
      </c>
      <c r="D518" s="674"/>
      <c r="E518" s="24">
        <f t="shared" si="86"/>
        <v>1</v>
      </c>
      <c r="F518" s="674"/>
      <c r="G518" s="24">
        <f t="shared" si="87"/>
        <v>1</v>
      </c>
      <c r="H518" s="674"/>
      <c r="I518" s="24">
        <f t="shared" si="88"/>
        <v>1</v>
      </c>
      <c r="J518" s="674"/>
      <c r="K518" s="24">
        <f t="shared" si="89"/>
        <v>1</v>
      </c>
      <c r="L518" s="674"/>
      <c r="M518" s="24">
        <f t="shared" si="90"/>
        <v>1</v>
      </c>
      <c r="N518" s="674"/>
      <c r="O518" s="24">
        <f t="shared" si="91"/>
        <v>1</v>
      </c>
      <c r="P518" s="674"/>
      <c r="Q518" s="24">
        <f t="shared" si="92"/>
        <v>1</v>
      </c>
      <c r="R518" s="670">
        <f t="shared" si="93"/>
        <v>0</v>
      </c>
      <c r="S518" s="322">
        <f t="shared" si="94"/>
        <v>0</v>
      </c>
    </row>
    <row r="519" spans="1:19">
      <c r="A519" s="155"/>
      <c r="B519" s="57"/>
      <c r="C519" s="24">
        <f t="shared" si="85"/>
        <v>1</v>
      </c>
      <c r="D519" s="674"/>
      <c r="E519" s="24">
        <f t="shared" si="86"/>
        <v>1</v>
      </c>
      <c r="F519" s="674"/>
      <c r="G519" s="24">
        <f t="shared" si="87"/>
        <v>1</v>
      </c>
      <c r="H519" s="674"/>
      <c r="I519" s="24">
        <f t="shared" si="88"/>
        <v>1</v>
      </c>
      <c r="J519" s="674"/>
      <c r="K519" s="24">
        <f t="shared" si="89"/>
        <v>1</v>
      </c>
      <c r="L519" s="674"/>
      <c r="M519" s="24">
        <f t="shared" si="90"/>
        <v>1</v>
      </c>
      <c r="N519" s="674"/>
      <c r="O519" s="24">
        <f t="shared" si="91"/>
        <v>1</v>
      </c>
      <c r="P519" s="674"/>
      <c r="Q519" s="24">
        <f t="shared" si="92"/>
        <v>1</v>
      </c>
      <c r="R519" s="670">
        <f t="shared" si="93"/>
        <v>0</v>
      </c>
      <c r="S519" s="322">
        <f t="shared" si="94"/>
        <v>0</v>
      </c>
    </row>
    <row r="520" spans="1:19">
      <c r="A520" s="155"/>
      <c r="B520" s="57"/>
      <c r="C520" s="24">
        <f t="shared" si="85"/>
        <v>1</v>
      </c>
      <c r="D520" s="674"/>
      <c r="E520" s="24">
        <f t="shared" si="86"/>
        <v>1</v>
      </c>
      <c r="F520" s="674"/>
      <c r="G520" s="24">
        <f t="shared" si="87"/>
        <v>1</v>
      </c>
      <c r="H520" s="674"/>
      <c r="I520" s="24">
        <f t="shared" si="88"/>
        <v>1</v>
      </c>
      <c r="J520" s="674"/>
      <c r="K520" s="24">
        <f t="shared" si="89"/>
        <v>1</v>
      </c>
      <c r="L520" s="674"/>
      <c r="M520" s="24">
        <f t="shared" si="90"/>
        <v>1</v>
      </c>
      <c r="N520" s="674"/>
      <c r="O520" s="24">
        <f t="shared" si="91"/>
        <v>1</v>
      </c>
      <c r="P520" s="674"/>
      <c r="Q520" s="24">
        <f t="shared" si="92"/>
        <v>1</v>
      </c>
      <c r="R520" s="670">
        <f t="shared" si="93"/>
        <v>0</v>
      </c>
      <c r="S520" s="322">
        <f t="shared" si="94"/>
        <v>0</v>
      </c>
    </row>
    <row r="521" spans="1:19">
      <c r="A521" s="155"/>
      <c r="B521" s="57"/>
      <c r="C521" s="24">
        <f t="shared" si="85"/>
        <v>1</v>
      </c>
      <c r="D521" s="674"/>
      <c r="E521" s="24">
        <f t="shared" si="86"/>
        <v>1</v>
      </c>
      <c r="F521" s="674"/>
      <c r="G521" s="24">
        <f t="shared" si="87"/>
        <v>1</v>
      </c>
      <c r="H521" s="674"/>
      <c r="I521" s="24">
        <f t="shared" si="88"/>
        <v>1</v>
      </c>
      <c r="J521" s="674"/>
      <c r="K521" s="24">
        <f t="shared" si="89"/>
        <v>1</v>
      </c>
      <c r="L521" s="674"/>
      <c r="M521" s="24">
        <f t="shared" si="90"/>
        <v>1</v>
      </c>
      <c r="N521" s="674"/>
      <c r="O521" s="24">
        <f t="shared" si="91"/>
        <v>1</v>
      </c>
      <c r="P521" s="674"/>
      <c r="Q521" s="24">
        <f t="shared" si="92"/>
        <v>1</v>
      </c>
      <c r="R521" s="670">
        <f t="shared" si="93"/>
        <v>0</v>
      </c>
      <c r="S521" s="322">
        <f t="shared" si="94"/>
        <v>0</v>
      </c>
    </row>
    <row r="522" spans="1:19">
      <c r="A522" s="155"/>
      <c r="B522" s="57"/>
      <c r="C522" s="24">
        <f t="shared" si="85"/>
        <v>1</v>
      </c>
      <c r="D522" s="674"/>
      <c r="E522" s="24">
        <f t="shared" si="86"/>
        <v>1</v>
      </c>
      <c r="F522" s="674"/>
      <c r="G522" s="24">
        <f t="shared" si="87"/>
        <v>1</v>
      </c>
      <c r="H522" s="674"/>
      <c r="I522" s="24">
        <f t="shared" si="88"/>
        <v>1</v>
      </c>
      <c r="J522" s="674"/>
      <c r="K522" s="24">
        <f t="shared" si="89"/>
        <v>1</v>
      </c>
      <c r="L522" s="674"/>
      <c r="M522" s="24">
        <f t="shared" si="90"/>
        <v>1</v>
      </c>
      <c r="N522" s="674"/>
      <c r="O522" s="24">
        <f t="shared" si="91"/>
        <v>1</v>
      </c>
      <c r="P522" s="674"/>
      <c r="Q522" s="24">
        <f t="shared" si="92"/>
        <v>1</v>
      </c>
      <c r="R522" s="670">
        <f t="shared" si="93"/>
        <v>0</v>
      </c>
      <c r="S522" s="322">
        <f t="shared" si="94"/>
        <v>0</v>
      </c>
    </row>
    <row r="523" spans="1:19">
      <c r="A523" s="155"/>
      <c r="B523" s="57"/>
      <c r="C523" s="24">
        <f t="shared" si="85"/>
        <v>1</v>
      </c>
      <c r="D523" s="674"/>
      <c r="E523" s="24">
        <f t="shared" si="86"/>
        <v>1</v>
      </c>
      <c r="F523" s="674"/>
      <c r="G523" s="24">
        <f t="shared" si="87"/>
        <v>1</v>
      </c>
      <c r="H523" s="674"/>
      <c r="I523" s="24">
        <f t="shared" si="88"/>
        <v>1</v>
      </c>
      <c r="J523" s="674"/>
      <c r="K523" s="24">
        <f t="shared" si="89"/>
        <v>1</v>
      </c>
      <c r="L523" s="674"/>
      <c r="M523" s="24">
        <f t="shared" si="90"/>
        <v>1</v>
      </c>
      <c r="N523" s="674"/>
      <c r="O523" s="24">
        <f t="shared" si="91"/>
        <v>1</v>
      </c>
      <c r="P523" s="674"/>
      <c r="Q523" s="24">
        <f t="shared" si="92"/>
        <v>1</v>
      </c>
      <c r="R523" s="670">
        <f t="shared" si="93"/>
        <v>0</v>
      </c>
      <c r="S523" s="322">
        <f t="shared" si="94"/>
        <v>0</v>
      </c>
    </row>
    <row r="524" spans="1:19">
      <c r="A524" s="155"/>
      <c r="B524" s="57"/>
      <c r="C524" s="24">
        <f t="shared" si="85"/>
        <v>1</v>
      </c>
      <c r="D524" s="674"/>
      <c r="E524" s="24">
        <f t="shared" si="86"/>
        <v>1</v>
      </c>
      <c r="F524" s="674"/>
      <c r="G524" s="24">
        <f t="shared" si="87"/>
        <v>1</v>
      </c>
      <c r="H524" s="674"/>
      <c r="I524" s="24">
        <f t="shared" si="88"/>
        <v>1</v>
      </c>
      <c r="J524" s="674"/>
      <c r="K524" s="24">
        <f t="shared" si="89"/>
        <v>1</v>
      </c>
      <c r="L524" s="674"/>
      <c r="M524" s="24">
        <f t="shared" si="90"/>
        <v>1</v>
      </c>
      <c r="N524" s="674"/>
      <c r="O524" s="24">
        <f t="shared" si="91"/>
        <v>1</v>
      </c>
      <c r="P524" s="674"/>
      <c r="Q524" s="24">
        <f t="shared" si="92"/>
        <v>1</v>
      </c>
      <c r="R524" s="670">
        <f t="shared" si="93"/>
        <v>0</v>
      </c>
      <c r="S524" s="322">
        <f t="shared" si="94"/>
        <v>0</v>
      </c>
    </row>
  </sheetData>
  <sheetProtection password="CEE9" sheet="1" objects="1" scenarios="1" formatCells="0" formatColumns="0" formatRows="0"/>
  <mergeCells count="2">
    <mergeCell ref="C22:Q22"/>
    <mergeCell ref="C1:S1"/>
  </mergeCells>
  <phoneticPr fontId="25" type="noConversion"/>
  <conditionalFormatting sqref="C24:C524 E24:E524 G24:G524 I24:I524 K24:K524 M24:M524 O24:O524 Q24:Q524">
    <cfRule type="cellIs" dxfId="0" priority="1" operator="notEqual">
      <formula>1</formula>
    </cfRule>
  </conditionalFormatting>
  <dataValidations count="9">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 type="list" allowBlank="1" showInputMessage="1" showErrorMessage="1" sqref="D20">
      <formula1>"需扣减承租人权益,——"</formula1>
    </dataValidation>
    <dataValidation type="list" allowBlank="1" showInputMessage="1" showErrorMessage="1" sqref="H20">
      <formula1>估价方法</formula1>
    </dataValidation>
  </dataValidations>
  <pageMargins left="0.7" right="0.7" top="0.75" bottom="0.75" header="0.3" footer="0.3"/>
  <legacyDrawing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workbookViewId="0">
      <selection activeCell="I1" sqref="I1"/>
    </sheetView>
  </sheetViews>
  <sheetFormatPr defaultColWidth="8.375" defaultRowHeight="12.75"/>
  <cols>
    <col min="1" max="1" width="9.375" style="275" customWidth="1"/>
    <col min="2" max="2" width="29.25" style="257" customWidth="1"/>
    <col min="3" max="3" width="12.125" style="257" customWidth="1"/>
    <col min="4" max="5" width="11.25" style="278" customWidth="1"/>
    <col min="6" max="6" width="9.5" style="257" customWidth="1"/>
    <col min="7" max="7" width="31.875" style="257" customWidth="1"/>
    <col min="8" max="254" width="9" style="257" customWidth="1"/>
    <col min="255" max="16384" width="8.375" style="257"/>
  </cols>
  <sheetData>
    <row r="1" spans="1:7" s="206" customFormat="1" ht="20.25">
      <c r="A1" s="202" t="s">
        <v>83</v>
      </c>
      <c r="B1" s="203"/>
      <c r="C1" s="204"/>
      <c r="D1" s="204"/>
      <c r="E1" s="204"/>
      <c r="F1" s="204"/>
      <c r="G1" s="205"/>
    </row>
    <row r="2" spans="1:7" s="206" customFormat="1" ht="18" customHeight="1">
      <c r="A2" s="207" t="s">
        <v>84</v>
      </c>
      <c r="B2" s="208">
        <f ca="1">C52</f>
        <v>54056</v>
      </c>
      <c r="C2" s="2" t="s">
        <v>133</v>
      </c>
      <c r="D2" s="205"/>
      <c r="E2" s="205"/>
      <c r="F2" s="205"/>
      <c r="G2" s="205"/>
    </row>
    <row r="3" spans="1:7" s="206" customFormat="1" ht="18" customHeight="1" thickBot="1">
      <c r="A3" s="209" t="s">
        <v>85</v>
      </c>
      <c r="B3" s="210">
        <f ca="1">ROUND(B2*10000/'数据-汇总表'!E3,0)</f>
        <v>18059</v>
      </c>
      <c r="C3" s="2" t="s">
        <v>134</v>
      </c>
      <c r="D3" s="205"/>
      <c r="E3" s="205"/>
      <c r="F3" s="205"/>
      <c r="G3" s="205"/>
    </row>
    <row r="4" spans="1:7" s="214" customFormat="1" ht="15.75">
      <c r="A4" s="211" t="s">
        <v>86</v>
      </c>
      <c r="B4" s="212"/>
      <c r="C4" s="212"/>
      <c r="D4" s="212"/>
      <c r="E4" s="212"/>
      <c r="F4" s="212"/>
      <c r="G4" s="213"/>
    </row>
    <row r="5" spans="1:7" s="220" customFormat="1" ht="13.5" customHeight="1">
      <c r="A5" s="261" t="s">
        <v>1022</v>
      </c>
      <c r="B5" s="216" t="s">
        <v>87</v>
      </c>
      <c r="C5" s="217">
        <f>C6+C7+C8</f>
        <v>20610</v>
      </c>
      <c r="D5" s="217" t="s">
        <v>88</v>
      </c>
      <c r="E5" s="218" t="s">
        <v>89</v>
      </c>
      <c r="F5" s="218" t="s">
        <v>90</v>
      </c>
      <c r="G5" s="219"/>
    </row>
    <row r="6" spans="1:7" s="220" customFormat="1" ht="13.5" customHeight="1">
      <c r="A6" s="883" t="s">
        <v>791</v>
      </c>
      <c r="B6" s="221" t="s">
        <v>91</v>
      </c>
      <c r="C6" s="222">
        <v>20000</v>
      </c>
      <c r="D6" s="223"/>
      <c r="E6" s="224"/>
      <c r="F6" s="224"/>
      <c r="G6" s="225"/>
    </row>
    <row r="7" spans="1:7" s="220" customFormat="1" ht="13.5" customHeight="1">
      <c r="A7" s="883" t="s">
        <v>792</v>
      </c>
      <c r="B7" s="221" t="s">
        <v>57</v>
      </c>
      <c r="C7" s="226">
        <f>ROUND(C6*F7,0)</f>
        <v>610</v>
      </c>
      <c r="D7" s="226"/>
      <c r="E7" s="224"/>
      <c r="F7" s="227">
        <f>'数据-取费表'!B48+'数据-取费表'!B49</f>
        <v>3.0499999999999999E-2</v>
      </c>
      <c r="G7" s="225"/>
    </row>
    <row r="8" spans="1:7" s="229" customFormat="1">
      <c r="A8" s="883" t="s">
        <v>793</v>
      </c>
      <c r="B8" s="221" t="s">
        <v>92</v>
      </c>
      <c r="C8" s="226" t="str">
        <f>IF(G8="已包含在土地购买价格中","0",'数据-取费表'!B29)</f>
        <v>0</v>
      </c>
      <c r="D8" s="228"/>
      <c r="E8" s="226"/>
      <c r="F8" s="227"/>
      <c r="G8" s="1" t="s">
        <v>1116</v>
      </c>
    </row>
    <row r="9" spans="1:7" s="220" customFormat="1" ht="13.5" customHeight="1">
      <c r="A9" s="884" t="s">
        <v>800</v>
      </c>
      <c r="B9" s="230" t="s">
        <v>93</v>
      </c>
      <c r="C9" s="231">
        <f>ROUND(D9*E9/10000,0)</f>
        <v>0</v>
      </c>
      <c r="D9" s="951">
        <f>'数据-汇总表'!E5</f>
        <v>0</v>
      </c>
      <c r="E9" s="231">
        <f>'数据-取费表'!B27</f>
        <v>160</v>
      </c>
      <c r="F9" s="227"/>
      <c r="G9" s="232"/>
    </row>
    <row r="10" spans="1:7" s="220" customFormat="1" ht="13.5" customHeight="1">
      <c r="A10" s="884" t="s">
        <v>801</v>
      </c>
      <c r="B10" s="230" t="s">
        <v>94</v>
      </c>
      <c r="C10" s="231">
        <f>ROUND(D10*E10/10000,0)</f>
        <v>599</v>
      </c>
      <c r="D10" s="951">
        <f>'数据-汇总表'!E6</f>
        <v>29932.760000000009</v>
      </c>
      <c r="E10" s="231">
        <f>'数据-取费表'!B28</f>
        <v>200</v>
      </c>
      <c r="F10" s="227"/>
      <c r="G10" s="232"/>
    </row>
    <row r="11" spans="1:7" s="220" customFormat="1" ht="13.5" hidden="1" customHeight="1">
      <c r="A11" s="233" t="s">
        <v>7</v>
      </c>
      <c r="B11" s="221" t="s">
        <v>95</v>
      </c>
      <c r="C11" s="217"/>
      <c r="D11" s="953"/>
      <c r="E11" s="224"/>
      <c r="F11" s="224"/>
      <c r="G11" s="225"/>
    </row>
    <row r="12" spans="1:7" s="220" customFormat="1" ht="13.5" hidden="1" customHeight="1">
      <c r="A12" s="233" t="s">
        <v>8</v>
      </c>
      <c r="B12" s="221" t="s">
        <v>96</v>
      </c>
      <c r="C12" s="217">
        <v>0</v>
      </c>
      <c r="D12" s="953"/>
      <c r="E12" s="234"/>
      <c r="F12" s="227">
        <v>3.0499999999999999E-2</v>
      </c>
      <c r="G12" s="225"/>
    </row>
    <row r="13" spans="1:7" s="220" customFormat="1" ht="13.5" hidden="1" customHeight="1">
      <c r="A13" s="233" t="s">
        <v>9</v>
      </c>
      <c r="B13" s="221" t="s">
        <v>97</v>
      </c>
      <c r="C13" s="217"/>
      <c r="D13" s="953"/>
      <c r="E13" s="224"/>
      <c r="F13" s="224"/>
      <c r="G13" s="225"/>
    </row>
    <row r="14" spans="1:7" s="220" customFormat="1" ht="13.5" hidden="1" customHeight="1">
      <c r="A14" s="233" t="s">
        <v>10</v>
      </c>
      <c r="B14" s="221" t="s">
        <v>92</v>
      </c>
      <c r="C14" s="217"/>
      <c r="D14" s="953"/>
      <c r="E14" s="224"/>
      <c r="F14" s="224"/>
      <c r="G14" s="225" t="s">
        <v>98</v>
      </c>
    </row>
    <row r="15" spans="1:7" s="220" customFormat="1" ht="13.5" hidden="1" customHeight="1">
      <c r="A15" s="233" t="s">
        <v>11</v>
      </c>
      <c r="B15" s="221" t="s">
        <v>99</v>
      </c>
      <c r="C15" s="226"/>
      <c r="D15" s="953"/>
      <c r="E15" s="224"/>
      <c r="F15" s="224"/>
      <c r="G15" s="225" t="s">
        <v>100</v>
      </c>
    </row>
    <row r="16" spans="1:7" s="220" customFormat="1" ht="13.5" hidden="1" customHeight="1">
      <c r="A16" s="233" t="s">
        <v>12</v>
      </c>
      <c r="B16" s="221" t="s">
        <v>92</v>
      </c>
      <c r="C16" s="226"/>
      <c r="D16" s="953"/>
      <c r="E16" s="224"/>
      <c r="F16" s="224"/>
      <c r="G16" s="225"/>
    </row>
    <row r="17" spans="1:7" s="220" customFormat="1" ht="13.5" hidden="1" customHeight="1">
      <c r="A17" s="233" t="s">
        <v>13</v>
      </c>
      <c r="B17" s="221" t="s">
        <v>101</v>
      </c>
      <c r="C17" s="235"/>
      <c r="D17" s="954"/>
      <c r="E17" s="235"/>
      <c r="F17" s="235"/>
      <c r="G17" s="225" t="s">
        <v>100</v>
      </c>
    </row>
    <row r="18" spans="1:7" s="220" customFormat="1" ht="13.5" hidden="1" customHeight="1">
      <c r="A18" s="233" t="s">
        <v>14</v>
      </c>
      <c r="B18" s="221" t="s">
        <v>102</v>
      </c>
      <c r="C18" s="226">
        <v>0</v>
      </c>
      <c r="D18" s="953"/>
      <c r="E18" s="224"/>
      <c r="F18" s="227">
        <v>3.0499999999999999E-2</v>
      </c>
      <c r="G18" s="225" t="s">
        <v>103</v>
      </c>
    </row>
    <row r="19" spans="1:7" s="229" customFormat="1" ht="13.5" customHeight="1">
      <c r="A19" s="882" t="s">
        <v>1023</v>
      </c>
      <c r="B19" s="216" t="s">
        <v>111</v>
      </c>
      <c r="C19" s="217">
        <f>IF(G19="已包含在土地取得成本中","0",ROUND(D19*E19/10000,0))</f>
        <v>599</v>
      </c>
      <c r="D19" s="955">
        <f>'数据-汇总表'!E3</f>
        <v>29932.760000000009</v>
      </c>
      <c r="E19" s="217">
        <f>'数据-取费表'!B31</f>
        <v>200</v>
      </c>
      <c r="F19" s="237"/>
      <c r="G19" s="1" t="s">
        <v>1042</v>
      </c>
    </row>
    <row r="20" spans="1:7" s="220" customFormat="1" ht="13.5" customHeight="1">
      <c r="A20" s="882" t="s">
        <v>1025</v>
      </c>
      <c r="B20" s="216" t="s">
        <v>104</v>
      </c>
      <c r="C20" s="238">
        <f>ROUND((C5+C19)*F20,0)</f>
        <v>424</v>
      </c>
      <c r="D20" s="238"/>
      <c r="E20" s="238"/>
      <c r="F20" s="239">
        <f>'数据-取费表'!B37</f>
        <v>0.02</v>
      </c>
      <c r="G20" s="1190" t="s">
        <v>1036</v>
      </c>
    </row>
    <row r="21" spans="1:7" s="220" customFormat="1" ht="13.5" customHeight="1">
      <c r="A21" s="882" t="s">
        <v>1027</v>
      </c>
      <c r="B21" s="216" t="s">
        <v>105</v>
      </c>
      <c r="C21" s="241">
        <f>F21</f>
        <v>0.02</v>
      </c>
      <c r="D21" s="242" t="s">
        <v>126</v>
      </c>
      <c r="E21" s="238"/>
      <c r="F21" s="239">
        <f>'数据-取费表'!B38</f>
        <v>0.02</v>
      </c>
      <c r="G21" s="240" t="s">
        <v>106</v>
      </c>
    </row>
    <row r="22" spans="1:7" s="220" customFormat="1" ht="13.5" customHeight="1">
      <c r="A22" s="882" t="s">
        <v>786</v>
      </c>
      <c r="B22" s="216" t="s">
        <v>107</v>
      </c>
      <c r="C22" s="1255">
        <f ca="1">ROUND(SUM(C23:C25),0)</f>
        <v>3199</v>
      </c>
      <c r="D22" s="241">
        <f ca="1">C26</f>
        <v>1.4E-3</v>
      </c>
      <c r="E22" s="242" t="s">
        <v>126</v>
      </c>
      <c r="F22" s="243">
        <f ca="1">'数据-取费表'!B40</f>
        <v>4.7500000000000001E-2</v>
      </c>
      <c r="G22" s="1190" t="str">
        <f>IF('数据-取费表'!B22&lt;=1,"单利计息","复利计息")</f>
        <v>复利计息</v>
      </c>
    </row>
    <row r="23" spans="1:7" s="220" customFormat="1" ht="13.5" customHeight="1">
      <c r="A23" s="885" t="s">
        <v>794</v>
      </c>
      <c r="B23" s="221" t="s">
        <v>1029</v>
      </c>
      <c r="C23" s="1256">
        <f ca="1">ROUND(IF('数据-取费表'!B22&lt;=1,C5*F22*'数据-取费表'!B23,C5*(POWER((1+F22),'数据-取费表'!B23)-1)),0)</f>
        <v>3079</v>
      </c>
      <c r="D23" s="244"/>
      <c r="E23" s="244"/>
      <c r="F23" s="245"/>
      <c r="G23" s="246" t="s">
        <v>108</v>
      </c>
    </row>
    <row r="24" spans="1:7" s="220" customFormat="1" ht="13.5" customHeight="1">
      <c r="A24" s="885" t="s">
        <v>792</v>
      </c>
      <c r="B24" s="221" t="s">
        <v>1024</v>
      </c>
      <c r="C24" s="1256">
        <f ca="1">ROUND(IF('数据-取费表'!B22&lt;=1,C19*F22*('数据-取费表'!B19/2+'数据-取费表'!B21),C19*(POWER((1+F22),('数据-取费表'!B19/2+'数据-取费表'!B21))-1)),0)</f>
        <v>89</v>
      </c>
      <c r="D24" s="244"/>
      <c r="E24" s="244"/>
      <c r="F24" s="245"/>
      <c r="G24" s="246" t="s">
        <v>109</v>
      </c>
    </row>
    <row r="25" spans="1:7" s="220" customFormat="1" ht="24">
      <c r="A25" s="885" t="s">
        <v>793</v>
      </c>
      <c r="B25" s="221" t="s">
        <v>1026</v>
      </c>
      <c r="C25" s="1256">
        <f ca="1">ROUND(IF('数据-取费表'!B22&lt;=1,C20*F22*'数据-取费表'!B23/2,C20*(POWER((1+F22),'数据-取费表'!B23/2)-1)),0)</f>
        <v>31</v>
      </c>
      <c r="D25" s="244"/>
      <c r="E25" s="247"/>
      <c r="F25" s="245"/>
      <c r="G25" s="248" t="s">
        <v>110</v>
      </c>
    </row>
    <row r="26" spans="1:7" s="220" customFormat="1">
      <c r="A26" s="885" t="s">
        <v>795</v>
      </c>
      <c r="B26" s="221" t="s">
        <v>1028</v>
      </c>
      <c r="C26" s="244">
        <f ca="1">ROUND(IF('数据-取费表'!B22&lt;=1,F21*F22*'数据-取费表'!B23/2,F21*(POWER((1+F22),'数据-取费表'!B23/2)-1)),4)</f>
        <v>1.4E-3</v>
      </c>
      <c r="D26" s="244"/>
      <c r="E26" s="247"/>
      <c r="F26" s="245"/>
      <c r="G26" s="249"/>
    </row>
    <row r="27" spans="1:7" s="220" customFormat="1" ht="24.75">
      <c r="A27" s="882" t="s">
        <v>787</v>
      </c>
      <c r="B27" s="250" t="s">
        <v>112</v>
      </c>
      <c r="C27" s="251">
        <f>C28</f>
        <v>2163</v>
      </c>
      <c r="D27" s="241">
        <f>C29</f>
        <v>2E-3</v>
      </c>
      <c r="E27" s="242" t="s">
        <v>126</v>
      </c>
      <c r="F27" s="252">
        <f>'数据-取费表'!Q16</f>
        <v>0.1</v>
      </c>
      <c r="G27" s="253" t="s">
        <v>1037</v>
      </c>
    </row>
    <row r="28" spans="1:7" s="220" customFormat="1" ht="13.5" customHeight="1">
      <c r="A28" s="885" t="s">
        <v>794</v>
      </c>
      <c r="B28" s="254" t="s">
        <v>1030</v>
      </c>
      <c r="C28" s="255">
        <f>ROUND((C5+C19+C20)*F27*'数据-取费表'!B21/'数据-取费表'!B20,0)</f>
        <v>2163</v>
      </c>
      <c r="D28" s="241"/>
      <c r="E28" s="242"/>
      <c r="F28" s="252"/>
      <c r="G28" s="253"/>
    </row>
    <row r="29" spans="1:7" s="220" customFormat="1" ht="13.5" customHeight="1">
      <c r="A29" s="885" t="s">
        <v>792</v>
      </c>
      <c r="B29" s="254" t="s">
        <v>1031</v>
      </c>
      <c r="C29" s="244">
        <f>ROUND(C21*F27*'数据-取费表'!B21/'数据-取费表'!B20,4)</f>
        <v>2E-3</v>
      </c>
      <c r="D29" s="241"/>
      <c r="E29" s="242"/>
      <c r="F29" s="252"/>
      <c r="G29" s="253"/>
    </row>
    <row r="30" spans="1:7" s="220" customFormat="1" ht="13.5" customHeight="1">
      <c r="A30" s="882" t="s">
        <v>788</v>
      </c>
      <c r="B30" s="216" t="s">
        <v>58</v>
      </c>
      <c r="C30" s="241">
        <f>F30</f>
        <v>5.6000000000000001E-2</v>
      </c>
      <c r="D30" s="242" t="s">
        <v>127</v>
      </c>
      <c r="E30" s="247"/>
      <c r="F30" s="243">
        <f>'数据-取费表'!B41</f>
        <v>5.6000000000000001E-2</v>
      </c>
      <c r="G30" s="240" t="s">
        <v>113</v>
      </c>
    </row>
    <row r="31" spans="1:7" ht="16.5" customHeight="1">
      <c r="A31" s="215">
        <v>1</v>
      </c>
      <c r="B31" s="216" t="s">
        <v>128</v>
      </c>
      <c r="C31" s="217">
        <f ca="1">ROUND((C5+C19+C20+C22+C27)/(1-C21-D22-D27-C30/(1+'数据-取费表'!B42)),0)</f>
        <v>29239</v>
      </c>
      <c r="D31" s="236"/>
      <c r="E31" s="217"/>
      <c r="F31" s="256"/>
      <c r="G31" s="240" t="s">
        <v>1038</v>
      </c>
    </row>
    <row r="32" spans="1:7" s="214" customFormat="1" ht="15.75">
      <c r="A32" s="258" t="s">
        <v>114</v>
      </c>
      <c r="B32" s="259"/>
      <c r="C32" s="259"/>
      <c r="D32" s="259"/>
      <c r="E32" s="259"/>
      <c r="F32" s="259"/>
      <c r="G32" s="260"/>
    </row>
    <row r="33" spans="1:7" s="220" customFormat="1" ht="13.5" customHeight="1">
      <c r="A33" s="261" t="s">
        <v>782</v>
      </c>
      <c r="B33" s="216" t="s">
        <v>115</v>
      </c>
      <c r="C33" s="262">
        <f>SUM(C34:C38)</f>
        <v>19300</v>
      </c>
      <c r="D33" s="238"/>
      <c r="E33" s="218"/>
      <c r="F33" s="247"/>
      <c r="G33" s="240"/>
    </row>
    <row r="34" spans="1:7" s="264" customFormat="1" ht="13.5" customHeight="1">
      <c r="A34" s="885" t="s">
        <v>794</v>
      </c>
      <c r="B34" s="221" t="s">
        <v>59</v>
      </c>
      <c r="C34" s="226">
        <f>IF(F34=100%,'数据-取费表'!M16-SUMIF('数据-取费表'!C:C,"公共配套",'数据-取费表'!M:M),'数据-取费表'!O16-SUMIF('数据-取费表'!C:C,"公共配套",'数据-取费表'!O:O))</f>
        <v>17896</v>
      </c>
      <c r="D34" s="223"/>
      <c r="E34" s="226"/>
      <c r="F34" s="263">
        <f>IF('数据-取费表'!B24=0,1,'数据-取费表'!N16)</f>
        <v>1</v>
      </c>
      <c r="G34" s="225" t="s">
        <v>116</v>
      </c>
    </row>
    <row r="35" spans="1:7" ht="13.5" customHeight="1">
      <c r="A35" s="885" t="s">
        <v>796</v>
      </c>
      <c r="B35" s="221" t="s">
        <v>60</v>
      </c>
      <c r="C35" s="226">
        <f>ROUND(C34*F35,0)</f>
        <v>537</v>
      </c>
      <c r="D35" s="226"/>
      <c r="E35" s="226"/>
      <c r="F35" s="265">
        <f>'数据-取费表'!B33</f>
        <v>0.03</v>
      </c>
      <c r="G35" s="225" t="s">
        <v>117</v>
      </c>
    </row>
    <row r="36" spans="1:7" ht="24">
      <c r="A36" s="885" t="s">
        <v>797</v>
      </c>
      <c r="B36" s="221" t="s">
        <v>61</v>
      </c>
      <c r="C36" s="226">
        <f>ROUND(IF(SUMIF('数据-取费表'!C:C,"住宅",IF(F34=100%,'数据-取费表'!M:M,'数据-取费表'!O:O))=0,0,IF(F36=0,SUMIF('数据-取费表'!C:C,"公共配套",IF(F34=100%,'数据-取费表'!M:M,'数据-取费表'!O:O)),SUMIF('数据-取费表'!C:C,"住宅",IF(F34=100%,'数据-取费表'!M:M,'数据-取费表'!O:O))*F36)),0)</f>
        <v>0</v>
      </c>
      <c r="D36" s="226"/>
      <c r="E36" s="226"/>
      <c r="F36" s="265">
        <f>'数据-取费表'!B34</f>
        <v>0.03</v>
      </c>
      <c r="G36" s="266" t="s">
        <v>62</v>
      </c>
    </row>
    <row r="37" spans="1:7" s="264" customFormat="1" ht="13.5" customHeight="1">
      <c r="A37" s="885" t="s">
        <v>798</v>
      </c>
      <c r="B37" s="221" t="s">
        <v>118</v>
      </c>
      <c r="C37" s="255">
        <f>ROUND(E37*D37*F34/10000,0)</f>
        <v>599</v>
      </c>
      <c r="D37" s="223">
        <f>'数据-汇总表'!E3</f>
        <v>29932.760000000009</v>
      </c>
      <c r="E37" s="255">
        <f>'数据-取费表'!B35</f>
        <v>200</v>
      </c>
      <c r="F37" s="265"/>
      <c r="G37" s="267" t="s">
        <v>119</v>
      </c>
    </row>
    <row r="38" spans="1:7" ht="13.5" customHeight="1">
      <c r="A38" s="885" t="s">
        <v>799</v>
      </c>
      <c r="B38" s="221" t="s">
        <v>63</v>
      </c>
      <c r="C38" s="226">
        <f>ROUND(C34*F38,0)</f>
        <v>268</v>
      </c>
      <c r="D38" s="226"/>
      <c r="E38" s="226"/>
      <c r="F38" s="265">
        <f>'数据-取费表'!B36</f>
        <v>1.4999999999999999E-2</v>
      </c>
      <c r="G38" s="225" t="s">
        <v>117</v>
      </c>
    </row>
    <row r="39" spans="1:7" s="220" customFormat="1" ht="13.5" customHeight="1">
      <c r="A39" s="882" t="s">
        <v>783</v>
      </c>
      <c r="B39" s="216" t="s">
        <v>104</v>
      </c>
      <c r="C39" s="238">
        <f>ROUND(C33*F20,0)</f>
        <v>386</v>
      </c>
      <c r="D39" s="238"/>
      <c r="E39" s="238"/>
      <c r="F39" s="239"/>
      <c r="G39" s="1190" t="s">
        <v>1039</v>
      </c>
    </row>
    <row r="40" spans="1:7" s="220" customFormat="1" ht="13.5" customHeight="1">
      <c r="A40" s="882" t="s">
        <v>784</v>
      </c>
      <c r="B40" s="216" t="s">
        <v>105</v>
      </c>
      <c r="C40" s="268">
        <f>F21</f>
        <v>0.02</v>
      </c>
      <c r="D40" s="242" t="s">
        <v>129</v>
      </c>
      <c r="E40" s="238"/>
      <c r="F40" s="239"/>
      <c r="G40" s="240" t="s">
        <v>120</v>
      </c>
    </row>
    <row r="41" spans="1:7" s="220" customFormat="1" ht="13.5" customHeight="1">
      <c r="A41" s="882" t="s">
        <v>785</v>
      </c>
      <c r="B41" s="216" t="s">
        <v>107</v>
      </c>
      <c r="C41" s="238">
        <f ca="1">ROUND(SUM(C42:C43),0)</f>
        <v>1419</v>
      </c>
      <c r="D41" s="241">
        <f ca="1">C44</f>
        <v>1.4E-3</v>
      </c>
      <c r="E41" s="242" t="s">
        <v>129</v>
      </c>
      <c r="F41" s="243"/>
      <c r="G41" s="1190" t="str">
        <f>IF('数据-取费表'!B22&lt;=1,"单利计息","复利计息")</f>
        <v>复利计息</v>
      </c>
    </row>
    <row r="42" spans="1:7" ht="13.5" customHeight="1">
      <c r="A42" s="885" t="s">
        <v>794</v>
      </c>
      <c r="B42" s="221" t="s">
        <v>1029</v>
      </c>
      <c r="C42" s="244">
        <f ca="1">ROUND(IF('数据-取费表'!B22&lt;=1,C33*F22*'数据-取费表'!B21/2,C33*(POWER((1+F22),'数据-取费表'!B21/2)-1)),0)</f>
        <v>1391</v>
      </c>
      <c r="D42" s="244"/>
      <c r="E42" s="244"/>
      <c r="F42" s="245"/>
      <c r="G42" s="3425" t="s">
        <v>121</v>
      </c>
    </row>
    <row r="43" spans="1:7" ht="13.5" customHeight="1">
      <c r="A43" s="885" t="s">
        <v>792</v>
      </c>
      <c r="B43" s="221" t="s">
        <v>1032</v>
      </c>
      <c r="C43" s="244">
        <f ca="1">ROUND(IF('数据-取费表'!B22&lt;=1,C39*F22*'数据-取费表'!B21/2,C39*(POWER((1+F22),'数据-取费表'!B21/2)-1)),0)</f>
        <v>28</v>
      </c>
      <c r="D43" s="244"/>
      <c r="E43" s="244"/>
      <c r="F43" s="245"/>
      <c r="G43" s="3426"/>
    </row>
    <row r="44" spans="1:7" ht="13.5" customHeight="1">
      <c r="A44" s="885" t="s">
        <v>793</v>
      </c>
      <c r="B44" s="221" t="s">
        <v>1034</v>
      </c>
      <c r="C44" s="244">
        <f ca="1">ROUND(IF('数据-取费表'!B22&lt;=1,C40*F22*'数据-取费表'!B21/2,C40*(POWER((1+F22),'数据-取费表'!B21/2)-1)),4)</f>
        <v>1.4E-3</v>
      </c>
      <c r="D44" s="244"/>
      <c r="E44" s="244"/>
      <c r="F44" s="245"/>
      <c r="G44" s="3427"/>
    </row>
    <row r="45" spans="1:7" s="220" customFormat="1" ht="13.5" customHeight="1">
      <c r="A45" s="882" t="s">
        <v>786</v>
      </c>
      <c r="B45" s="250" t="s">
        <v>112</v>
      </c>
      <c r="C45" s="251">
        <f>C46</f>
        <v>1969</v>
      </c>
      <c r="D45" s="241">
        <f>C47</f>
        <v>2E-3</v>
      </c>
      <c r="E45" s="242" t="s">
        <v>129</v>
      </c>
      <c r="F45" s="252"/>
      <c r="G45" s="253" t="s">
        <v>1040</v>
      </c>
    </row>
    <row r="46" spans="1:7" s="220" customFormat="1" ht="13.5" customHeight="1">
      <c r="A46" s="885" t="s">
        <v>794</v>
      </c>
      <c r="B46" s="254" t="s">
        <v>1033</v>
      </c>
      <c r="C46" s="255">
        <f>ROUND((C33+C39)*F27,0)</f>
        <v>1969</v>
      </c>
      <c r="D46" s="269"/>
      <c r="E46" s="242"/>
      <c r="F46" s="252"/>
      <c r="G46" s="253"/>
    </row>
    <row r="47" spans="1:7" s="220" customFormat="1" ht="13.5" customHeight="1">
      <c r="A47" s="885" t="s">
        <v>792</v>
      </c>
      <c r="B47" s="254" t="s">
        <v>1035</v>
      </c>
      <c r="C47" s="244">
        <f>ROUND(C40*F27,4)</f>
        <v>2E-3</v>
      </c>
      <c r="D47" s="269"/>
      <c r="E47" s="242"/>
      <c r="F47" s="252"/>
      <c r="G47" s="253"/>
    </row>
    <row r="48" spans="1:7" s="220" customFormat="1" ht="13.5" customHeight="1">
      <c r="A48" s="882" t="s">
        <v>787</v>
      </c>
      <c r="B48" s="216" t="s">
        <v>122</v>
      </c>
      <c r="C48" s="268">
        <f>F30</f>
        <v>5.6000000000000001E-2</v>
      </c>
      <c r="D48" s="242" t="s">
        <v>130</v>
      </c>
      <c r="E48" s="238"/>
      <c r="F48" s="243"/>
      <c r="G48" s="240" t="s">
        <v>123</v>
      </c>
    </row>
    <row r="49" spans="1:7" ht="16.5" customHeight="1">
      <c r="A49" s="882" t="s">
        <v>788</v>
      </c>
      <c r="B49" s="216" t="s">
        <v>131</v>
      </c>
      <c r="C49" s="238">
        <f ca="1">ROUND((C33+C39+C41+C45)/(1-C40-D41-D45-C48/(1+'数据-取费表'!B42)),0)</f>
        <v>24992</v>
      </c>
      <c r="D49" s="238"/>
      <c r="E49" s="238"/>
      <c r="F49" s="270"/>
      <c r="G49" s="240" t="s">
        <v>1041</v>
      </c>
    </row>
    <row r="50" spans="1:7" s="264" customFormat="1" ht="24">
      <c r="A50" s="882" t="s">
        <v>789</v>
      </c>
      <c r="B50" s="216" t="s">
        <v>124</v>
      </c>
      <c r="C50" s="238"/>
      <c r="D50" s="238"/>
      <c r="E50" s="238"/>
      <c r="F50" s="270">
        <f>IF('数据-取费表'!B24=0,'数据-取费表'!N16,1)</f>
        <v>0.99299999999999999</v>
      </c>
      <c r="G50" s="253" t="s">
        <v>125</v>
      </c>
    </row>
    <row r="51" spans="1:7" ht="16.5" customHeight="1">
      <c r="A51" s="882" t="s">
        <v>790</v>
      </c>
      <c r="B51" s="216" t="s">
        <v>132</v>
      </c>
      <c r="C51" s="238">
        <f ca="1">ROUND(C49*F50,0)</f>
        <v>24817</v>
      </c>
      <c r="D51" s="238"/>
      <c r="E51" s="238"/>
      <c r="F51" s="270"/>
      <c r="G51" s="240" t="s">
        <v>64</v>
      </c>
    </row>
    <row r="52" spans="1:7" s="214" customFormat="1" ht="16.5" thickBot="1">
      <c r="A52" s="271" t="s">
        <v>65</v>
      </c>
      <c r="B52" s="272"/>
      <c r="C52" s="273">
        <f ca="1">C31+C51</f>
        <v>54056</v>
      </c>
      <c r="D52" s="272"/>
      <c r="E52" s="272"/>
      <c r="F52" s="272"/>
      <c r="G52" s="274"/>
    </row>
    <row r="55" spans="1:7" ht="15">
      <c r="B55" s="276" t="s">
        <v>66</v>
      </c>
      <c r="C55" s="277"/>
    </row>
    <row r="56" spans="1:7">
      <c r="B56" s="279" t="s">
        <v>67</v>
      </c>
      <c r="C56" s="280">
        <f ca="1">ROUND(C51/C52,3)</f>
        <v>0.45900000000000002</v>
      </c>
    </row>
    <row r="57" spans="1:7">
      <c r="B57" s="279" t="s">
        <v>68</v>
      </c>
      <c r="C57" s="281">
        <f ca="1">1-C56</f>
        <v>0.54099999999999993</v>
      </c>
    </row>
  </sheetData>
  <mergeCells count="1">
    <mergeCell ref="G42:G44"/>
  </mergeCells>
  <phoneticPr fontId="18" type="noConversion"/>
  <dataValidations count="2">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44"/>
  <sheetViews>
    <sheetView workbookViewId="0">
      <selection activeCell="G224" sqref="G224"/>
    </sheetView>
  </sheetViews>
  <sheetFormatPr defaultColWidth="9" defaultRowHeight="13.5"/>
  <cols>
    <col min="1" max="1" width="12.625" style="791" customWidth="1"/>
    <col min="2" max="5" width="10.25" style="749" customWidth="1"/>
    <col min="6" max="6" width="9" style="749"/>
    <col min="7" max="8" width="9" style="764"/>
    <col min="9" max="16384" width="9" style="749"/>
  </cols>
  <sheetData>
    <row r="1" spans="1:19">
      <c r="A1" s="3502" t="s">
        <v>156</v>
      </c>
      <c r="B1" s="3502"/>
      <c r="C1" s="3502"/>
      <c r="D1" s="3502"/>
      <c r="E1" s="3502"/>
      <c r="F1" s="3502"/>
      <c r="H1" s="766" t="s">
        <v>157</v>
      </c>
      <c r="I1" s="767" t="s">
        <v>158</v>
      </c>
      <c r="J1" s="767" t="s">
        <v>159</v>
      </c>
      <c r="K1" s="767" t="s">
        <v>160</v>
      </c>
      <c r="L1" s="767" t="s">
        <v>161</v>
      </c>
      <c r="M1" s="767" t="s">
        <v>162</v>
      </c>
      <c r="N1" s="767" t="s">
        <v>163</v>
      </c>
      <c r="O1" s="767" t="s">
        <v>164</v>
      </c>
      <c r="P1" s="767" t="s">
        <v>165</v>
      </c>
      <c r="Q1" s="767" t="s">
        <v>166</v>
      </c>
      <c r="R1" s="767" t="s">
        <v>167</v>
      </c>
      <c r="S1" s="768" t="s">
        <v>168</v>
      </c>
    </row>
    <row r="2" spans="1:19" ht="14.25" thickBot="1">
      <c r="A2" s="3503" t="s">
        <v>169</v>
      </c>
      <c r="B2" s="3503"/>
      <c r="C2" s="3503"/>
      <c r="D2" s="3503"/>
      <c r="E2" s="3503"/>
      <c r="F2" s="3503"/>
      <c r="H2" s="769" t="s">
        <v>170</v>
      </c>
      <c r="I2" s="770" t="s">
        <v>171</v>
      </c>
      <c r="J2" s="770" t="s">
        <v>172</v>
      </c>
      <c r="K2" s="770" t="s">
        <v>173</v>
      </c>
      <c r="L2" s="770" t="s">
        <v>174</v>
      </c>
      <c r="M2" s="770" t="s">
        <v>175</v>
      </c>
      <c r="N2" s="770" t="s">
        <v>176</v>
      </c>
      <c r="O2" s="770" t="s">
        <v>177</v>
      </c>
      <c r="P2" s="770" t="s">
        <v>178</v>
      </c>
      <c r="Q2" s="770" t="s">
        <v>179</v>
      </c>
      <c r="R2" s="770" t="s">
        <v>180</v>
      </c>
      <c r="S2" s="770" t="s">
        <v>181</v>
      </c>
    </row>
    <row r="3" spans="1:19" s="765" customFormat="1" ht="19.5" customHeight="1">
      <c r="A3" s="3504" t="s">
        <v>182</v>
      </c>
      <c r="B3" s="771"/>
      <c r="C3" s="772" t="s">
        <v>183</v>
      </c>
      <c r="D3" s="772" t="s">
        <v>184</v>
      </c>
      <c r="E3" s="772" t="s">
        <v>751</v>
      </c>
      <c r="F3" s="772" t="s">
        <v>186</v>
      </c>
      <c r="G3" s="773"/>
      <c r="H3" s="769" t="s">
        <v>187</v>
      </c>
      <c r="I3" s="770" t="s">
        <v>188</v>
      </c>
      <c r="J3" s="770" t="s">
        <v>189</v>
      </c>
      <c r="K3" s="770" t="s">
        <v>190</v>
      </c>
      <c r="L3" s="770" t="s">
        <v>191</v>
      </c>
      <c r="M3" s="770" t="s">
        <v>192</v>
      </c>
      <c r="N3" s="770" t="s">
        <v>193</v>
      </c>
      <c r="O3" s="770" t="s">
        <v>194</v>
      </c>
      <c r="P3" s="770" t="s">
        <v>195</v>
      </c>
      <c r="Q3" s="770" t="s">
        <v>196</v>
      </c>
      <c r="R3" s="770" t="s">
        <v>197</v>
      </c>
      <c r="S3" s="770" t="s">
        <v>198</v>
      </c>
    </row>
    <row r="4" spans="1:19" s="765" customFormat="1" ht="19.5" customHeight="1" thickBot="1">
      <c r="A4" s="3505"/>
      <c r="B4" s="774" t="s">
        <v>199</v>
      </c>
      <c r="C4" s="774" t="s">
        <v>200</v>
      </c>
      <c r="D4" s="774" t="s">
        <v>200</v>
      </c>
      <c r="E4" s="774" t="s">
        <v>200</v>
      </c>
      <c r="F4" s="775" t="s">
        <v>200</v>
      </c>
      <c r="G4" s="773"/>
      <c r="H4" s="769" t="s">
        <v>201</v>
      </c>
      <c r="I4" s="770" t="s">
        <v>138</v>
      </c>
      <c r="J4" s="770" t="s">
        <v>202</v>
      </c>
      <c r="K4" s="770" t="s">
        <v>203</v>
      </c>
      <c r="L4" s="770" t="s">
        <v>204</v>
      </c>
      <c r="M4" s="770" t="s">
        <v>205</v>
      </c>
      <c r="N4" s="770" t="s">
        <v>206</v>
      </c>
      <c r="O4" s="770" t="s">
        <v>207</v>
      </c>
      <c r="P4" s="770" t="s">
        <v>208</v>
      </c>
      <c r="Q4" s="770" t="s">
        <v>209</v>
      </c>
      <c r="R4" s="770" t="s">
        <v>210</v>
      </c>
      <c r="S4" s="770" t="s">
        <v>211</v>
      </c>
    </row>
    <row r="5" spans="1:19" ht="14.25" customHeight="1" thickBot="1">
      <c r="A5" s="776" t="s">
        <v>816</v>
      </c>
      <c r="B5" s="777" t="s">
        <v>817</v>
      </c>
      <c r="C5" s="777">
        <v>29530</v>
      </c>
      <c r="D5" s="777">
        <v>28130</v>
      </c>
      <c r="E5" s="777">
        <v>27930</v>
      </c>
      <c r="F5" s="778">
        <v>11300</v>
      </c>
      <c r="G5" s="773"/>
      <c r="H5" s="769" t="s">
        <v>213</v>
      </c>
      <c r="I5" s="770" t="s">
        <v>214</v>
      </c>
      <c r="J5" s="770" t="s">
        <v>215</v>
      </c>
      <c r="K5" s="770" t="s">
        <v>216</v>
      </c>
      <c r="L5" s="770" t="s">
        <v>217</v>
      </c>
      <c r="M5" s="770" t="s">
        <v>218</v>
      </c>
      <c r="N5" s="770" t="s">
        <v>219</v>
      </c>
      <c r="O5" s="770" t="s">
        <v>220</v>
      </c>
      <c r="P5" s="770" t="s">
        <v>221</v>
      </c>
      <c r="Q5" s="770" t="s">
        <v>222</v>
      </c>
      <c r="R5" s="770" t="s">
        <v>223</v>
      </c>
      <c r="S5" s="770" t="s">
        <v>224</v>
      </c>
    </row>
    <row r="6" spans="1:19" ht="14.25" customHeight="1" thickBot="1">
      <c r="A6" s="776" t="s">
        <v>212</v>
      </c>
      <c r="B6" s="770" t="s">
        <v>187</v>
      </c>
      <c r="C6" s="770">
        <v>30290</v>
      </c>
      <c r="D6" s="770">
        <v>29210</v>
      </c>
      <c r="E6" s="770">
        <v>28860</v>
      </c>
      <c r="F6" s="779">
        <v>12600</v>
      </c>
      <c r="G6" s="773"/>
      <c r="H6" s="769" t="s">
        <v>225</v>
      </c>
      <c r="I6" s="770" t="s">
        <v>226</v>
      </c>
      <c r="J6" s="770" t="s">
        <v>227</v>
      </c>
      <c r="K6" s="770" t="s">
        <v>228</v>
      </c>
      <c r="L6" s="770" t="s">
        <v>229</v>
      </c>
      <c r="M6" s="770" t="s">
        <v>230</v>
      </c>
      <c r="N6" s="770" t="s">
        <v>231</v>
      </c>
      <c r="O6" s="770" t="s">
        <v>232</v>
      </c>
      <c r="P6" s="770" t="s">
        <v>233</v>
      </c>
      <c r="Q6" s="770" t="s">
        <v>234</v>
      </c>
      <c r="R6" s="770" t="s">
        <v>235</v>
      </c>
      <c r="S6" s="770" t="s">
        <v>236</v>
      </c>
    </row>
    <row r="7" spans="1:19" ht="14.25" customHeight="1" thickBot="1">
      <c r="A7" s="776" t="s">
        <v>212</v>
      </c>
      <c r="B7" s="780" t="s">
        <v>201</v>
      </c>
      <c r="C7" s="770">
        <v>29350</v>
      </c>
      <c r="D7" s="770">
        <v>28410</v>
      </c>
      <c r="E7" s="770">
        <v>27990</v>
      </c>
      <c r="F7" s="779">
        <v>12300</v>
      </c>
      <c r="G7" s="773"/>
      <c r="I7" s="770" t="s">
        <v>237</v>
      </c>
      <c r="J7" s="770" t="s">
        <v>238</v>
      </c>
      <c r="K7" s="770" t="s">
        <v>239</v>
      </c>
      <c r="L7" s="770" t="s">
        <v>240</v>
      </c>
      <c r="M7" s="770" t="s">
        <v>241</v>
      </c>
      <c r="N7" s="770" t="s">
        <v>242</v>
      </c>
      <c r="O7" s="770" t="s">
        <v>243</v>
      </c>
      <c r="P7" s="770" t="s">
        <v>244</v>
      </c>
      <c r="Q7" s="770" t="s">
        <v>245</v>
      </c>
      <c r="R7" s="770" t="s">
        <v>246</v>
      </c>
      <c r="S7" s="780" t="s">
        <v>247</v>
      </c>
    </row>
    <row r="8" spans="1:19" ht="14.25" customHeight="1" thickBot="1">
      <c r="A8" s="776" t="s">
        <v>212</v>
      </c>
      <c r="B8" s="770" t="s">
        <v>213</v>
      </c>
      <c r="C8" s="770">
        <v>30890</v>
      </c>
      <c r="D8" s="770">
        <v>29780</v>
      </c>
      <c r="E8" s="770">
        <v>29270</v>
      </c>
      <c r="F8" s="779">
        <v>11600</v>
      </c>
      <c r="G8" s="773"/>
      <c r="I8" s="770" t="s">
        <v>248</v>
      </c>
      <c r="J8" s="770" t="s">
        <v>249</v>
      </c>
      <c r="K8" s="770" t="s">
        <v>250</v>
      </c>
      <c r="L8" s="770" t="s">
        <v>251</v>
      </c>
      <c r="M8" s="770" t="s">
        <v>252</v>
      </c>
      <c r="N8" s="770" t="s">
        <v>253</v>
      </c>
      <c r="O8" s="770" t="s">
        <v>254</v>
      </c>
      <c r="P8" s="770" t="s">
        <v>255</v>
      </c>
      <c r="Q8" s="770" t="s">
        <v>256</v>
      </c>
      <c r="R8" s="770" t="s">
        <v>257</v>
      </c>
      <c r="S8" s="770" t="s">
        <v>258</v>
      </c>
    </row>
    <row r="9" spans="1:19" ht="14.25" customHeight="1" thickBot="1">
      <c r="A9" s="776" t="s">
        <v>212</v>
      </c>
      <c r="B9" s="781" t="s">
        <v>225</v>
      </c>
      <c r="C9" s="782">
        <v>28140</v>
      </c>
      <c r="D9" s="782"/>
      <c r="E9" s="782"/>
      <c r="F9" s="783"/>
      <c r="G9" s="773"/>
      <c r="I9" s="770" t="s">
        <v>259</v>
      </c>
      <c r="J9" s="770" t="s">
        <v>260</v>
      </c>
      <c r="K9" s="770" t="s">
        <v>261</v>
      </c>
      <c r="L9" s="770" t="s">
        <v>262</v>
      </c>
      <c r="M9" s="770" t="s">
        <v>263</v>
      </c>
      <c r="N9" s="770" t="s">
        <v>264</v>
      </c>
      <c r="O9" s="770" t="s">
        <v>265</v>
      </c>
      <c r="P9" s="770" t="s">
        <v>266</v>
      </c>
      <c r="Q9" s="770" t="s">
        <v>267</v>
      </c>
      <c r="R9" s="770" t="s">
        <v>268</v>
      </c>
    </row>
    <row r="10" spans="1:19" ht="14.25" customHeight="1" thickBot="1">
      <c r="A10" s="776" t="s">
        <v>269</v>
      </c>
      <c r="B10" s="777" t="s">
        <v>270</v>
      </c>
      <c r="C10" s="777">
        <v>27450</v>
      </c>
      <c r="D10" s="777">
        <v>26180</v>
      </c>
      <c r="E10" s="777">
        <v>25980</v>
      </c>
      <c r="F10" s="778">
        <v>8910</v>
      </c>
      <c r="G10" s="773"/>
      <c r="I10" s="770" t="s">
        <v>271</v>
      </c>
      <c r="J10" s="770" t="s">
        <v>272</v>
      </c>
      <c r="K10" s="770" t="s">
        <v>273</v>
      </c>
      <c r="L10" s="770" t="s">
        <v>274</v>
      </c>
      <c r="M10" s="770" t="s">
        <v>275</v>
      </c>
      <c r="N10" s="770" t="s">
        <v>276</v>
      </c>
      <c r="O10" s="770" t="s">
        <v>277</v>
      </c>
      <c r="P10" s="770" t="s">
        <v>278</v>
      </c>
      <c r="Q10" s="770" t="s">
        <v>279</v>
      </c>
      <c r="R10" s="770" t="s">
        <v>280</v>
      </c>
    </row>
    <row r="11" spans="1:19" ht="14.25" customHeight="1" thickBot="1">
      <c r="A11" s="776" t="s">
        <v>269</v>
      </c>
      <c r="B11" s="780" t="s">
        <v>188</v>
      </c>
      <c r="C11" s="770">
        <v>22950</v>
      </c>
      <c r="D11" s="770">
        <v>22630</v>
      </c>
      <c r="E11" s="770">
        <v>22030</v>
      </c>
      <c r="F11" s="784">
        <v>8330</v>
      </c>
      <c r="G11" s="773"/>
      <c r="I11" s="770" t="s">
        <v>281</v>
      </c>
      <c r="J11" s="770" t="s">
        <v>282</v>
      </c>
      <c r="K11" s="770" t="s">
        <v>283</v>
      </c>
      <c r="L11" s="770" t="s">
        <v>284</v>
      </c>
      <c r="M11" s="770" t="s">
        <v>285</v>
      </c>
      <c r="N11" s="770" t="s">
        <v>286</v>
      </c>
      <c r="O11" s="770" t="s">
        <v>287</v>
      </c>
      <c r="P11" s="770" t="s">
        <v>288</v>
      </c>
      <c r="Q11" s="770" t="s">
        <v>289</v>
      </c>
      <c r="R11" s="770" t="s">
        <v>290</v>
      </c>
    </row>
    <row r="12" spans="1:19" ht="14.25" customHeight="1" thickBot="1">
      <c r="A12" s="776" t="s">
        <v>269</v>
      </c>
      <c r="B12" s="780" t="s">
        <v>138</v>
      </c>
      <c r="C12" s="770">
        <v>24940</v>
      </c>
      <c r="D12" s="770">
        <v>23180</v>
      </c>
      <c r="E12" s="770">
        <v>22910</v>
      </c>
      <c r="F12" s="784">
        <v>7180</v>
      </c>
      <c r="G12" s="773"/>
      <c r="I12" s="770" t="s">
        <v>291</v>
      </c>
      <c r="J12" s="770" t="s">
        <v>292</v>
      </c>
      <c r="K12" s="770" t="s">
        <v>293</v>
      </c>
      <c r="L12" s="770" t="s">
        <v>294</v>
      </c>
      <c r="M12" s="770" t="s">
        <v>295</v>
      </c>
      <c r="N12" s="770" t="s">
        <v>296</v>
      </c>
      <c r="O12" s="770" t="s">
        <v>297</v>
      </c>
      <c r="P12" s="770" t="s">
        <v>298</v>
      </c>
      <c r="Q12" s="770" t="s">
        <v>299</v>
      </c>
      <c r="R12" s="770" t="s">
        <v>300</v>
      </c>
    </row>
    <row r="13" spans="1:19" ht="14.25" customHeight="1" thickBot="1">
      <c r="A13" s="776" t="s">
        <v>269</v>
      </c>
      <c r="B13" s="780" t="s">
        <v>214</v>
      </c>
      <c r="C13" s="770">
        <v>24140</v>
      </c>
      <c r="D13" s="770">
        <v>22270</v>
      </c>
      <c r="E13" s="770">
        <v>21950</v>
      </c>
      <c r="F13" s="784">
        <v>7600</v>
      </c>
      <c r="G13" s="773"/>
      <c r="I13" s="770" t="s">
        <v>301</v>
      </c>
      <c r="J13" s="770" t="s">
        <v>302</v>
      </c>
      <c r="K13" s="770" t="s">
        <v>303</v>
      </c>
      <c r="L13" s="770" t="s">
        <v>304</v>
      </c>
      <c r="M13" s="770" t="s">
        <v>305</v>
      </c>
      <c r="N13" s="770" t="s">
        <v>306</v>
      </c>
      <c r="O13" s="770" t="s">
        <v>307</v>
      </c>
      <c r="P13" s="770" t="s">
        <v>308</v>
      </c>
      <c r="Q13" s="770" t="s">
        <v>309</v>
      </c>
      <c r="R13" s="770" t="s">
        <v>310</v>
      </c>
    </row>
    <row r="14" spans="1:19" ht="14.25" customHeight="1" thickBot="1">
      <c r="A14" s="776" t="s">
        <v>269</v>
      </c>
      <c r="B14" s="780" t="s">
        <v>226</v>
      </c>
      <c r="C14" s="770">
        <v>25600</v>
      </c>
      <c r="D14" s="770">
        <v>22260</v>
      </c>
      <c r="E14" s="770">
        <v>22110</v>
      </c>
      <c r="F14" s="784">
        <v>7630</v>
      </c>
      <c r="G14" s="773"/>
      <c r="I14" s="770" t="s">
        <v>311</v>
      </c>
      <c r="J14" s="770" t="s">
        <v>312</v>
      </c>
      <c r="K14" s="770" t="s">
        <v>313</v>
      </c>
      <c r="L14" s="770" t="s">
        <v>314</v>
      </c>
      <c r="M14" s="770" t="s">
        <v>315</v>
      </c>
      <c r="N14" s="770" t="s">
        <v>316</v>
      </c>
      <c r="O14" s="770" t="s">
        <v>317</v>
      </c>
      <c r="P14" s="770" t="s">
        <v>318</v>
      </c>
      <c r="Q14" s="770" t="s">
        <v>319</v>
      </c>
      <c r="R14" s="770" t="s">
        <v>320</v>
      </c>
    </row>
    <row r="15" spans="1:19" ht="14.25" customHeight="1" thickBot="1">
      <c r="A15" s="776" t="s">
        <v>269</v>
      </c>
      <c r="B15" s="780" t="s">
        <v>237</v>
      </c>
      <c r="C15" s="770">
        <v>24760</v>
      </c>
      <c r="D15" s="770">
        <v>24440</v>
      </c>
      <c r="E15" s="770">
        <v>24130</v>
      </c>
      <c r="F15" s="784">
        <v>9480</v>
      </c>
      <c r="G15" s="773"/>
      <c r="I15" s="770" t="s">
        <v>322</v>
      </c>
      <c r="J15" s="770" t="s">
        <v>323</v>
      </c>
      <c r="K15" s="770" t="s">
        <v>324</v>
      </c>
      <c r="L15" s="770" t="s">
        <v>325</v>
      </c>
      <c r="M15" s="770" t="s">
        <v>326</v>
      </c>
      <c r="N15" s="770" t="s">
        <v>327</v>
      </c>
      <c r="O15" s="770" t="s">
        <v>328</v>
      </c>
      <c r="P15" s="770" t="s">
        <v>329</v>
      </c>
      <c r="Q15" s="770" t="s">
        <v>330</v>
      </c>
      <c r="R15" s="770" t="s">
        <v>331</v>
      </c>
    </row>
    <row r="16" spans="1:19" ht="14.25" customHeight="1" thickBot="1">
      <c r="A16" s="776" t="s">
        <v>269</v>
      </c>
      <c r="B16" s="780" t="s">
        <v>248</v>
      </c>
      <c r="C16" s="770">
        <v>22220</v>
      </c>
      <c r="D16" s="770">
        <v>22310</v>
      </c>
      <c r="E16" s="770">
        <v>22000</v>
      </c>
      <c r="F16" s="784">
        <v>8900</v>
      </c>
      <c r="G16" s="773"/>
      <c r="I16" s="770" t="s">
        <v>333</v>
      </c>
      <c r="J16" s="770" t="s">
        <v>334</v>
      </c>
      <c r="K16" s="770" t="s">
        <v>335</v>
      </c>
      <c r="L16" s="770" t="s">
        <v>336</v>
      </c>
      <c r="M16" s="770" t="s">
        <v>337</v>
      </c>
      <c r="N16" s="770" t="s">
        <v>338</v>
      </c>
      <c r="O16" s="770" t="s">
        <v>339</v>
      </c>
      <c r="P16" s="770" t="s">
        <v>340</v>
      </c>
      <c r="Q16" s="770" t="s">
        <v>341</v>
      </c>
      <c r="R16" s="770" t="s">
        <v>342</v>
      </c>
    </row>
    <row r="17" spans="1:18" ht="14.25" customHeight="1" thickBot="1">
      <c r="A17" s="776" t="s">
        <v>269</v>
      </c>
      <c r="B17" s="780" t="s">
        <v>259</v>
      </c>
      <c r="C17" s="770">
        <v>24700</v>
      </c>
      <c r="D17" s="770">
        <v>25150</v>
      </c>
      <c r="E17" s="770">
        <v>24700</v>
      </c>
      <c r="F17" s="785"/>
      <c r="G17" s="773"/>
      <c r="I17" s="770" t="s">
        <v>343</v>
      </c>
      <c r="J17" s="770" t="s">
        <v>344</v>
      </c>
      <c r="K17" s="770" t="s">
        <v>345</v>
      </c>
      <c r="L17" s="770" t="s">
        <v>346</v>
      </c>
      <c r="M17" s="770" t="s">
        <v>347</v>
      </c>
      <c r="N17" s="770" t="s">
        <v>348</v>
      </c>
      <c r="O17" s="770" t="s">
        <v>349</v>
      </c>
      <c r="P17" s="770" t="s">
        <v>350</v>
      </c>
      <c r="Q17" s="770" t="s">
        <v>351</v>
      </c>
      <c r="R17" s="770" t="s">
        <v>352</v>
      </c>
    </row>
    <row r="18" spans="1:18" ht="14.25" customHeight="1" thickBot="1">
      <c r="A18" s="776" t="s">
        <v>269</v>
      </c>
      <c r="B18" s="780" t="s">
        <v>271</v>
      </c>
      <c r="C18" s="770">
        <v>22350</v>
      </c>
      <c r="D18" s="770">
        <v>24340</v>
      </c>
      <c r="E18" s="770">
        <v>24100</v>
      </c>
      <c r="F18" s="785"/>
      <c r="G18" s="773"/>
      <c r="I18" s="770" t="s">
        <v>353</v>
      </c>
      <c r="J18" s="770" t="s">
        <v>354</v>
      </c>
      <c r="K18" s="770" t="s">
        <v>355</v>
      </c>
      <c r="L18" s="770" t="s">
        <v>356</v>
      </c>
      <c r="M18" s="770" t="s">
        <v>357</v>
      </c>
      <c r="N18" s="770" t="s">
        <v>358</v>
      </c>
      <c r="O18" s="770" t="s">
        <v>359</v>
      </c>
      <c r="P18" s="770" t="s">
        <v>360</v>
      </c>
      <c r="Q18" s="770" t="s">
        <v>361</v>
      </c>
      <c r="R18" s="770" t="s">
        <v>362</v>
      </c>
    </row>
    <row r="19" spans="1:18" ht="14.25" customHeight="1" thickBot="1">
      <c r="A19" s="776" t="s">
        <v>269</v>
      </c>
      <c r="B19" s="780" t="s">
        <v>281</v>
      </c>
      <c r="C19" s="770">
        <v>23430</v>
      </c>
      <c r="D19" s="770">
        <v>21580</v>
      </c>
      <c r="E19" s="770">
        <v>21350</v>
      </c>
      <c r="F19" s="785"/>
      <c r="G19" s="773"/>
      <c r="I19" s="770" t="s">
        <v>363</v>
      </c>
      <c r="J19" s="770" t="s">
        <v>364</v>
      </c>
      <c r="K19" s="770" t="s">
        <v>365</v>
      </c>
      <c r="L19" s="770" t="s">
        <v>366</v>
      </c>
      <c r="M19" s="770" t="s">
        <v>367</v>
      </c>
      <c r="N19" s="770" t="s">
        <v>368</v>
      </c>
      <c r="O19" s="770" t="s">
        <v>369</v>
      </c>
      <c r="P19" s="770" t="s">
        <v>370</v>
      </c>
      <c r="Q19" s="770" t="s">
        <v>371</v>
      </c>
      <c r="R19" s="770" t="s">
        <v>372</v>
      </c>
    </row>
    <row r="20" spans="1:18" ht="14.25" customHeight="1" thickBot="1">
      <c r="A20" s="776" t="s">
        <v>269</v>
      </c>
      <c r="B20" s="780" t="s">
        <v>291</v>
      </c>
      <c r="C20" s="770">
        <v>27660</v>
      </c>
      <c r="D20" s="770">
        <v>24240</v>
      </c>
      <c r="E20" s="770">
        <v>24020</v>
      </c>
      <c r="F20" s="785"/>
      <c r="I20" s="770" t="s">
        <v>373</v>
      </c>
      <c r="J20" s="770" t="s">
        <v>374</v>
      </c>
      <c r="K20" s="770" t="s">
        <v>375</v>
      </c>
      <c r="L20" s="770" t="s">
        <v>376</v>
      </c>
      <c r="M20" s="770" t="s">
        <v>377</v>
      </c>
      <c r="N20" s="770" t="s">
        <v>378</v>
      </c>
      <c r="O20" s="770" t="s">
        <v>379</v>
      </c>
      <c r="P20" s="770" t="s">
        <v>380</v>
      </c>
      <c r="Q20" s="770" t="s">
        <v>381</v>
      </c>
      <c r="R20" s="770" t="s">
        <v>382</v>
      </c>
    </row>
    <row r="21" spans="1:18" ht="14.25" customHeight="1" thickBot="1">
      <c r="A21" s="776" t="s">
        <v>269</v>
      </c>
      <c r="B21" s="780" t="s">
        <v>301</v>
      </c>
      <c r="C21" s="770">
        <v>24720</v>
      </c>
      <c r="D21" s="770">
        <v>21670</v>
      </c>
      <c r="E21" s="770">
        <v>21510</v>
      </c>
      <c r="F21" s="785"/>
      <c r="J21" s="770" t="s">
        <v>383</v>
      </c>
      <c r="K21" s="770" t="s">
        <v>384</v>
      </c>
      <c r="L21" s="770" t="s">
        <v>385</v>
      </c>
      <c r="M21" s="770" t="s">
        <v>386</v>
      </c>
      <c r="N21" s="770" t="s">
        <v>387</v>
      </c>
      <c r="O21" s="770" t="s">
        <v>388</v>
      </c>
      <c r="P21" s="770" t="s">
        <v>389</v>
      </c>
      <c r="Q21" s="770" t="s">
        <v>390</v>
      </c>
      <c r="R21" s="770" t="s">
        <v>391</v>
      </c>
    </row>
    <row r="22" spans="1:18" ht="14.25" customHeight="1" thickBot="1">
      <c r="A22" s="776" t="s">
        <v>269</v>
      </c>
      <c r="B22" s="780" t="s">
        <v>392</v>
      </c>
      <c r="C22" s="770">
        <v>26530</v>
      </c>
      <c r="D22" s="770">
        <v>22980</v>
      </c>
      <c r="E22" s="770">
        <v>22650</v>
      </c>
      <c r="F22" s="785"/>
      <c r="K22" s="770" t="s">
        <v>393</v>
      </c>
      <c r="L22" s="770" t="s">
        <v>394</v>
      </c>
      <c r="M22" s="770" t="s">
        <v>395</v>
      </c>
      <c r="N22" s="770" t="s">
        <v>396</v>
      </c>
      <c r="O22" s="770" t="s">
        <v>397</v>
      </c>
      <c r="P22" s="770" t="s">
        <v>398</v>
      </c>
      <c r="Q22" s="770" t="s">
        <v>399</v>
      </c>
      <c r="R22" s="780" t="s">
        <v>400</v>
      </c>
    </row>
    <row r="23" spans="1:18" ht="14.25" customHeight="1" thickBot="1">
      <c r="A23" s="776" t="s">
        <v>269</v>
      </c>
      <c r="B23" s="780" t="s">
        <v>322</v>
      </c>
      <c r="C23" s="770">
        <v>24700</v>
      </c>
      <c r="D23" s="770">
        <v>27290</v>
      </c>
      <c r="E23" s="770">
        <v>26710</v>
      </c>
      <c r="F23" s="785"/>
      <c r="K23" s="770" t="s">
        <v>401</v>
      </c>
      <c r="L23" s="770" t="s">
        <v>402</v>
      </c>
      <c r="M23" s="770" t="s">
        <v>403</v>
      </c>
      <c r="N23" s="770" t="s">
        <v>404</v>
      </c>
      <c r="O23" s="770" t="s">
        <v>405</v>
      </c>
      <c r="P23" s="770" t="s">
        <v>406</v>
      </c>
      <c r="Q23" s="770" t="s">
        <v>407</v>
      </c>
    </row>
    <row r="24" spans="1:18" ht="14.25" customHeight="1" thickBot="1">
      <c r="A24" s="776" t="s">
        <v>269</v>
      </c>
      <c r="B24" s="780" t="s">
        <v>333</v>
      </c>
      <c r="C24" s="770">
        <v>23070</v>
      </c>
      <c r="D24" s="770">
        <v>24130</v>
      </c>
      <c r="E24" s="770">
        <v>23860</v>
      </c>
      <c r="F24" s="785"/>
      <c r="K24" s="770" t="s">
        <v>408</v>
      </c>
      <c r="L24" s="770" t="s">
        <v>409</v>
      </c>
      <c r="M24" s="770" t="s">
        <v>410</v>
      </c>
      <c r="N24" s="770" t="s">
        <v>411</v>
      </c>
      <c r="O24" s="770" t="s">
        <v>412</v>
      </c>
      <c r="P24" s="770" t="s">
        <v>413</v>
      </c>
      <c r="Q24" s="770" t="s">
        <v>414</v>
      </c>
    </row>
    <row r="25" spans="1:18" ht="14.25" customHeight="1" thickBot="1">
      <c r="A25" s="776" t="s">
        <v>269</v>
      </c>
      <c r="B25" s="780" t="s">
        <v>343</v>
      </c>
      <c r="C25" s="770">
        <v>27550</v>
      </c>
      <c r="D25" s="770">
        <v>25850</v>
      </c>
      <c r="E25" s="770">
        <v>25340</v>
      </c>
      <c r="F25" s="785"/>
      <c r="K25" s="770" t="s">
        <v>415</v>
      </c>
      <c r="L25" s="770" t="s">
        <v>416</v>
      </c>
      <c r="M25" s="770" t="s">
        <v>417</v>
      </c>
      <c r="N25" s="770" t="s">
        <v>418</v>
      </c>
      <c r="O25" s="770" t="s">
        <v>419</v>
      </c>
      <c r="P25" s="770" t="s">
        <v>420</v>
      </c>
      <c r="Q25" s="770" t="s">
        <v>421</v>
      </c>
    </row>
    <row r="26" spans="1:18" ht="14.25" customHeight="1" thickBot="1">
      <c r="A26" s="776" t="s">
        <v>269</v>
      </c>
      <c r="B26" s="780" t="s">
        <v>353</v>
      </c>
      <c r="C26" s="770"/>
      <c r="D26" s="770">
        <v>23900</v>
      </c>
      <c r="E26" s="770">
        <v>23590</v>
      </c>
      <c r="F26" s="785"/>
      <c r="K26" s="770" t="s">
        <v>422</v>
      </c>
      <c r="L26" s="770" t="s">
        <v>423</v>
      </c>
      <c r="M26" s="770" t="s">
        <v>424</v>
      </c>
      <c r="N26" s="770" t="s">
        <v>425</v>
      </c>
      <c r="O26" s="770" t="s">
        <v>426</v>
      </c>
      <c r="P26" s="770" t="s">
        <v>427</v>
      </c>
      <c r="Q26" s="770" t="s">
        <v>428</v>
      </c>
    </row>
    <row r="27" spans="1:18" ht="14.25" customHeight="1" thickBot="1">
      <c r="A27" s="776" t="s">
        <v>269</v>
      </c>
      <c r="B27" s="780" t="s">
        <v>363</v>
      </c>
      <c r="C27" s="770"/>
      <c r="D27" s="770">
        <v>22850</v>
      </c>
      <c r="E27" s="770">
        <v>21920</v>
      </c>
      <c r="F27" s="785"/>
      <c r="K27" s="770" t="s">
        <v>429</v>
      </c>
      <c r="L27" s="770" t="s">
        <v>430</v>
      </c>
      <c r="M27" s="770" t="s">
        <v>431</v>
      </c>
      <c r="N27" s="770" t="s">
        <v>432</v>
      </c>
      <c r="O27" s="770" t="s">
        <v>433</v>
      </c>
      <c r="P27" s="770" t="s">
        <v>434</v>
      </c>
      <c r="Q27" s="770" t="s">
        <v>435</v>
      </c>
    </row>
    <row r="28" spans="1:18" ht="14.25" customHeight="1" thickBot="1">
      <c r="A28" s="786" t="s">
        <v>269</v>
      </c>
      <c r="B28" s="781" t="s">
        <v>373</v>
      </c>
      <c r="C28" s="782"/>
      <c r="D28" s="782">
        <v>26610</v>
      </c>
      <c r="E28" s="782">
        <v>26370</v>
      </c>
      <c r="F28" s="783"/>
      <c r="K28" s="770" t="s">
        <v>436</v>
      </c>
      <c r="L28" s="770" t="s">
        <v>437</v>
      </c>
      <c r="M28" s="770" t="s">
        <v>438</v>
      </c>
      <c r="N28" s="770" t="s">
        <v>439</v>
      </c>
      <c r="O28" s="770" t="s">
        <v>440</v>
      </c>
      <c r="P28" s="770" t="s">
        <v>441</v>
      </c>
    </row>
    <row r="29" spans="1:18" ht="14.25" customHeight="1" thickBot="1">
      <c r="A29" s="776" t="s">
        <v>442</v>
      </c>
      <c r="B29" s="777" t="s">
        <v>443</v>
      </c>
      <c r="C29" s="777">
        <v>22090</v>
      </c>
      <c r="D29" s="777">
        <v>21860</v>
      </c>
      <c r="E29" s="777">
        <v>19380</v>
      </c>
      <c r="F29" s="778">
        <v>6610</v>
      </c>
      <c r="L29" s="770" t="s">
        <v>444</v>
      </c>
      <c r="M29" s="770" t="s">
        <v>445</v>
      </c>
      <c r="N29" s="770" t="s">
        <v>446</v>
      </c>
      <c r="O29" s="770" t="s">
        <v>447</v>
      </c>
      <c r="P29" s="770" t="s">
        <v>448</v>
      </c>
    </row>
    <row r="30" spans="1:18" ht="14.25" customHeight="1" thickBot="1">
      <c r="A30" s="776" t="s">
        <v>442</v>
      </c>
      <c r="B30" s="780" t="s">
        <v>189</v>
      </c>
      <c r="C30" s="770">
        <v>21380</v>
      </c>
      <c r="D30" s="770">
        <v>19930</v>
      </c>
      <c r="E30" s="770">
        <v>19860</v>
      </c>
      <c r="F30" s="784">
        <v>6010</v>
      </c>
      <c r="L30" s="770" t="s">
        <v>449</v>
      </c>
      <c r="M30" s="770" t="s">
        <v>450</v>
      </c>
      <c r="N30" s="770" t="s">
        <v>451</v>
      </c>
      <c r="O30" s="770" t="s">
        <v>1021</v>
      </c>
      <c r="P30" s="770" t="s">
        <v>452</v>
      </c>
    </row>
    <row r="31" spans="1:18" ht="14.25" customHeight="1" thickBot="1">
      <c r="A31" s="776" t="s">
        <v>442</v>
      </c>
      <c r="B31" s="780" t="s">
        <v>202</v>
      </c>
      <c r="C31" s="770">
        <v>21670</v>
      </c>
      <c r="D31" s="770">
        <v>20660</v>
      </c>
      <c r="E31" s="770">
        <v>20290</v>
      </c>
      <c r="F31" s="784">
        <v>5840</v>
      </c>
      <c r="L31" s="770" t="s">
        <v>453</v>
      </c>
      <c r="M31" s="770" t="s">
        <v>454</v>
      </c>
      <c r="N31" s="770" t="s">
        <v>455</v>
      </c>
      <c r="O31" s="770" t="s">
        <v>456</v>
      </c>
      <c r="P31" s="770" t="s">
        <v>457</v>
      </c>
    </row>
    <row r="32" spans="1:18" ht="14.25" customHeight="1" thickBot="1">
      <c r="A32" s="776" t="s">
        <v>442</v>
      </c>
      <c r="B32" s="780" t="s">
        <v>215</v>
      </c>
      <c r="C32" s="770">
        <v>22280</v>
      </c>
      <c r="D32" s="770">
        <v>21800</v>
      </c>
      <c r="E32" s="770">
        <v>17650</v>
      </c>
      <c r="F32" s="784">
        <v>4690</v>
      </c>
      <c r="L32" s="770" t="s">
        <v>458</v>
      </c>
      <c r="M32" s="770" t="s">
        <v>459</v>
      </c>
      <c r="N32" s="770" t="s">
        <v>460</v>
      </c>
      <c r="O32" s="770" t="s">
        <v>461</v>
      </c>
      <c r="P32" s="770" t="s">
        <v>462</v>
      </c>
    </row>
    <row r="33" spans="1:16" ht="14.25" customHeight="1" thickBot="1">
      <c r="A33" s="776" t="s">
        <v>442</v>
      </c>
      <c r="B33" s="780" t="s">
        <v>227</v>
      </c>
      <c r="C33" s="770">
        <v>22130</v>
      </c>
      <c r="D33" s="770">
        <v>20460</v>
      </c>
      <c r="E33" s="770">
        <v>18500</v>
      </c>
      <c r="F33" s="784">
        <v>5340</v>
      </c>
      <c r="L33" s="770" t="s">
        <v>463</v>
      </c>
      <c r="M33" s="770" t="s">
        <v>464</v>
      </c>
      <c r="N33" s="770" t="s">
        <v>465</v>
      </c>
      <c r="O33" s="770" t="s">
        <v>466</v>
      </c>
      <c r="P33" s="770" t="s">
        <v>467</v>
      </c>
    </row>
    <row r="34" spans="1:16" ht="14.25" customHeight="1" thickBot="1">
      <c r="A34" s="776" t="s">
        <v>442</v>
      </c>
      <c r="B34" s="780" t="s">
        <v>238</v>
      </c>
      <c r="C34" s="770">
        <v>22070</v>
      </c>
      <c r="D34" s="770">
        <v>20110</v>
      </c>
      <c r="E34" s="770">
        <v>18830</v>
      </c>
      <c r="F34" s="784">
        <v>5190</v>
      </c>
      <c r="L34" s="770" t="s">
        <v>468</v>
      </c>
      <c r="M34" s="770" t="s">
        <v>469</v>
      </c>
      <c r="N34" s="770" t="s">
        <v>470</v>
      </c>
      <c r="O34" s="770" t="s">
        <v>471</v>
      </c>
      <c r="P34" s="770" t="s">
        <v>472</v>
      </c>
    </row>
    <row r="35" spans="1:16" ht="14.25" customHeight="1" thickBot="1">
      <c r="A35" s="776" t="s">
        <v>442</v>
      </c>
      <c r="B35" s="780" t="s">
        <v>249</v>
      </c>
      <c r="C35" s="770">
        <v>22240</v>
      </c>
      <c r="D35" s="770">
        <v>19550</v>
      </c>
      <c r="E35" s="770">
        <v>19220</v>
      </c>
      <c r="F35" s="784">
        <v>5800</v>
      </c>
      <c r="L35" s="770" t="s">
        <v>473</v>
      </c>
      <c r="M35" s="770" t="s">
        <v>474</v>
      </c>
      <c r="N35" s="770" t="s">
        <v>475</v>
      </c>
      <c r="O35" s="770" t="s">
        <v>476</v>
      </c>
      <c r="P35" s="770" t="s">
        <v>477</v>
      </c>
    </row>
    <row r="36" spans="1:16" ht="14.25" customHeight="1" thickBot="1">
      <c r="A36" s="776" t="s">
        <v>442</v>
      </c>
      <c r="B36" s="780" t="s">
        <v>260</v>
      </c>
      <c r="C36" s="770">
        <v>19750</v>
      </c>
      <c r="D36" s="770">
        <v>19790</v>
      </c>
      <c r="E36" s="770">
        <v>18510</v>
      </c>
      <c r="F36" s="784">
        <v>6520</v>
      </c>
      <c r="M36" s="770" t="s">
        <v>478</v>
      </c>
      <c r="N36" s="770" t="s">
        <v>479</v>
      </c>
      <c r="O36" s="770" t="s">
        <v>480</v>
      </c>
      <c r="P36" s="770" t="s">
        <v>481</v>
      </c>
    </row>
    <row r="37" spans="1:16" ht="14.25" customHeight="1" thickBot="1">
      <c r="A37" s="776" t="s">
        <v>442</v>
      </c>
      <c r="B37" s="780" t="s">
        <v>272</v>
      </c>
      <c r="C37" s="770">
        <v>22380</v>
      </c>
      <c r="D37" s="770">
        <v>18530</v>
      </c>
      <c r="E37" s="770">
        <v>17930</v>
      </c>
      <c r="F37" s="784">
        <v>6270</v>
      </c>
      <c r="M37" s="770" t="s">
        <v>482</v>
      </c>
      <c r="N37" s="770" t="s">
        <v>483</v>
      </c>
      <c r="O37" s="770" t="s">
        <v>484</v>
      </c>
      <c r="P37" s="770" t="s">
        <v>485</v>
      </c>
    </row>
    <row r="38" spans="1:16" ht="14.25" customHeight="1" thickBot="1">
      <c r="A38" s="776" t="s">
        <v>442</v>
      </c>
      <c r="B38" s="780" t="s">
        <v>282</v>
      </c>
      <c r="C38" s="770">
        <v>20200</v>
      </c>
      <c r="D38" s="770">
        <v>20070</v>
      </c>
      <c r="E38" s="770">
        <v>19950</v>
      </c>
      <c r="F38" s="784"/>
      <c r="M38" s="770" t="s">
        <v>486</v>
      </c>
      <c r="N38" s="770" t="s">
        <v>487</v>
      </c>
      <c r="O38" s="770" t="s">
        <v>488</v>
      </c>
      <c r="P38" s="770" t="s">
        <v>489</v>
      </c>
    </row>
    <row r="39" spans="1:16" ht="14.25" customHeight="1" thickBot="1">
      <c r="A39" s="776" t="s">
        <v>442</v>
      </c>
      <c r="B39" s="780" t="s">
        <v>292</v>
      </c>
      <c r="C39" s="770">
        <v>19300</v>
      </c>
      <c r="D39" s="770">
        <v>20360</v>
      </c>
      <c r="E39" s="770">
        <v>20230</v>
      </c>
      <c r="F39" s="784"/>
      <c r="M39" s="770" t="s">
        <v>490</v>
      </c>
      <c r="N39" s="770" t="s">
        <v>491</v>
      </c>
      <c r="O39" s="770" t="s">
        <v>492</v>
      </c>
      <c r="P39" s="770" t="s">
        <v>493</v>
      </c>
    </row>
    <row r="40" spans="1:16" ht="14.25" customHeight="1" thickBot="1">
      <c r="A40" s="776" t="s">
        <v>442</v>
      </c>
      <c r="B40" s="780" t="s">
        <v>302</v>
      </c>
      <c r="C40" s="770">
        <v>20210</v>
      </c>
      <c r="D40" s="770">
        <v>19060</v>
      </c>
      <c r="E40" s="770">
        <v>18890</v>
      </c>
      <c r="F40" s="784"/>
      <c r="M40" s="770" t="s">
        <v>494</v>
      </c>
      <c r="N40" s="770" t="s">
        <v>495</v>
      </c>
      <c r="O40" s="770" t="s">
        <v>496</v>
      </c>
      <c r="P40" s="770" t="s">
        <v>497</v>
      </c>
    </row>
    <row r="41" spans="1:16" ht="14.25" customHeight="1" thickBot="1">
      <c r="A41" s="776" t="s">
        <v>442</v>
      </c>
      <c r="B41" s="780" t="s">
        <v>312</v>
      </c>
      <c r="C41" s="770">
        <v>20560</v>
      </c>
      <c r="D41" s="770">
        <v>21040</v>
      </c>
      <c r="E41" s="770">
        <v>20740</v>
      </c>
      <c r="F41" s="784"/>
      <c r="M41" s="780" t="s">
        <v>498</v>
      </c>
      <c r="N41" s="780" t="s">
        <v>499</v>
      </c>
      <c r="P41" s="780" t="s">
        <v>500</v>
      </c>
    </row>
    <row r="42" spans="1:16" ht="14.25" customHeight="1" thickBot="1">
      <c r="A42" s="776" t="s">
        <v>442</v>
      </c>
      <c r="B42" s="780" t="s">
        <v>323</v>
      </c>
      <c r="C42" s="770">
        <v>19280</v>
      </c>
      <c r="D42" s="770">
        <v>22940</v>
      </c>
      <c r="E42" s="770">
        <v>22500</v>
      </c>
      <c r="F42" s="784"/>
      <c r="M42" s="770" t="s">
        <v>501</v>
      </c>
      <c r="N42" s="770" t="s">
        <v>502</v>
      </c>
      <c r="P42" s="770" t="s">
        <v>503</v>
      </c>
    </row>
    <row r="43" spans="1:16" ht="14.25" customHeight="1" thickBot="1">
      <c r="A43" s="776" t="s">
        <v>442</v>
      </c>
      <c r="B43" s="780" t="s">
        <v>334</v>
      </c>
      <c r="C43" s="770">
        <v>21520</v>
      </c>
      <c r="D43" s="770">
        <v>19230</v>
      </c>
      <c r="E43" s="770">
        <v>18540</v>
      </c>
      <c r="F43" s="784"/>
      <c r="M43" s="770" t="s">
        <v>504</v>
      </c>
      <c r="N43" s="770" t="s">
        <v>505</v>
      </c>
      <c r="P43" s="770" t="s">
        <v>506</v>
      </c>
    </row>
    <row r="44" spans="1:16" ht="14.25" customHeight="1" thickBot="1">
      <c r="A44" s="776" t="s">
        <v>442</v>
      </c>
      <c r="B44" s="780" t="s">
        <v>344</v>
      </c>
      <c r="C44" s="770">
        <v>23260</v>
      </c>
      <c r="D44" s="770">
        <v>21180</v>
      </c>
      <c r="E44" s="770">
        <v>20730</v>
      </c>
      <c r="F44" s="784"/>
      <c r="M44" s="770" t="s">
        <v>507</v>
      </c>
      <c r="N44" s="770" t="s">
        <v>508</v>
      </c>
      <c r="P44" s="770" t="s">
        <v>509</v>
      </c>
    </row>
    <row r="45" spans="1:16" ht="14.25" customHeight="1" thickBot="1">
      <c r="A45" s="776" t="s">
        <v>442</v>
      </c>
      <c r="B45" s="780" t="s">
        <v>354</v>
      </c>
      <c r="C45" s="770">
        <v>19610</v>
      </c>
      <c r="D45" s="770">
        <v>18090</v>
      </c>
      <c r="E45" s="770">
        <v>17970</v>
      </c>
      <c r="F45" s="784"/>
      <c r="M45" s="770" t="s">
        <v>510</v>
      </c>
      <c r="N45" s="770" t="s">
        <v>511</v>
      </c>
      <c r="P45" s="770" t="s">
        <v>512</v>
      </c>
    </row>
    <row r="46" spans="1:16" ht="14.25" customHeight="1" thickBot="1">
      <c r="A46" s="776" t="s">
        <v>442</v>
      </c>
      <c r="B46" s="780" t="s">
        <v>364</v>
      </c>
      <c r="C46" s="770">
        <v>21660</v>
      </c>
      <c r="D46" s="770">
        <v>19190</v>
      </c>
      <c r="E46" s="770">
        <v>19790</v>
      </c>
      <c r="F46" s="784"/>
      <c r="M46" s="770" t="s">
        <v>513</v>
      </c>
      <c r="N46" s="770" t="s">
        <v>514</v>
      </c>
      <c r="P46" s="770" t="s">
        <v>515</v>
      </c>
    </row>
    <row r="47" spans="1:16" ht="14.25" customHeight="1" thickBot="1">
      <c r="A47" s="776" t="s">
        <v>442</v>
      </c>
      <c r="B47" s="780" t="s">
        <v>374</v>
      </c>
      <c r="C47" s="770">
        <v>18220</v>
      </c>
      <c r="D47" s="770"/>
      <c r="E47" s="770">
        <v>17220</v>
      </c>
      <c r="F47" s="784"/>
      <c r="M47" s="770" t="s">
        <v>516</v>
      </c>
      <c r="N47" s="770" t="s">
        <v>517</v>
      </c>
    </row>
    <row r="48" spans="1:16" ht="14.25" customHeight="1" thickBot="1">
      <c r="A48" s="776" t="s">
        <v>442</v>
      </c>
      <c r="B48" s="781" t="s">
        <v>383</v>
      </c>
      <c r="C48" s="782">
        <v>19430</v>
      </c>
      <c r="D48" s="782"/>
      <c r="E48" s="782">
        <v>17830</v>
      </c>
      <c r="F48" s="787"/>
      <c r="M48" s="770" t="s">
        <v>518</v>
      </c>
      <c r="N48" s="770" t="s">
        <v>519</v>
      </c>
    </row>
    <row r="49" spans="1:14" ht="14.25" customHeight="1" thickBot="1">
      <c r="A49" s="776" t="s">
        <v>137</v>
      </c>
      <c r="B49" s="777" t="s">
        <v>520</v>
      </c>
      <c r="C49" s="777">
        <v>17090</v>
      </c>
      <c r="D49" s="777">
        <v>16950</v>
      </c>
      <c r="E49" s="777">
        <v>16310</v>
      </c>
      <c r="F49" s="778">
        <v>4540</v>
      </c>
      <c r="M49" s="770" t="s">
        <v>521</v>
      </c>
      <c r="N49" s="770" t="s">
        <v>522</v>
      </c>
    </row>
    <row r="50" spans="1:14" ht="14.25" customHeight="1" thickBot="1">
      <c r="A50" s="776" t="s">
        <v>137</v>
      </c>
      <c r="B50" s="770" t="s">
        <v>190</v>
      </c>
      <c r="C50" s="770">
        <v>19040</v>
      </c>
      <c r="D50" s="770">
        <v>16960</v>
      </c>
      <c r="E50" s="770">
        <v>14800</v>
      </c>
      <c r="F50" s="784">
        <v>3940</v>
      </c>
    </row>
    <row r="51" spans="1:14" ht="14.25" customHeight="1" thickBot="1">
      <c r="A51" s="776" t="s">
        <v>137</v>
      </c>
      <c r="B51" s="770" t="s">
        <v>203</v>
      </c>
      <c r="C51" s="770">
        <v>17040</v>
      </c>
      <c r="D51" s="770">
        <v>16930</v>
      </c>
      <c r="E51" s="770">
        <v>15030</v>
      </c>
      <c r="F51" s="784">
        <v>4120</v>
      </c>
    </row>
    <row r="52" spans="1:14" ht="14.25" customHeight="1" thickBot="1">
      <c r="A52" s="776" t="s">
        <v>137</v>
      </c>
      <c r="B52" s="770" t="s">
        <v>216</v>
      </c>
      <c r="C52" s="770">
        <v>17110</v>
      </c>
      <c r="D52" s="770">
        <v>17750</v>
      </c>
      <c r="E52" s="770">
        <v>17310</v>
      </c>
      <c r="F52" s="784">
        <v>3220</v>
      </c>
    </row>
    <row r="53" spans="1:14" ht="14.25" customHeight="1" thickBot="1">
      <c r="A53" s="776" t="s">
        <v>137</v>
      </c>
      <c r="B53" s="770" t="s">
        <v>228</v>
      </c>
      <c r="C53" s="770">
        <v>17810</v>
      </c>
      <c r="D53" s="770">
        <v>17260</v>
      </c>
      <c r="E53" s="770">
        <v>17090</v>
      </c>
      <c r="F53" s="784">
        <v>3520</v>
      </c>
    </row>
    <row r="54" spans="1:14" ht="14.25" customHeight="1" thickBot="1">
      <c r="A54" s="776" t="s">
        <v>137</v>
      </c>
      <c r="B54" s="770" t="s">
        <v>239</v>
      </c>
      <c r="C54" s="770">
        <v>17410</v>
      </c>
      <c r="D54" s="770">
        <v>16780</v>
      </c>
      <c r="E54" s="770">
        <v>16370</v>
      </c>
      <c r="F54" s="784">
        <v>3410</v>
      </c>
    </row>
    <row r="55" spans="1:14" ht="14.25" customHeight="1" thickBot="1">
      <c r="A55" s="776" t="s">
        <v>137</v>
      </c>
      <c r="B55" s="770" t="s">
        <v>250</v>
      </c>
      <c r="C55" s="770">
        <v>16930</v>
      </c>
      <c r="D55" s="770">
        <v>14720</v>
      </c>
      <c r="E55" s="770">
        <v>15000</v>
      </c>
      <c r="F55" s="784">
        <v>3710</v>
      </c>
    </row>
    <row r="56" spans="1:14" ht="14.25" customHeight="1" thickBot="1">
      <c r="A56" s="776" t="s">
        <v>137</v>
      </c>
      <c r="B56" s="770" t="s">
        <v>261</v>
      </c>
      <c r="C56" s="770">
        <v>14930</v>
      </c>
      <c r="D56" s="770">
        <v>15850</v>
      </c>
      <c r="E56" s="770">
        <v>14320</v>
      </c>
      <c r="F56" s="784">
        <v>3960</v>
      </c>
    </row>
    <row r="57" spans="1:14" ht="14.25" customHeight="1" thickBot="1">
      <c r="A57" s="776" t="s">
        <v>137</v>
      </c>
      <c r="B57" s="770" t="s">
        <v>273</v>
      </c>
      <c r="C57" s="770">
        <v>16160</v>
      </c>
      <c r="D57" s="770">
        <v>16190</v>
      </c>
      <c r="E57" s="770">
        <v>15650</v>
      </c>
      <c r="F57" s="784">
        <v>4200</v>
      </c>
    </row>
    <row r="58" spans="1:14" ht="14.25" customHeight="1" thickBot="1">
      <c r="A58" s="776" t="s">
        <v>137</v>
      </c>
      <c r="B58" s="770" t="s">
        <v>283</v>
      </c>
      <c r="C58" s="770">
        <v>16360</v>
      </c>
      <c r="D58" s="770">
        <v>14050</v>
      </c>
      <c r="E58" s="770">
        <v>16070</v>
      </c>
      <c r="F58" s="784">
        <v>3990</v>
      </c>
    </row>
    <row r="59" spans="1:14" ht="14.25" customHeight="1" thickBot="1">
      <c r="A59" s="776" t="s">
        <v>137</v>
      </c>
      <c r="B59" s="770" t="s">
        <v>293</v>
      </c>
      <c r="C59" s="770">
        <v>14160</v>
      </c>
      <c r="D59" s="770">
        <v>16620</v>
      </c>
      <c r="E59" s="770">
        <v>13940</v>
      </c>
      <c r="F59" s="784">
        <v>4260</v>
      </c>
    </row>
    <row r="60" spans="1:14" ht="14.25" customHeight="1" thickBot="1">
      <c r="A60" s="776" t="s">
        <v>137</v>
      </c>
      <c r="B60" s="770" t="s">
        <v>303</v>
      </c>
      <c r="C60" s="770">
        <v>16750</v>
      </c>
      <c r="D60" s="770">
        <v>13910</v>
      </c>
      <c r="E60" s="770">
        <v>16550</v>
      </c>
      <c r="F60" s="784">
        <v>4550</v>
      </c>
    </row>
    <row r="61" spans="1:14" ht="14.25" customHeight="1" thickBot="1">
      <c r="A61" s="776" t="s">
        <v>137</v>
      </c>
      <c r="B61" s="770" t="s">
        <v>313</v>
      </c>
      <c r="C61" s="770">
        <v>14000</v>
      </c>
      <c r="D61" s="770">
        <v>14550</v>
      </c>
      <c r="E61" s="770">
        <v>13860</v>
      </c>
      <c r="F61" s="788"/>
    </row>
    <row r="62" spans="1:14" ht="14.25" customHeight="1" thickBot="1">
      <c r="A62" s="776" t="s">
        <v>137</v>
      </c>
      <c r="B62" s="770" t="s">
        <v>324</v>
      </c>
      <c r="C62" s="770">
        <v>14660</v>
      </c>
      <c r="D62" s="770">
        <v>17450</v>
      </c>
      <c r="E62" s="770">
        <v>14470</v>
      </c>
      <c r="F62" s="788"/>
    </row>
    <row r="63" spans="1:14" ht="14.25" customHeight="1" thickBot="1">
      <c r="A63" s="776" t="s">
        <v>137</v>
      </c>
      <c r="B63" s="770" t="s">
        <v>335</v>
      </c>
      <c r="C63" s="770">
        <v>17610</v>
      </c>
      <c r="D63" s="770">
        <v>16500</v>
      </c>
      <c r="E63" s="770">
        <v>17330</v>
      </c>
      <c r="F63" s="788"/>
    </row>
    <row r="64" spans="1:14" ht="14.25" customHeight="1" thickBot="1">
      <c r="A64" s="776" t="s">
        <v>137</v>
      </c>
      <c r="B64" s="770" t="s">
        <v>345</v>
      </c>
      <c r="C64" s="770">
        <v>16590</v>
      </c>
      <c r="D64" s="770">
        <v>15130</v>
      </c>
      <c r="E64" s="770">
        <v>16420</v>
      </c>
      <c r="F64" s="788"/>
    </row>
    <row r="65" spans="1:6" s="764" customFormat="1" ht="14.25" customHeight="1" thickBot="1">
      <c r="A65" s="776" t="s">
        <v>137</v>
      </c>
      <c r="B65" s="770" t="s">
        <v>355</v>
      </c>
      <c r="C65" s="770">
        <v>15220</v>
      </c>
      <c r="D65" s="770">
        <v>14660</v>
      </c>
      <c r="E65" s="770">
        <v>15060</v>
      </c>
      <c r="F65" s="784"/>
    </row>
    <row r="66" spans="1:6" s="764" customFormat="1" ht="14.25" customHeight="1" thickBot="1">
      <c r="A66" s="776" t="s">
        <v>137</v>
      </c>
      <c r="B66" s="770" t="s">
        <v>365</v>
      </c>
      <c r="C66" s="770">
        <v>14720</v>
      </c>
      <c r="D66" s="770">
        <v>15970</v>
      </c>
      <c r="E66" s="770">
        <v>14610</v>
      </c>
      <c r="F66" s="784"/>
    </row>
    <row r="67" spans="1:6" s="764" customFormat="1" ht="14.25" customHeight="1" thickBot="1">
      <c r="A67" s="776" t="s">
        <v>137</v>
      </c>
      <c r="B67" s="770" t="s">
        <v>375</v>
      </c>
      <c r="C67" s="770">
        <v>16080</v>
      </c>
      <c r="D67" s="770">
        <v>14840</v>
      </c>
      <c r="E67" s="770">
        <v>15630</v>
      </c>
      <c r="F67" s="784"/>
    </row>
    <row r="68" spans="1:6" s="764" customFormat="1" ht="14.25" customHeight="1" thickBot="1">
      <c r="A68" s="776" t="s">
        <v>137</v>
      </c>
      <c r="B68" s="770" t="s">
        <v>384</v>
      </c>
      <c r="C68" s="770">
        <v>14940</v>
      </c>
      <c r="D68" s="770">
        <v>18000</v>
      </c>
      <c r="E68" s="770">
        <v>14040</v>
      </c>
      <c r="F68" s="784"/>
    </row>
    <row r="69" spans="1:6" s="764" customFormat="1" ht="14.25" customHeight="1" thickBot="1">
      <c r="A69" s="776" t="s">
        <v>137</v>
      </c>
      <c r="B69" s="770" t="s">
        <v>393</v>
      </c>
      <c r="C69" s="770">
        <v>18810</v>
      </c>
      <c r="D69" s="770">
        <v>15100</v>
      </c>
      <c r="E69" s="770">
        <v>14710</v>
      </c>
      <c r="F69" s="784"/>
    </row>
    <row r="70" spans="1:6" s="764" customFormat="1" ht="14.25" customHeight="1" thickBot="1">
      <c r="A70" s="776" t="s">
        <v>137</v>
      </c>
      <c r="B70" s="770" t="s">
        <v>401</v>
      </c>
      <c r="C70" s="770">
        <v>18270</v>
      </c>
      <c r="D70" s="770"/>
      <c r="E70" s="770"/>
      <c r="F70" s="784"/>
    </row>
    <row r="71" spans="1:6" s="764" customFormat="1" ht="14.25" customHeight="1" thickBot="1">
      <c r="A71" s="776" t="s">
        <v>137</v>
      </c>
      <c r="B71" s="770" t="s">
        <v>408</v>
      </c>
      <c r="C71" s="770">
        <v>15230</v>
      </c>
      <c r="D71" s="770"/>
      <c r="E71" s="770"/>
      <c r="F71" s="784"/>
    </row>
    <row r="72" spans="1:6" s="764" customFormat="1" ht="14.25" customHeight="1" thickBot="1">
      <c r="A72" s="776" t="s">
        <v>137</v>
      </c>
      <c r="B72" s="770" t="s">
        <v>415</v>
      </c>
      <c r="C72" s="770"/>
      <c r="D72" s="770"/>
      <c r="E72" s="770"/>
      <c r="F72" s="784">
        <v>4120</v>
      </c>
    </row>
    <row r="73" spans="1:6" s="764" customFormat="1" ht="14.25" customHeight="1" thickBot="1">
      <c r="A73" s="776" t="s">
        <v>137</v>
      </c>
      <c r="B73" s="770" t="s">
        <v>422</v>
      </c>
      <c r="C73" s="770"/>
      <c r="D73" s="770"/>
      <c r="E73" s="770"/>
      <c r="F73" s="784">
        <v>3930</v>
      </c>
    </row>
    <row r="74" spans="1:6" s="764" customFormat="1" ht="14.25" customHeight="1" thickBot="1">
      <c r="A74" s="776" t="s">
        <v>137</v>
      </c>
      <c r="B74" s="770" t="s">
        <v>429</v>
      </c>
      <c r="C74" s="770"/>
      <c r="D74" s="770"/>
      <c r="E74" s="770"/>
      <c r="F74" s="784">
        <v>4060</v>
      </c>
    </row>
    <row r="75" spans="1:6" s="764" customFormat="1" ht="14.25" customHeight="1" thickBot="1">
      <c r="A75" s="776" t="s">
        <v>137</v>
      </c>
      <c r="B75" s="782" t="s">
        <v>436</v>
      </c>
      <c r="C75" s="782"/>
      <c r="D75" s="782"/>
      <c r="E75" s="782"/>
      <c r="F75" s="787">
        <v>3750</v>
      </c>
    </row>
    <row r="76" spans="1:6" s="764" customFormat="1" ht="14.25" customHeight="1" thickBot="1">
      <c r="A76" s="776" t="s">
        <v>523</v>
      </c>
      <c r="B76" s="777" t="s">
        <v>524</v>
      </c>
      <c r="C76" s="777">
        <v>14690</v>
      </c>
      <c r="D76" s="777">
        <v>14640</v>
      </c>
      <c r="E76" s="777">
        <v>14590</v>
      </c>
      <c r="F76" s="778">
        <v>3060</v>
      </c>
    </row>
    <row r="77" spans="1:6" s="764" customFormat="1" ht="14.25" customHeight="1" thickBot="1">
      <c r="A77" s="776" t="s">
        <v>523</v>
      </c>
      <c r="B77" s="770" t="s">
        <v>191</v>
      </c>
      <c r="C77" s="770">
        <v>12550</v>
      </c>
      <c r="D77" s="770">
        <v>12480</v>
      </c>
      <c r="E77" s="770">
        <v>12450</v>
      </c>
      <c r="F77" s="784">
        <v>2590</v>
      </c>
    </row>
    <row r="78" spans="1:6" s="764" customFormat="1" ht="14.25" customHeight="1" thickBot="1">
      <c r="A78" s="776" t="s">
        <v>523</v>
      </c>
      <c r="B78" s="770" t="s">
        <v>204</v>
      </c>
      <c r="C78" s="770">
        <v>14360</v>
      </c>
      <c r="D78" s="770">
        <v>14320</v>
      </c>
      <c r="E78" s="770">
        <v>12510</v>
      </c>
      <c r="F78" s="784">
        <v>2700</v>
      </c>
    </row>
    <row r="79" spans="1:6" s="764" customFormat="1" ht="14.25" customHeight="1" thickBot="1">
      <c r="A79" s="776" t="s">
        <v>523</v>
      </c>
      <c r="B79" s="770" t="s">
        <v>217</v>
      </c>
      <c r="C79" s="770">
        <v>12590</v>
      </c>
      <c r="D79" s="770">
        <v>12540</v>
      </c>
      <c r="E79" s="770">
        <v>12350</v>
      </c>
      <c r="F79" s="784">
        <v>2740</v>
      </c>
    </row>
    <row r="80" spans="1:6" s="764" customFormat="1" ht="14.25" customHeight="1" thickBot="1">
      <c r="A80" s="776" t="s">
        <v>523</v>
      </c>
      <c r="B80" s="770" t="s">
        <v>229</v>
      </c>
      <c r="C80" s="770">
        <v>12450</v>
      </c>
      <c r="D80" s="770">
        <v>12370</v>
      </c>
      <c r="E80" s="770">
        <v>10790</v>
      </c>
      <c r="F80" s="784">
        <v>2290</v>
      </c>
    </row>
    <row r="81" spans="1:6" s="764" customFormat="1" ht="14.25" customHeight="1" thickBot="1">
      <c r="A81" s="776" t="s">
        <v>523</v>
      </c>
      <c r="B81" s="770" t="s">
        <v>240</v>
      </c>
      <c r="C81" s="770">
        <v>14210</v>
      </c>
      <c r="D81" s="770">
        <v>14150</v>
      </c>
      <c r="E81" s="770">
        <v>12730</v>
      </c>
      <c r="F81" s="784">
        <v>2240</v>
      </c>
    </row>
    <row r="82" spans="1:6" s="764" customFormat="1" ht="14.25" customHeight="1" thickBot="1">
      <c r="A82" s="776" t="s">
        <v>523</v>
      </c>
      <c r="B82" s="770" t="s">
        <v>251</v>
      </c>
      <c r="C82" s="770">
        <v>10860</v>
      </c>
      <c r="D82" s="770">
        <v>10820</v>
      </c>
      <c r="E82" s="770">
        <v>14720</v>
      </c>
      <c r="F82" s="784">
        <v>2490</v>
      </c>
    </row>
    <row r="83" spans="1:6" s="764" customFormat="1" ht="14.25" customHeight="1" thickBot="1">
      <c r="A83" s="776" t="s">
        <v>523</v>
      </c>
      <c r="B83" s="770" t="s">
        <v>262</v>
      </c>
      <c r="C83" s="770">
        <v>12810</v>
      </c>
      <c r="D83" s="770">
        <v>12760</v>
      </c>
      <c r="E83" s="770">
        <v>14830</v>
      </c>
      <c r="F83" s="784">
        <v>2450</v>
      </c>
    </row>
    <row r="84" spans="1:6" s="764" customFormat="1" ht="14.25" customHeight="1" thickBot="1">
      <c r="A84" s="776" t="s">
        <v>523</v>
      </c>
      <c r="B84" s="770" t="s">
        <v>274</v>
      </c>
      <c r="C84" s="770">
        <v>14950</v>
      </c>
      <c r="D84" s="770">
        <v>14810</v>
      </c>
      <c r="E84" s="770">
        <v>12590</v>
      </c>
      <c r="F84" s="784">
        <v>2540</v>
      </c>
    </row>
    <row r="85" spans="1:6" s="764" customFormat="1" ht="14.25" customHeight="1" thickBot="1">
      <c r="A85" s="776" t="s">
        <v>523</v>
      </c>
      <c r="B85" s="770" t="s">
        <v>284</v>
      </c>
      <c r="C85" s="770">
        <v>14960</v>
      </c>
      <c r="D85" s="770">
        <v>14890</v>
      </c>
      <c r="E85" s="770">
        <v>12840</v>
      </c>
      <c r="F85" s="784">
        <v>2840</v>
      </c>
    </row>
    <row r="86" spans="1:6" s="764" customFormat="1" ht="14.25" customHeight="1" thickBot="1">
      <c r="A86" s="776" t="s">
        <v>523</v>
      </c>
      <c r="B86" s="770" t="s">
        <v>294</v>
      </c>
      <c r="C86" s="770">
        <v>12730</v>
      </c>
      <c r="D86" s="770">
        <v>12660</v>
      </c>
      <c r="E86" s="770">
        <v>13310</v>
      </c>
      <c r="F86" s="784">
        <v>3140</v>
      </c>
    </row>
    <row r="87" spans="1:6" s="764" customFormat="1" ht="14.25" customHeight="1" thickBot="1">
      <c r="A87" s="776" t="s">
        <v>523</v>
      </c>
      <c r="B87" s="770" t="s">
        <v>304</v>
      </c>
      <c r="C87" s="770">
        <v>12940</v>
      </c>
      <c r="D87" s="770">
        <v>12890</v>
      </c>
      <c r="E87" s="770">
        <v>11580</v>
      </c>
      <c r="F87" s="788"/>
    </row>
    <row r="88" spans="1:6" s="764" customFormat="1" ht="14.25" customHeight="1" thickBot="1">
      <c r="A88" s="776" t="s">
        <v>523</v>
      </c>
      <c r="B88" s="770" t="s">
        <v>314</v>
      </c>
      <c r="C88" s="770">
        <v>13430</v>
      </c>
      <c r="D88" s="770">
        <v>13360</v>
      </c>
      <c r="E88" s="770">
        <v>12790</v>
      </c>
      <c r="F88" s="788"/>
    </row>
    <row r="89" spans="1:6" s="764" customFormat="1" ht="14.25" customHeight="1" thickBot="1">
      <c r="A89" s="776" t="s">
        <v>523</v>
      </c>
      <c r="B89" s="770" t="s">
        <v>325</v>
      </c>
      <c r="C89" s="770">
        <v>11680</v>
      </c>
      <c r="D89" s="770">
        <v>11630</v>
      </c>
      <c r="E89" s="770">
        <v>11320</v>
      </c>
      <c r="F89" s="788"/>
    </row>
    <row r="90" spans="1:6" s="764" customFormat="1" ht="14.25" customHeight="1" thickBot="1">
      <c r="A90" s="776" t="s">
        <v>523</v>
      </c>
      <c r="B90" s="770" t="s">
        <v>336</v>
      </c>
      <c r="C90" s="770">
        <v>12890</v>
      </c>
      <c r="D90" s="770">
        <v>12820</v>
      </c>
      <c r="E90" s="770">
        <v>12710</v>
      </c>
      <c r="F90" s="788"/>
    </row>
    <row r="91" spans="1:6" s="764" customFormat="1" ht="14.25" customHeight="1" thickBot="1">
      <c r="A91" s="776" t="s">
        <v>523</v>
      </c>
      <c r="B91" s="770" t="s">
        <v>346</v>
      </c>
      <c r="C91" s="770">
        <v>11410</v>
      </c>
      <c r="D91" s="770">
        <v>11360</v>
      </c>
      <c r="E91" s="770">
        <v>12670</v>
      </c>
      <c r="F91" s="788"/>
    </row>
    <row r="92" spans="1:6" s="764" customFormat="1" ht="14.25" customHeight="1" thickBot="1">
      <c r="A92" s="776" t="s">
        <v>523</v>
      </c>
      <c r="B92" s="770" t="s">
        <v>356</v>
      </c>
      <c r="C92" s="770">
        <v>12770</v>
      </c>
      <c r="D92" s="770">
        <v>12740</v>
      </c>
      <c r="E92" s="770">
        <v>11970</v>
      </c>
      <c r="F92" s="788"/>
    </row>
    <row r="93" spans="1:6" s="764" customFormat="1" ht="14.25" customHeight="1" thickBot="1">
      <c r="A93" s="776" t="s">
        <v>523</v>
      </c>
      <c r="B93" s="770" t="s">
        <v>366</v>
      </c>
      <c r="C93" s="770">
        <v>12740</v>
      </c>
      <c r="D93" s="770">
        <v>12700</v>
      </c>
      <c r="E93" s="770">
        <v>12540</v>
      </c>
      <c r="F93" s="788"/>
    </row>
    <row r="94" spans="1:6" s="764" customFormat="1" ht="14.25" customHeight="1" thickBot="1">
      <c r="A94" s="776" t="s">
        <v>523</v>
      </c>
      <c r="B94" s="770" t="s">
        <v>376</v>
      </c>
      <c r="C94" s="770">
        <v>12020</v>
      </c>
      <c r="D94" s="770">
        <v>11990</v>
      </c>
      <c r="E94" s="770">
        <v>13110</v>
      </c>
      <c r="F94" s="788"/>
    </row>
    <row r="95" spans="1:6" s="764" customFormat="1" ht="14.25" customHeight="1" thickBot="1">
      <c r="A95" s="776" t="s">
        <v>523</v>
      </c>
      <c r="B95" s="770" t="s">
        <v>385</v>
      </c>
      <c r="C95" s="770">
        <v>12620</v>
      </c>
      <c r="D95" s="770">
        <v>12580</v>
      </c>
      <c r="E95" s="770">
        <v>13160</v>
      </c>
      <c r="F95" s="784"/>
    </row>
    <row r="96" spans="1:6" s="764" customFormat="1" ht="14.25" customHeight="1" thickBot="1">
      <c r="A96" s="776" t="s">
        <v>523</v>
      </c>
      <c r="B96" s="770" t="s">
        <v>394</v>
      </c>
      <c r="C96" s="770">
        <v>13200</v>
      </c>
      <c r="D96" s="770">
        <v>13150</v>
      </c>
      <c r="E96" s="770">
        <v>12900</v>
      </c>
      <c r="F96" s="784"/>
    </row>
    <row r="97" spans="1:6" s="764" customFormat="1" ht="14.25" customHeight="1" thickBot="1">
      <c r="A97" s="776" t="s">
        <v>523</v>
      </c>
      <c r="B97" s="770" t="s">
        <v>402</v>
      </c>
      <c r="C97" s="770">
        <v>13270</v>
      </c>
      <c r="D97" s="770">
        <v>13210</v>
      </c>
      <c r="E97" s="770">
        <v>11080</v>
      </c>
      <c r="F97" s="784"/>
    </row>
    <row r="98" spans="1:6" s="764" customFormat="1" ht="14.25" customHeight="1" thickBot="1">
      <c r="A98" s="776" t="s">
        <v>523</v>
      </c>
      <c r="B98" s="770" t="s">
        <v>409</v>
      </c>
      <c r="C98" s="770">
        <v>13010</v>
      </c>
      <c r="D98" s="770">
        <v>12930</v>
      </c>
      <c r="E98" s="770">
        <v>12840</v>
      </c>
      <c r="F98" s="784"/>
    </row>
    <row r="99" spans="1:6" s="764" customFormat="1" ht="14.25" customHeight="1" thickBot="1">
      <c r="A99" s="776" t="s">
        <v>523</v>
      </c>
      <c r="B99" s="770" t="s">
        <v>416</v>
      </c>
      <c r="C99" s="770">
        <v>11190</v>
      </c>
      <c r="D99" s="770">
        <v>11130</v>
      </c>
      <c r="E99" s="770"/>
      <c r="F99" s="784"/>
    </row>
    <row r="100" spans="1:6" s="764" customFormat="1" ht="14.25" customHeight="1" thickBot="1">
      <c r="A100" s="776" t="s">
        <v>523</v>
      </c>
      <c r="B100" s="770" t="s">
        <v>423</v>
      </c>
      <c r="C100" s="770">
        <v>14280</v>
      </c>
      <c r="D100" s="770">
        <v>14180</v>
      </c>
      <c r="E100" s="770"/>
      <c r="F100" s="784"/>
    </row>
    <row r="101" spans="1:6" s="764" customFormat="1" ht="14.25" customHeight="1" thickBot="1">
      <c r="A101" s="776" t="s">
        <v>523</v>
      </c>
      <c r="B101" s="770" t="s">
        <v>430</v>
      </c>
      <c r="C101" s="770">
        <v>12960</v>
      </c>
      <c r="D101" s="770">
        <v>12890</v>
      </c>
      <c r="E101" s="770"/>
      <c r="F101" s="784"/>
    </row>
    <row r="102" spans="1:6" s="764" customFormat="1" ht="14.25" customHeight="1" thickBot="1">
      <c r="A102" s="776" t="s">
        <v>523</v>
      </c>
      <c r="B102" s="770" t="s">
        <v>437</v>
      </c>
      <c r="C102" s="770"/>
      <c r="D102" s="770"/>
      <c r="E102" s="770"/>
      <c r="F102" s="784">
        <v>3100</v>
      </c>
    </row>
    <row r="103" spans="1:6" s="764" customFormat="1" ht="14.25" customHeight="1" thickBot="1">
      <c r="A103" s="776" t="s">
        <v>523</v>
      </c>
      <c r="B103" s="770" t="s">
        <v>444</v>
      </c>
      <c r="C103" s="770"/>
      <c r="D103" s="770"/>
      <c r="E103" s="770"/>
      <c r="F103" s="784">
        <v>2320</v>
      </c>
    </row>
    <row r="104" spans="1:6" s="764" customFormat="1" ht="14.25" customHeight="1" thickBot="1">
      <c r="A104" s="776" t="s">
        <v>523</v>
      </c>
      <c r="B104" s="770" t="s">
        <v>449</v>
      </c>
      <c r="C104" s="770"/>
      <c r="D104" s="770"/>
      <c r="E104" s="770"/>
      <c r="F104" s="784">
        <v>2320</v>
      </c>
    </row>
    <row r="105" spans="1:6" s="764" customFormat="1" ht="14.25" customHeight="1" thickBot="1">
      <c r="A105" s="776" t="s">
        <v>523</v>
      </c>
      <c r="B105" s="770" t="s">
        <v>453</v>
      </c>
      <c r="C105" s="770"/>
      <c r="D105" s="770"/>
      <c r="E105" s="770"/>
      <c r="F105" s="784">
        <v>2320</v>
      </c>
    </row>
    <row r="106" spans="1:6" s="764" customFormat="1" ht="14.25" customHeight="1" thickBot="1">
      <c r="A106" s="776" t="s">
        <v>523</v>
      </c>
      <c r="B106" s="770" t="s">
        <v>458</v>
      </c>
      <c r="C106" s="770"/>
      <c r="D106" s="770"/>
      <c r="E106" s="770"/>
      <c r="F106" s="784">
        <v>2320</v>
      </c>
    </row>
    <row r="107" spans="1:6" s="764" customFormat="1" ht="14.25" customHeight="1" thickBot="1">
      <c r="A107" s="776" t="s">
        <v>523</v>
      </c>
      <c r="B107" s="770" t="s">
        <v>463</v>
      </c>
      <c r="C107" s="770"/>
      <c r="D107" s="770"/>
      <c r="E107" s="770"/>
      <c r="F107" s="784">
        <v>2280</v>
      </c>
    </row>
    <row r="108" spans="1:6" s="764" customFormat="1" ht="14.25" customHeight="1" thickBot="1">
      <c r="A108" s="776" t="s">
        <v>523</v>
      </c>
      <c r="B108" s="770" t="s">
        <v>468</v>
      </c>
      <c r="C108" s="770"/>
      <c r="D108" s="770"/>
      <c r="E108" s="770"/>
      <c r="F108" s="784">
        <v>2280</v>
      </c>
    </row>
    <row r="109" spans="1:6" s="764" customFormat="1" ht="14.25" customHeight="1" thickBot="1">
      <c r="A109" s="776" t="s">
        <v>523</v>
      </c>
      <c r="B109" s="782" t="s">
        <v>473</v>
      </c>
      <c r="C109" s="782"/>
      <c r="D109" s="782"/>
      <c r="E109" s="782"/>
      <c r="F109" s="787">
        <v>2280</v>
      </c>
    </row>
    <row r="110" spans="1:6" s="764" customFormat="1" ht="14.25" customHeight="1" thickBot="1">
      <c r="A110" s="776" t="s">
        <v>56</v>
      </c>
      <c r="B110" s="777" t="s">
        <v>525</v>
      </c>
      <c r="C110" s="777">
        <v>10520</v>
      </c>
      <c r="D110" s="777">
        <v>10490</v>
      </c>
      <c r="E110" s="777">
        <v>10760</v>
      </c>
      <c r="F110" s="778">
        <v>2160</v>
      </c>
    </row>
    <row r="111" spans="1:6" s="764" customFormat="1" ht="14.25" customHeight="1" thickBot="1">
      <c r="A111" s="776" t="s">
        <v>56</v>
      </c>
      <c r="B111" s="770" t="s">
        <v>192</v>
      </c>
      <c r="C111" s="770">
        <v>10090</v>
      </c>
      <c r="D111" s="770">
        <v>10060</v>
      </c>
      <c r="E111" s="770">
        <v>10300</v>
      </c>
      <c r="F111" s="784">
        <v>2010</v>
      </c>
    </row>
    <row r="112" spans="1:6" s="764" customFormat="1" ht="14.25" customHeight="1" thickBot="1">
      <c r="A112" s="776" t="s">
        <v>56</v>
      </c>
      <c r="B112" s="770" t="s">
        <v>205</v>
      </c>
      <c r="C112" s="770">
        <v>9910</v>
      </c>
      <c r="D112" s="770">
        <v>9850</v>
      </c>
      <c r="E112" s="770">
        <v>9960</v>
      </c>
      <c r="F112" s="784">
        <v>2090</v>
      </c>
    </row>
    <row r="113" spans="1:6" s="764" customFormat="1" ht="14.25" customHeight="1" thickBot="1">
      <c r="A113" s="776" t="s">
        <v>56</v>
      </c>
      <c r="B113" s="770" t="s">
        <v>218</v>
      </c>
      <c r="C113" s="770">
        <v>11430</v>
      </c>
      <c r="D113" s="770">
        <v>11400</v>
      </c>
      <c r="E113" s="770">
        <v>11710</v>
      </c>
      <c r="F113" s="784">
        <v>2050</v>
      </c>
    </row>
    <row r="114" spans="1:6" s="764" customFormat="1" ht="14.25" customHeight="1" thickBot="1">
      <c r="A114" s="776" t="s">
        <v>56</v>
      </c>
      <c r="B114" s="770" t="s">
        <v>230</v>
      </c>
      <c r="C114" s="770">
        <v>11390</v>
      </c>
      <c r="D114" s="770">
        <v>11350</v>
      </c>
      <c r="E114" s="770">
        <v>11640</v>
      </c>
      <c r="F114" s="784">
        <v>1620</v>
      </c>
    </row>
    <row r="115" spans="1:6" s="764" customFormat="1" ht="14.25" customHeight="1" thickBot="1">
      <c r="A115" s="776" t="s">
        <v>56</v>
      </c>
      <c r="B115" s="770" t="s">
        <v>241</v>
      </c>
      <c r="C115" s="770">
        <v>9930</v>
      </c>
      <c r="D115" s="770">
        <v>9900</v>
      </c>
      <c r="E115" s="770">
        <v>10160</v>
      </c>
      <c r="F115" s="784">
        <v>1580</v>
      </c>
    </row>
    <row r="116" spans="1:6" s="764" customFormat="1" ht="14.25" customHeight="1" thickBot="1">
      <c r="A116" s="776" t="s">
        <v>56</v>
      </c>
      <c r="B116" s="770" t="s">
        <v>252</v>
      </c>
      <c r="C116" s="770">
        <v>9150</v>
      </c>
      <c r="D116" s="770">
        <v>9120</v>
      </c>
      <c r="E116" s="770">
        <v>9380</v>
      </c>
      <c r="F116" s="784">
        <v>1750</v>
      </c>
    </row>
    <row r="117" spans="1:6" s="764" customFormat="1" ht="14.25" customHeight="1" thickBot="1">
      <c r="A117" s="776" t="s">
        <v>56</v>
      </c>
      <c r="B117" s="770" t="s">
        <v>263</v>
      </c>
      <c r="C117" s="770">
        <v>10680</v>
      </c>
      <c r="D117" s="770">
        <v>10650</v>
      </c>
      <c r="E117" s="770">
        <v>10970</v>
      </c>
      <c r="F117" s="784">
        <v>1730</v>
      </c>
    </row>
    <row r="118" spans="1:6" s="764" customFormat="1" ht="14.25" customHeight="1" thickBot="1">
      <c r="A118" s="776" t="s">
        <v>56</v>
      </c>
      <c r="B118" s="770" t="s">
        <v>275</v>
      </c>
      <c r="C118" s="770">
        <v>10080</v>
      </c>
      <c r="D118" s="770">
        <v>10050</v>
      </c>
      <c r="E118" s="770">
        <v>10350</v>
      </c>
      <c r="F118" s="784">
        <v>1920</v>
      </c>
    </row>
    <row r="119" spans="1:6" s="764" customFormat="1" ht="14.25" customHeight="1" thickBot="1">
      <c r="A119" s="776" t="s">
        <v>56</v>
      </c>
      <c r="B119" s="770" t="s">
        <v>285</v>
      </c>
      <c r="C119" s="770">
        <v>9450</v>
      </c>
      <c r="D119" s="770">
        <v>9410</v>
      </c>
      <c r="E119" s="770">
        <v>9680</v>
      </c>
      <c r="F119" s="784">
        <v>1880</v>
      </c>
    </row>
    <row r="120" spans="1:6" s="764" customFormat="1" ht="14.25" customHeight="1" thickBot="1">
      <c r="A120" s="776" t="s">
        <v>56</v>
      </c>
      <c r="B120" s="770" t="s">
        <v>295</v>
      </c>
      <c r="C120" s="770">
        <v>8730</v>
      </c>
      <c r="D120" s="770">
        <v>8700</v>
      </c>
      <c r="E120" s="770">
        <v>8950</v>
      </c>
      <c r="F120" s="784">
        <v>1830</v>
      </c>
    </row>
    <row r="121" spans="1:6" s="764" customFormat="1" ht="14.25" customHeight="1" thickBot="1">
      <c r="A121" s="776" t="s">
        <v>56</v>
      </c>
      <c r="B121" s="770" t="s">
        <v>305</v>
      </c>
      <c r="C121" s="770">
        <v>10070</v>
      </c>
      <c r="D121" s="770">
        <v>10040</v>
      </c>
      <c r="E121" s="770">
        <v>10270</v>
      </c>
      <c r="F121" s="784">
        <v>1960</v>
      </c>
    </row>
    <row r="122" spans="1:6" s="764" customFormat="1" ht="14.25" customHeight="1" thickBot="1">
      <c r="A122" s="776" t="s">
        <v>56</v>
      </c>
      <c r="B122" s="770" t="s">
        <v>315</v>
      </c>
      <c r="C122" s="770">
        <v>10500</v>
      </c>
      <c r="D122" s="770">
        <v>10470</v>
      </c>
      <c r="E122" s="770">
        <v>10780</v>
      </c>
      <c r="F122" s="784">
        <v>2180</v>
      </c>
    </row>
    <row r="123" spans="1:6" s="764" customFormat="1" ht="14.25" customHeight="1" thickBot="1">
      <c r="A123" s="776" t="s">
        <v>56</v>
      </c>
      <c r="B123" s="770" t="s">
        <v>326</v>
      </c>
      <c r="C123" s="770">
        <v>10390</v>
      </c>
      <c r="D123" s="770">
        <v>10360</v>
      </c>
      <c r="E123" s="770">
        <v>10660</v>
      </c>
      <c r="F123" s="784">
        <v>2040</v>
      </c>
    </row>
    <row r="124" spans="1:6" s="764" customFormat="1" ht="14.25" customHeight="1" thickBot="1">
      <c r="A124" s="776" t="s">
        <v>56</v>
      </c>
      <c r="B124" s="770" t="s">
        <v>337</v>
      </c>
      <c r="C124" s="770">
        <v>10390</v>
      </c>
      <c r="D124" s="770">
        <v>10360</v>
      </c>
      <c r="E124" s="770">
        <v>10680</v>
      </c>
      <c r="F124" s="788"/>
    </row>
    <row r="125" spans="1:6" s="764" customFormat="1" ht="14.25" customHeight="1" thickBot="1">
      <c r="A125" s="776" t="s">
        <v>56</v>
      </c>
      <c r="B125" s="770" t="s">
        <v>347</v>
      </c>
      <c r="C125" s="770">
        <v>10440</v>
      </c>
      <c r="D125" s="770">
        <v>10410</v>
      </c>
      <c r="E125" s="770">
        <v>10710</v>
      </c>
      <c r="F125" s="788"/>
    </row>
    <row r="126" spans="1:6" s="764" customFormat="1" ht="14.25" customHeight="1" thickBot="1">
      <c r="A126" s="776" t="s">
        <v>56</v>
      </c>
      <c r="B126" s="770" t="s">
        <v>357</v>
      </c>
      <c r="C126" s="770">
        <v>10780</v>
      </c>
      <c r="D126" s="770">
        <v>10750</v>
      </c>
      <c r="E126" s="770">
        <v>11080</v>
      </c>
      <c r="F126" s="788"/>
    </row>
    <row r="127" spans="1:6" s="764" customFormat="1" ht="14.25" customHeight="1" thickBot="1">
      <c r="A127" s="776" t="s">
        <v>56</v>
      </c>
      <c r="B127" s="770" t="s">
        <v>367</v>
      </c>
      <c r="C127" s="770">
        <v>10100</v>
      </c>
      <c r="D127" s="770">
        <v>10070</v>
      </c>
      <c r="E127" s="770">
        <v>10350</v>
      </c>
      <c r="F127" s="788"/>
    </row>
    <row r="128" spans="1:6" s="764" customFormat="1" ht="14.25" customHeight="1" thickBot="1">
      <c r="A128" s="776" t="s">
        <v>56</v>
      </c>
      <c r="B128" s="770" t="s">
        <v>377</v>
      </c>
      <c r="C128" s="770">
        <v>9200</v>
      </c>
      <c r="D128" s="770">
        <v>9160</v>
      </c>
      <c r="E128" s="770">
        <v>9660</v>
      </c>
      <c r="F128" s="788"/>
    </row>
    <row r="129" spans="1:6" s="764" customFormat="1" ht="14.25" customHeight="1" thickBot="1">
      <c r="A129" s="776" t="s">
        <v>56</v>
      </c>
      <c r="B129" s="770" t="s">
        <v>386</v>
      </c>
      <c r="C129" s="770">
        <v>10340</v>
      </c>
      <c r="D129" s="770">
        <v>10310</v>
      </c>
      <c r="E129" s="770">
        <v>10580</v>
      </c>
      <c r="F129" s="788"/>
    </row>
    <row r="130" spans="1:6" s="764" customFormat="1" ht="14.25" customHeight="1" thickBot="1">
      <c r="A130" s="776" t="s">
        <v>56</v>
      </c>
      <c r="B130" s="770" t="s">
        <v>395</v>
      </c>
      <c r="C130" s="770">
        <v>9680</v>
      </c>
      <c r="D130" s="770">
        <v>9660</v>
      </c>
      <c r="E130" s="770">
        <v>9950</v>
      </c>
      <c r="F130" s="788"/>
    </row>
    <row r="131" spans="1:6" s="764" customFormat="1" ht="14.25" customHeight="1" thickBot="1">
      <c r="A131" s="776" t="s">
        <v>56</v>
      </c>
      <c r="B131" s="770" t="s">
        <v>403</v>
      </c>
      <c r="C131" s="770">
        <v>9540</v>
      </c>
      <c r="D131" s="770">
        <v>9510</v>
      </c>
      <c r="E131" s="770">
        <v>9790</v>
      </c>
      <c r="F131" s="788"/>
    </row>
    <row r="132" spans="1:6" s="764" customFormat="1" ht="14.25" customHeight="1" thickBot="1">
      <c r="A132" s="776" t="s">
        <v>56</v>
      </c>
      <c r="B132" s="770" t="s">
        <v>410</v>
      </c>
      <c r="C132" s="770">
        <v>9320</v>
      </c>
      <c r="D132" s="770">
        <v>9290</v>
      </c>
      <c r="E132" s="770">
        <v>9570</v>
      </c>
      <c r="F132" s="788"/>
    </row>
    <row r="133" spans="1:6" s="764" customFormat="1" ht="14.25" customHeight="1" thickBot="1">
      <c r="A133" s="776" t="s">
        <v>56</v>
      </c>
      <c r="B133" s="770" t="s">
        <v>417</v>
      </c>
      <c r="C133" s="770">
        <v>10310</v>
      </c>
      <c r="D133" s="770">
        <v>10280</v>
      </c>
      <c r="E133" s="770">
        <v>10530</v>
      </c>
      <c r="F133" s="788"/>
    </row>
    <row r="134" spans="1:6" s="764" customFormat="1" ht="14.25" customHeight="1" thickBot="1">
      <c r="A134" s="776" t="s">
        <v>56</v>
      </c>
      <c r="B134" s="770" t="s">
        <v>424</v>
      </c>
      <c r="C134" s="770">
        <v>10370</v>
      </c>
      <c r="D134" s="770">
        <v>10310</v>
      </c>
      <c r="E134" s="770">
        <v>10240</v>
      </c>
      <c r="F134" s="784">
        <v>2060</v>
      </c>
    </row>
    <row r="135" spans="1:6" s="764" customFormat="1" ht="14.25" customHeight="1" thickBot="1">
      <c r="A135" s="776" t="s">
        <v>56</v>
      </c>
      <c r="B135" s="770" t="s">
        <v>431</v>
      </c>
      <c r="C135" s="770">
        <v>9300</v>
      </c>
      <c r="D135" s="770">
        <v>9270</v>
      </c>
      <c r="E135" s="770">
        <v>9350</v>
      </c>
      <c r="F135" s="788"/>
    </row>
    <row r="136" spans="1:6" s="764" customFormat="1" ht="14.25" customHeight="1" thickBot="1">
      <c r="A136" s="776" t="s">
        <v>56</v>
      </c>
      <c r="B136" s="770" t="s">
        <v>438</v>
      </c>
      <c r="C136" s="770">
        <v>10160</v>
      </c>
      <c r="D136" s="770">
        <v>10110</v>
      </c>
      <c r="E136" s="770">
        <v>10080</v>
      </c>
      <c r="F136" s="788"/>
    </row>
    <row r="137" spans="1:6" s="764" customFormat="1" ht="14.25" customHeight="1" thickBot="1">
      <c r="A137" s="776" t="s">
        <v>56</v>
      </c>
      <c r="B137" s="770" t="s">
        <v>445</v>
      </c>
      <c r="C137" s="770">
        <v>9200</v>
      </c>
      <c r="D137" s="770">
        <v>9170</v>
      </c>
      <c r="E137" s="770">
        <v>9450</v>
      </c>
      <c r="F137" s="788"/>
    </row>
    <row r="138" spans="1:6" s="764" customFormat="1" ht="14.25" customHeight="1" thickBot="1">
      <c r="A138" s="776" t="s">
        <v>56</v>
      </c>
      <c r="B138" s="770" t="s">
        <v>450</v>
      </c>
      <c r="C138" s="770">
        <v>9690</v>
      </c>
      <c r="D138" s="770">
        <v>9660</v>
      </c>
      <c r="E138" s="770">
        <v>9840</v>
      </c>
      <c r="F138" s="788"/>
    </row>
    <row r="139" spans="1:6" s="764" customFormat="1" ht="14.25" customHeight="1" thickBot="1">
      <c r="A139" s="776" t="s">
        <v>56</v>
      </c>
      <c r="B139" s="770" t="s">
        <v>454</v>
      </c>
      <c r="C139" s="770">
        <v>10290</v>
      </c>
      <c r="D139" s="770">
        <v>10260</v>
      </c>
      <c r="E139" s="770">
        <v>10550</v>
      </c>
      <c r="F139" s="784">
        <v>1700</v>
      </c>
    </row>
    <row r="140" spans="1:6" s="764" customFormat="1" ht="14.25" customHeight="1" thickBot="1">
      <c r="A140" s="776" t="s">
        <v>56</v>
      </c>
      <c r="B140" s="770" t="s">
        <v>459</v>
      </c>
      <c r="C140" s="770">
        <v>9740</v>
      </c>
      <c r="D140" s="770">
        <v>9710</v>
      </c>
      <c r="E140" s="770">
        <v>10000</v>
      </c>
      <c r="F140" s="784">
        <v>2000</v>
      </c>
    </row>
    <row r="141" spans="1:6" s="764" customFormat="1" ht="14.25" customHeight="1" thickBot="1">
      <c r="A141" s="776" t="s">
        <v>56</v>
      </c>
      <c r="B141" s="770" t="s">
        <v>464</v>
      </c>
      <c r="C141" s="770">
        <v>9810</v>
      </c>
      <c r="D141" s="770">
        <v>9770</v>
      </c>
      <c r="E141" s="770">
        <v>10060</v>
      </c>
      <c r="F141" s="788"/>
    </row>
    <row r="142" spans="1:6" s="764" customFormat="1" ht="14.25" customHeight="1" thickBot="1">
      <c r="A142" s="776" t="s">
        <v>56</v>
      </c>
      <c r="B142" s="770" t="s">
        <v>469</v>
      </c>
      <c r="C142" s="770">
        <v>9300</v>
      </c>
      <c r="D142" s="770">
        <v>9270</v>
      </c>
      <c r="E142" s="770">
        <v>9530</v>
      </c>
      <c r="F142" s="788"/>
    </row>
    <row r="143" spans="1:6" s="764" customFormat="1" ht="14.25" customHeight="1" thickBot="1">
      <c r="A143" s="776" t="s">
        <v>56</v>
      </c>
      <c r="B143" s="770" t="s">
        <v>474</v>
      </c>
      <c r="C143" s="770">
        <v>10080</v>
      </c>
      <c r="D143" s="770">
        <v>10050</v>
      </c>
      <c r="E143" s="770">
        <v>10340</v>
      </c>
      <c r="F143" s="788"/>
    </row>
    <row r="144" spans="1:6" s="764" customFormat="1" ht="14.25" customHeight="1" thickBot="1">
      <c r="A144" s="776" t="s">
        <v>56</v>
      </c>
      <c r="B144" s="770" t="s">
        <v>478</v>
      </c>
      <c r="C144" s="770">
        <v>9820</v>
      </c>
      <c r="D144" s="770">
        <v>9750</v>
      </c>
      <c r="E144" s="770">
        <v>9900</v>
      </c>
      <c r="F144" s="788"/>
    </row>
    <row r="145" spans="1:6" s="764" customFormat="1" ht="14.25" customHeight="1" thickBot="1">
      <c r="A145" s="776" t="s">
        <v>56</v>
      </c>
      <c r="B145" s="770" t="s">
        <v>482</v>
      </c>
      <c r="C145" s="770"/>
      <c r="D145" s="770"/>
      <c r="E145" s="770"/>
      <c r="F145" s="784">
        <v>1740</v>
      </c>
    </row>
    <row r="146" spans="1:6" s="764" customFormat="1" ht="14.25" customHeight="1" thickBot="1">
      <c r="A146" s="776" t="s">
        <v>56</v>
      </c>
      <c r="B146" s="770" t="s">
        <v>486</v>
      </c>
      <c r="C146" s="770"/>
      <c r="D146" s="770"/>
      <c r="E146" s="770"/>
      <c r="F146" s="784">
        <v>1740</v>
      </c>
    </row>
    <row r="147" spans="1:6" s="764" customFormat="1" ht="14.25" customHeight="1" thickBot="1">
      <c r="A147" s="776" t="s">
        <v>56</v>
      </c>
      <c r="B147" s="770" t="s">
        <v>490</v>
      </c>
      <c r="C147" s="770"/>
      <c r="D147" s="770"/>
      <c r="E147" s="770"/>
      <c r="F147" s="784">
        <v>1740</v>
      </c>
    </row>
    <row r="148" spans="1:6" s="764" customFormat="1" ht="14.25" customHeight="1" thickBot="1">
      <c r="A148" s="776" t="s">
        <v>56</v>
      </c>
      <c r="B148" s="770" t="s">
        <v>494</v>
      </c>
      <c r="C148" s="770"/>
      <c r="D148" s="770"/>
      <c r="E148" s="770"/>
      <c r="F148" s="784">
        <v>1740</v>
      </c>
    </row>
    <row r="149" spans="1:6" s="764" customFormat="1" ht="14.25" customHeight="1" thickBot="1">
      <c r="A149" s="776" t="s">
        <v>56</v>
      </c>
      <c r="B149" s="770" t="s">
        <v>498</v>
      </c>
      <c r="C149" s="770"/>
      <c r="D149" s="770"/>
      <c r="E149" s="770"/>
      <c r="F149" s="784">
        <v>1740</v>
      </c>
    </row>
    <row r="150" spans="1:6" s="764" customFormat="1" ht="14.25" customHeight="1" thickBot="1">
      <c r="A150" s="776" t="s">
        <v>56</v>
      </c>
      <c r="B150" s="770" t="s">
        <v>501</v>
      </c>
      <c r="C150" s="770"/>
      <c r="D150" s="770"/>
      <c r="E150" s="770"/>
      <c r="F150" s="784">
        <v>1610</v>
      </c>
    </row>
    <row r="151" spans="1:6" s="764" customFormat="1" ht="14.25" customHeight="1" thickBot="1">
      <c r="A151" s="776" t="s">
        <v>56</v>
      </c>
      <c r="B151" s="770" t="s">
        <v>504</v>
      </c>
      <c r="C151" s="770"/>
      <c r="D151" s="770"/>
      <c r="E151" s="770"/>
      <c r="F151" s="784">
        <v>1610</v>
      </c>
    </row>
    <row r="152" spans="1:6" s="764" customFormat="1" ht="14.25" customHeight="1" thickBot="1">
      <c r="A152" s="776" t="s">
        <v>56</v>
      </c>
      <c r="B152" s="770" t="s">
        <v>507</v>
      </c>
      <c r="C152" s="770"/>
      <c r="D152" s="770"/>
      <c r="E152" s="770"/>
      <c r="F152" s="784">
        <v>1610</v>
      </c>
    </row>
    <row r="153" spans="1:6" s="764" customFormat="1" ht="14.25" customHeight="1" thickBot="1">
      <c r="A153" s="776" t="s">
        <v>56</v>
      </c>
      <c r="B153" s="770" t="s">
        <v>510</v>
      </c>
      <c r="C153" s="770"/>
      <c r="D153" s="770"/>
      <c r="E153" s="770"/>
      <c r="F153" s="784">
        <v>1610</v>
      </c>
    </row>
    <row r="154" spans="1:6" s="764" customFormat="1" ht="14.25" customHeight="1" thickBot="1">
      <c r="A154" s="776" t="s">
        <v>56</v>
      </c>
      <c r="B154" s="770" t="s">
        <v>513</v>
      </c>
      <c r="C154" s="770"/>
      <c r="D154" s="770"/>
      <c r="E154" s="770"/>
      <c r="F154" s="784">
        <v>1610</v>
      </c>
    </row>
    <row r="155" spans="1:6" s="764" customFormat="1" ht="14.25" customHeight="1" thickBot="1">
      <c r="A155" s="776" t="s">
        <v>56</v>
      </c>
      <c r="B155" s="770" t="s">
        <v>516</v>
      </c>
      <c r="C155" s="770"/>
      <c r="D155" s="770"/>
      <c r="E155" s="770"/>
      <c r="F155" s="784">
        <v>1800</v>
      </c>
    </row>
    <row r="156" spans="1:6" s="764" customFormat="1" ht="14.25" customHeight="1" thickBot="1">
      <c r="A156" s="776" t="s">
        <v>56</v>
      </c>
      <c r="B156" s="770" t="s">
        <v>518</v>
      </c>
      <c r="C156" s="770"/>
      <c r="D156" s="770"/>
      <c r="E156" s="770"/>
      <c r="F156" s="784">
        <v>1910</v>
      </c>
    </row>
    <row r="157" spans="1:6" s="764" customFormat="1" ht="14.25" customHeight="1" thickBot="1">
      <c r="A157" s="776" t="s">
        <v>56</v>
      </c>
      <c r="B157" s="782" t="s">
        <v>521</v>
      </c>
      <c r="C157" s="782"/>
      <c r="D157" s="782"/>
      <c r="E157" s="782"/>
      <c r="F157" s="787">
        <v>1500</v>
      </c>
    </row>
    <row r="158" spans="1:6" s="764" customFormat="1" ht="14.25" customHeight="1" thickBot="1">
      <c r="A158" s="776" t="s">
        <v>526</v>
      </c>
      <c r="B158" s="777" t="s">
        <v>527</v>
      </c>
      <c r="C158" s="777">
        <v>8170</v>
      </c>
      <c r="D158" s="777">
        <v>8140</v>
      </c>
      <c r="E158" s="777">
        <v>8590</v>
      </c>
      <c r="F158" s="778">
        <v>1450</v>
      </c>
    </row>
    <row r="159" spans="1:6" s="764" customFormat="1" ht="14.25" customHeight="1" thickBot="1">
      <c r="A159" s="776" t="s">
        <v>526</v>
      </c>
      <c r="B159" s="770" t="s">
        <v>193</v>
      </c>
      <c r="C159" s="770">
        <v>7410</v>
      </c>
      <c r="D159" s="770">
        <v>7370</v>
      </c>
      <c r="E159" s="770">
        <v>8030</v>
      </c>
      <c r="F159" s="784">
        <v>1510</v>
      </c>
    </row>
    <row r="160" spans="1:6" s="764" customFormat="1" ht="14.25" customHeight="1" thickBot="1">
      <c r="A160" s="776" t="s">
        <v>526</v>
      </c>
      <c r="B160" s="770" t="s">
        <v>206</v>
      </c>
      <c r="C160" s="770">
        <v>7240</v>
      </c>
      <c r="D160" s="770">
        <v>7210</v>
      </c>
      <c r="E160" s="770">
        <v>7860</v>
      </c>
      <c r="F160" s="784">
        <v>1370</v>
      </c>
    </row>
    <row r="161" spans="1:6" s="764" customFormat="1" ht="14.25" customHeight="1" thickBot="1">
      <c r="A161" s="776" t="s">
        <v>526</v>
      </c>
      <c r="B161" s="770" t="s">
        <v>219</v>
      </c>
      <c r="C161" s="770">
        <v>7720</v>
      </c>
      <c r="D161" s="770">
        <v>7690</v>
      </c>
      <c r="E161" s="770">
        <v>8200</v>
      </c>
      <c r="F161" s="784">
        <v>1190</v>
      </c>
    </row>
    <row r="162" spans="1:6" s="764" customFormat="1" ht="14.25" customHeight="1" thickBot="1">
      <c r="A162" s="776" t="s">
        <v>526</v>
      </c>
      <c r="B162" s="770" t="s">
        <v>231</v>
      </c>
      <c r="C162" s="770">
        <v>6900</v>
      </c>
      <c r="D162" s="770">
        <v>6870</v>
      </c>
      <c r="E162" s="770">
        <v>7500</v>
      </c>
      <c r="F162" s="784">
        <v>1390</v>
      </c>
    </row>
    <row r="163" spans="1:6" s="764" customFormat="1" ht="14.25" customHeight="1" thickBot="1">
      <c r="A163" s="776" t="s">
        <v>526</v>
      </c>
      <c r="B163" s="770" t="s">
        <v>242</v>
      </c>
      <c r="C163" s="770">
        <v>7120</v>
      </c>
      <c r="D163" s="770">
        <v>7090</v>
      </c>
      <c r="E163" s="770">
        <v>7690</v>
      </c>
      <c r="F163" s="784">
        <v>1230</v>
      </c>
    </row>
    <row r="164" spans="1:6" s="764" customFormat="1" ht="14.25" customHeight="1" thickBot="1">
      <c r="A164" s="776" t="s">
        <v>526</v>
      </c>
      <c r="B164" s="770" t="s">
        <v>253</v>
      </c>
      <c r="C164" s="770">
        <v>6560</v>
      </c>
      <c r="D164" s="770">
        <v>6530</v>
      </c>
      <c r="E164" s="770">
        <v>7110</v>
      </c>
      <c r="F164" s="784">
        <v>1340</v>
      </c>
    </row>
    <row r="165" spans="1:6" s="764" customFormat="1" ht="14.25" customHeight="1" thickBot="1">
      <c r="A165" s="776" t="s">
        <v>526</v>
      </c>
      <c r="B165" s="770" t="s">
        <v>264</v>
      </c>
      <c r="C165" s="770">
        <v>7450</v>
      </c>
      <c r="D165" s="770">
        <v>7430</v>
      </c>
      <c r="E165" s="770">
        <v>8110</v>
      </c>
      <c r="F165" s="784">
        <v>1290</v>
      </c>
    </row>
    <row r="166" spans="1:6" s="764" customFormat="1" ht="14.25" customHeight="1" thickBot="1">
      <c r="A166" s="776" t="s">
        <v>526</v>
      </c>
      <c r="B166" s="770" t="s">
        <v>276</v>
      </c>
      <c r="C166" s="770">
        <v>7490</v>
      </c>
      <c r="D166" s="770">
        <v>7460</v>
      </c>
      <c r="E166" s="770">
        <v>8150</v>
      </c>
      <c r="F166" s="784">
        <v>1350</v>
      </c>
    </row>
    <row r="167" spans="1:6" s="764" customFormat="1" ht="14.25" customHeight="1" thickBot="1">
      <c r="A167" s="776" t="s">
        <v>526</v>
      </c>
      <c r="B167" s="770" t="s">
        <v>286</v>
      </c>
      <c r="C167" s="770">
        <v>7540</v>
      </c>
      <c r="D167" s="770">
        <v>7510</v>
      </c>
      <c r="E167" s="770">
        <v>8030</v>
      </c>
      <c r="F167" s="788"/>
    </row>
    <row r="168" spans="1:6" s="764" customFormat="1" ht="14.25" customHeight="1" thickBot="1">
      <c r="A168" s="776" t="s">
        <v>526</v>
      </c>
      <c r="B168" s="770" t="s">
        <v>296</v>
      </c>
      <c r="C168" s="770">
        <v>7210</v>
      </c>
      <c r="D168" s="770">
        <v>7180</v>
      </c>
      <c r="E168" s="770">
        <v>7830</v>
      </c>
      <c r="F168" s="788"/>
    </row>
    <row r="169" spans="1:6" s="764" customFormat="1" ht="14.25" customHeight="1" thickBot="1">
      <c r="A169" s="776" t="s">
        <v>526</v>
      </c>
      <c r="B169" s="770" t="s">
        <v>306</v>
      </c>
      <c r="C169" s="770">
        <v>7040</v>
      </c>
      <c r="D169" s="770">
        <v>7020</v>
      </c>
      <c r="E169" s="770">
        <v>7670</v>
      </c>
      <c r="F169" s="788"/>
    </row>
    <row r="170" spans="1:6" s="764" customFormat="1" ht="14.25" customHeight="1" thickBot="1">
      <c r="A170" s="776" t="s">
        <v>526</v>
      </c>
      <c r="B170" s="770" t="s">
        <v>316</v>
      </c>
      <c r="C170" s="770">
        <v>8040</v>
      </c>
      <c r="D170" s="770">
        <v>7190</v>
      </c>
      <c r="E170" s="770">
        <v>7850</v>
      </c>
      <c r="F170" s="788"/>
    </row>
    <row r="171" spans="1:6" s="764" customFormat="1" ht="14.25" customHeight="1" thickBot="1">
      <c r="A171" s="776" t="s">
        <v>526</v>
      </c>
      <c r="B171" s="770" t="s">
        <v>327</v>
      </c>
      <c r="C171" s="770">
        <v>7860</v>
      </c>
      <c r="D171" s="770">
        <v>7720</v>
      </c>
      <c r="E171" s="770">
        <v>8150</v>
      </c>
      <c r="F171" s="784">
        <v>1110</v>
      </c>
    </row>
    <row r="172" spans="1:6" s="764" customFormat="1" ht="14.25" customHeight="1" thickBot="1">
      <c r="A172" s="776" t="s">
        <v>526</v>
      </c>
      <c r="B172" s="770" t="s">
        <v>338</v>
      </c>
      <c r="C172" s="770">
        <v>7210</v>
      </c>
      <c r="D172" s="770">
        <v>7170</v>
      </c>
      <c r="E172" s="770">
        <v>7320</v>
      </c>
      <c r="F172" s="788"/>
    </row>
    <row r="173" spans="1:6" s="764" customFormat="1" ht="14.25" customHeight="1" thickBot="1">
      <c r="A173" s="776" t="s">
        <v>526</v>
      </c>
      <c r="B173" s="770" t="s">
        <v>348</v>
      </c>
      <c r="C173" s="770">
        <v>6860</v>
      </c>
      <c r="D173" s="770">
        <v>6810</v>
      </c>
      <c r="E173" s="770">
        <v>7440</v>
      </c>
      <c r="F173" s="788"/>
    </row>
    <row r="174" spans="1:6" s="764" customFormat="1" ht="14.25" customHeight="1" thickBot="1">
      <c r="A174" s="776" t="s">
        <v>526</v>
      </c>
      <c r="B174" s="770" t="s">
        <v>358</v>
      </c>
      <c r="C174" s="770">
        <v>7120</v>
      </c>
      <c r="D174" s="770">
        <v>7090</v>
      </c>
      <c r="E174" s="770">
        <v>7500</v>
      </c>
      <c r="F174" s="784">
        <v>1490</v>
      </c>
    </row>
    <row r="175" spans="1:6" s="764" customFormat="1" ht="14.25" customHeight="1" thickBot="1">
      <c r="A175" s="776" t="s">
        <v>526</v>
      </c>
      <c r="B175" s="770" t="s">
        <v>368</v>
      </c>
      <c r="C175" s="770">
        <v>7850</v>
      </c>
      <c r="D175" s="770">
        <v>7820</v>
      </c>
      <c r="E175" s="770">
        <v>8120</v>
      </c>
      <c r="F175" s="784">
        <v>1530</v>
      </c>
    </row>
    <row r="176" spans="1:6" s="764" customFormat="1" ht="14.25" customHeight="1" thickBot="1">
      <c r="A176" s="776" t="s">
        <v>526</v>
      </c>
      <c r="B176" s="770" t="s">
        <v>378</v>
      </c>
      <c r="C176" s="770">
        <v>7620</v>
      </c>
      <c r="D176" s="770">
        <v>7570</v>
      </c>
      <c r="E176" s="770">
        <v>7990</v>
      </c>
      <c r="F176" s="784">
        <v>1480</v>
      </c>
    </row>
    <row r="177" spans="1:6" s="764" customFormat="1" ht="14.25" customHeight="1" thickBot="1">
      <c r="A177" s="776" t="s">
        <v>526</v>
      </c>
      <c r="B177" s="770" t="s">
        <v>387</v>
      </c>
      <c r="C177" s="770">
        <v>8590</v>
      </c>
      <c r="D177" s="770">
        <v>8570</v>
      </c>
      <c r="E177" s="770">
        <v>8740</v>
      </c>
      <c r="F177" s="784">
        <v>1540</v>
      </c>
    </row>
    <row r="178" spans="1:6" s="764" customFormat="1" ht="14.25" customHeight="1" thickBot="1">
      <c r="A178" s="776" t="s">
        <v>526</v>
      </c>
      <c r="B178" s="770" t="s">
        <v>396</v>
      </c>
      <c r="C178" s="770">
        <v>7510</v>
      </c>
      <c r="D178" s="770">
        <v>7470</v>
      </c>
      <c r="E178" s="770">
        <v>8090</v>
      </c>
      <c r="F178" s="784">
        <v>1320</v>
      </c>
    </row>
    <row r="179" spans="1:6" s="764" customFormat="1" ht="14.25" customHeight="1" thickBot="1">
      <c r="A179" s="776" t="s">
        <v>526</v>
      </c>
      <c r="B179" s="770" t="s">
        <v>404</v>
      </c>
      <c r="C179" s="770">
        <v>6380</v>
      </c>
      <c r="D179" s="770">
        <v>6340</v>
      </c>
      <c r="E179" s="770">
        <v>6810</v>
      </c>
      <c r="F179" s="788"/>
    </row>
    <row r="180" spans="1:6" s="764" customFormat="1" ht="14.25" customHeight="1" thickBot="1">
      <c r="A180" s="776" t="s">
        <v>526</v>
      </c>
      <c r="B180" s="770" t="s">
        <v>411</v>
      </c>
      <c r="C180" s="770">
        <v>7830</v>
      </c>
      <c r="D180" s="770">
        <v>7800</v>
      </c>
      <c r="E180" s="770">
        <v>7780</v>
      </c>
      <c r="F180" s="784">
        <v>1440</v>
      </c>
    </row>
    <row r="181" spans="1:6" s="764" customFormat="1" ht="14.25" customHeight="1" thickBot="1">
      <c r="A181" s="776" t="s">
        <v>526</v>
      </c>
      <c r="B181" s="770" t="s">
        <v>418</v>
      </c>
      <c r="C181" s="770">
        <v>7110</v>
      </c>
      <c r="D181" s="770">
        <v>7080</v>
      </c>
      <c r="E181" s="770">
        <v>7730</v>
      </c>
      <c r="F181" s="784">
        <v>1350</v>
      </c>
    </row>
    <row r="182" spans="1:6" s="764" customFormat="1" ht="14.25" customHeight="1" thickBot="1">
      <c r="A182" s="776" t="s">
        <v>526</v>
      </c>
      <c r="B182" s="770" t="s">
        <v>425</v>
      </c>
      <c r="C182" s="770">
        <v>7310</v>
      </c>
      <c r="D182" s="770">
        <v>7280</v>
      </c>
      <c r="E182" s="770">
        <v>7950</v>
      </c>
      <c r="F182" s="784">
        <v>1220</v>
      </c>
    </row>
    <row r="183" spans="1:6" s="764" customFormat="1" ht="14.25" customHeight="1" thickBot="1">
      <c r="A183" s="776" t="s">
        <v>526</v>
      </c>
      <c r="B183" s="770" t="s">
        <v>432</v>
      </c>
      <c r="C183" s="770">
        <v>7470</v>
      </c>
      <c r="D183" s="770">
        <v>7440</v>
      </c>
      <c r="E183" s="770">
        <v>7880</v>
      </c>
      <c r="F183" s="788"/>
    </row>
    <row r="184" spans="1:6" s="764" customFormat="1" ht="14.25" customHeight="1" thickBot="1">
      <c r="A184" s="776" t="s">
        <v>526</v>
      </c>
      <c r="B184" s="770" t="s">
        <v>439</v>
      </c>
      <c r="C184" s="770">
        <v>6960</v>
      </c>
      <c r="D184" s="770">
        <v>6930</v>
      </c>
      <c r="E184" s="770">
        <v>7570</v>
      </c>
      <c r="F184" s="788"/>
    </row>
    <row r="185" spans="1:6" s="764" customFormat="1" ht="14.25" customHeight="1" thickBot="1">
      <c r="A185" s="776" t="s">
        <v>526</v>
      </c>
      <c r="B185" s="770" t="s">
        <v>446</v>
      </c>
      <c r="C185" s="770">
        <v>7260</v>
      </c>
      <c r="D185" s="770">
        <v>7230</v>
      </c>
      <c r="E185" s="770">
        <v>7710</v>
      </c>
      <c r="F185" s="784">
        <v>1360</v>
      </c>
    </row>
    <row r="186" spans="1:6" s="764" customFormat="1" ht="14.25" customHeight="1" thickBot="1">
      <c r="A186" s="776" t="s">
        <v>526</v>
      </c>
      <c r="B186" s="770" t="s">
        <v>451</v>
      </c>
      <c r="C186" s="770"/>
      <c r="D186" s="770"/>
      <c r="E186" s="770"/>
      <c r="F186" s="784">
        <v>1560</v>
      </c>
    </row>
    <row r="187" spans="1:6" s="764" customFormat="1" ht="14.25" customHeight="1" thickBot="1">
      <c r="A187" s="776" t="s">
        <v>526</v>
      </c>
      <c r="B187" s="770" t="s">
        <v>455</v>
      </c>
      <c r="C187" s="770"/>
      <c r="D187" s="770"/>
      <c r="E187" s="770"/>
      <c r="F187" s="784">
        <v>1560</v>
      </c>
    </row>
    <row r="188" spans="1:6" s="764" customFormat="1" ht="14.25" customHeight="1" thickBot="1">
      <c r="A188" s="776" t="s">
        <v>526</v>
      </c>
      <c r="B188" s="770" t="s">
        <v>460</v>
      </c>
      <c r="C188" s="770"/>
      <c r="D188" s="770"/>
      <c r="E188" s="770"/>
      <c r="F188" s="784">
        <v>1560</v>
      </c>
    </row>
    <row r="189" spans="1:6" s="764" customFormat="1" ht="14.25" customHeight="1" thickBot="1">
      <c r="A189" s="776" t="s">
        <v>526</v>
      </c>
      <c r="B189" s="770" t="s">
        <v>465</v>
      </c>
      <c r="C189" s="770"/>
      <c r="D189" s="770"/>
      <c r="E189" s="770"/>
      <c r="F189" s="784">
        <v>1320</v>
      </c>
    </row>
    <row r="190" spans="1:6" s="764" customFormat="1" ht="14.25" customHeight="1" thickBot="1">
      <c r="A190" s="776" t="s">
        <v>526</v>
      </c>
      <c r="B190" s="770" t="s">
        <v>470</v>
      </c>
      <c r="C190" s="770"/>
      <c r="D190" s="770"/>
      <c r="E190" s="770"/>
      <c r="F190" s="784">
        <v>1320</v>
      </c>
    </row>
    <row r="191" spans="1:6" s="764" customFormat="1" ht="14.25" customHeight="1" thickBot="1">
      <c r="A191" s="776" t="s">
        <v>526</v>
      </c>
      <c r="B191" s="770" t="s">
        <v>475</v>
      </c>
      <c r="C191" s="770"/>
      <c r="D191" s="770"/>
      <c r="E191" s="770"/>
      <c r="F191" s="784">
        <v>1320</v>
      </c>
    </row>
    <row r="192" spans="1:6" s="764" customFormat="1" ht="14.25" customHeight="1" thickBot="1">
      <c r="A192" s="776" t="s">
        <v>526</v>
      </c>
      <c r="B192" s="770" t="s">
        <v>479</v>
      </c>
      <c r="C192" s="770"/>
      <c r="D192" s="770"/>
      <c r="E192" s="770"/>
      <c r="F192" s="784">
        <v>1100</v>
      </c>
    </row>
    <row r="193" spans="1:6" s="764" customFormat="1" ht="14.25" customHeight="1" thickBot="1">
      <c r="A193" s="776" t="s">
        <v>526</v>
      </c>
      <c r="B193" s="770" t="s">
        <v>483</v>
      </c>
      <c r="C193" s="770"/>
      <c r="D193" s="770"/>
      <c r="E193" s="770"/>
      <c r="F193" s="784">
        <v>1100</v>
      </c>
    </row>
    <row r="194" spans="1:6" s="764" customFormat="1" ht="14.25" customHeight="1" thickBot="1">
      <c r="A194" s="776" t="s">
        <v>526</v>
      </c>
      <c r="B194" s="770" t="s">
        <v>487</v>
      </c>
      <c r="C194" s="770"/>
      <c r="D194" s="770"/>
      <c r="E194" s="770"/>
      <c r="F194" s="784">
        <v>1080</v>
      </c>
    </row>
    <row r="195" spans="1:6" s="764" customFormat="1" ht="14.25" customHeight="1" thickBot="1">
      <c r="A195" s="776" t="s">
        <v>526</v>
      </c>
      <c r="B195" s="770" t="s">
        <v>491</v>
      </c>
      <c r="C195" s="770"/>
      <c r="D195" s="770"/>
      <c r="E195" s="770"/>
      <c r="F195" s="784">
        <v>1270</v>
      </c>
    </row>
    <row r="196" spans="1:6" s="764" customFormat="1" ht="14.25" customHeight="1" thickBot="1">
      <c r="A196" s="776" t="s">
        <v>526</v>
      </c>
      <c r="B196" s="770" t="s">
        <v>495</v>
      </c>
      <c r="C196" s="770"/>
      <c r="D196" s="770"/>
      <c r="E196" s="770"/>
      <c r="F196" s="784">
        <v>1150</v>
      </c>
    </row>
    <row r="197" spans="1:6" s="764" customFormat="1" ht="14.25" customHeight="1" thickBot="1">
      <c r="A197" s="776" t="s">
        <v>526</v>
      </c>
      <c r="B197" s="770" t="s">
        <v>499</v>
      </c>
      <c r="C197" s="770"/>
      <c r="D197" s="770"/>
      <c r="E197" s="770"/>
      <c r="F197" s="784">
        <v>1330</v>
      </c>
    </row>
    <row r="198" spans="1:6" s="764" customFormat="1" ht="14.25" customHeight="1" thickBot="1">
      <c r="A198" s="776" t="s">
        <v>526</v>
      </c>
      <c r="B198" s="770" t="s">
        <v>502</v>
      </c>
      <c r="C198" s="770"/>
      <c r="D198" s="770"/>
      <c r="E198" s="770"/>
      <c r="F198" s="784">
        <v>1170</v>
      </c>
    </row>
    <row r="199" spans="1:6" s="764" customFormat="1" ht="14.25" customHeight="1" thickBot="1">
      <c r="A199" s="776" t="s">
        <v>526</v>
      </c>
      <c r="B199" s="770" t="s">
        <v>505</v>
      </c>
      <c r="C199" s="770"/>
      <c r="D199" s="770"/>
      <c r="E199" s="770"/>
      <c r="F199" s="784">
        <v>1120</v>
      </c>
    </row>
    <row r="200" spans="1:6" s="764" customFormat="1" ht="14.25" customHeight="1" thickBot="1">
      <c r="A200" s="776" t="s">
        <v>526</v>
      </c>
      <c r="B200" s="770" t="s">
        <v>508</v>
      </c>
      <c r="C200" s="770"/>
      <c r="D200" s="770"/>
      <c r="E200" s="770"/>
      <c r="F200" s="784">
        <v>1120</v>
      </c>
    </row>
    <row r="201" spans="1:6" s="764" customFormat="1" ht="14.25" customHeight="1" thickBot="1">
      <c r="A201" s="776" t="s">
        <v>526</v>
      </c>
      <c r="B201" s="770" t="s">
        <v>511</v>
      </c>
      <c r="C201" s="770"/>
      <c r="D201" s="770"/>
      <c r="E201" s="770"/>
      <c r="F201" s="784">
        <v>1540</v>
      </c>
    </row>
    <row r="202" spans="1:6" s="764" customFormat="1" ht="14.25" customHeight="1" thickBot="1">
      <c r="A202" s="776" t="s">
        <v>526</v>
      </c>
      <c r="B202" s="770" t="s">
        <v>514</v>
      </c>
      <c r="C202" s="770"/>
      <c r="D202" s="770"/>
      <c r="E202" s="770"/>
      <c r="F202" s="784">
        <v>1310</v>
      </c>
    </row>
    <row r="203" spans="1:6" s="764" customFormat="1" ht="14.25" customHeight="1" thickBot="1">
      <c r="A203" s="776" t="s">
        <v>526</v>
      </c>
      <c r="B203" s="770" t="s">
        <v>517</v>
      </c>
      <c r="C203" s="770"/>
      <c r="D203" s="770"/>
      <c r="E203" s="770"/>
      <c r="F203" s="784">
        <v>1310</v>
      </c>
    </row>
    <row r="204" spans="1:6" s="764" customFormat="1" ht="14.25" customHeight="1" thickBot="1">
      <c r="A204" s="776" t="s">
        <v>526</v>
      </c>
      <c r="B204" s="770" t="s">
        <v>519</v>
      </c>
      <c r="C204" s="770"/>
      <c r="D204" s="770"/>
      <c r="E204" s="770"/>
      <c r="F204" s="784">
        <v>1080</v>
      </c>
    </row>
    <row r="205" spans="1:6" s="764" customFormat="1" ht="14.25" customHeight="1" thickBot="1">
      <c r="A205" s="776" t="s">
        <v>526</v>
      </c>
      <c r="B205" s="770" t="s">
        <v>522</v>
      </c>
      <c r="C205" s="770"/>
      <c r="D205" s="770"/>
      <c r="E205" s="770"/>
      <c r="F205" s="784">
        <v>1080</v>
      </c>
    </row>
    <row r="206" spans="1:6" s="764" customFormat="1" ht="14.25" customHeight="1" thickBot="1">
      <c r="A206" s="776" t="s">
        <v>528</v>
      </c>
      <c r="B206" s="777" t="s">
        <v>529</v>
      </c>
      <c r="C206" s="777">
        <v>5450</v>
      </c>
      <c r="D206" s="777">
        <v>5430</v>
      </c>
      <c r="E206" s="777">
        <v>5700</v>
      </c>
      <c r="F206" s="778">
        <v>1020</v>
      </c>
    </row>
    <row r="207" spans="1:6" s="764" customFormat="1" ht="14.25" customHeight="1" thickBot="1">
      <c r="A207" s="776" t="s">
        <v>528</v>
      </c>
      <c r="B207" s="770" t="s">
        <v>194</v>
      </c>
      <c r="C207" s="770">
        <v>5860</v>
      </c>
      <c r="D207" s="770">
        <v>5820</v>
      </c>
      <c r="E207" s="770">
        <v>6050</v>
      </c>
      <c r="F207" s="784">
        <v>1080</v>
      </c>
    </row>
    <row r="208" spans="1:6" s="764" customFormat="1" ht="14.25" customHeight="1" thickBot="1">
      <c r="A208" s="776" t="s">
        <v>528</v>
      </c>
      <c r="B208" s="770" t="s">
        <v>207</v>
      </c>
      <c r="C208" s="770">
        <v>4630</v>
      </c>
      <c r="D208" s="770">
        <v>4600</v>
      </c>
      <c r="E208" s="770">
        <v>4840</v>
      </c>
      <c r="F208" s="784">
        <v>900</v>
      </c>
    </row>
    <row r="209" spans="1:6" s="764" customFormat="1" ht="14.25" customHeight="1" thickBot="1">
      <c r="A209" s="776" t="s">
        <v>528</v>
      </c>
      <c r="B209" s="770" t="s">
        <v>220</v>
      </c>
      <c r="C209" s="770">
        <v>5320</v>
      </c>
      <c r="D209" s="770">
        <v>5270</v>
      </c>
      <c r="E209" s="770">
        <v>5540</v>
      </c>
      <c r="F209" s="784">
        <v>980</v>
      </c>
    </row>
    <row r="210" spans="1:6" s="764" customFormat="1" ht="14.25" customHeight="1" thickBot="1">
      <c r="A210" s="776" t="s">
        <v>528</v>
      </c>
      <c r="B210" s="770" t="s">
        <v>232</v>
      </c>
      <c r="C210" s="770">
        <v>5760</v>
      </c>
      <c r="D210" s="770">
        <v>5710</v>
      </c>
      <c r="E210" s="770">
        <v>6010</v>
      </c>
      <c r="F210" s="784">
        <v>870</v>
      </c>
    </row>
    <row r="211" spans="1:6" s="764" customFormat="1" ht="14.25" customHeight="1" thickBot="1">
      <c r="A211" s="776" t="s">
        <v>528</v>
      </c>
      <c r="B211" s="770" t="s">
        <v>243</v>
      </c>
      <c r="C211" s="770">
        <v>4160</v>
      </c>
      <c r="D211" s="770">
        <v>4100</v>
      </c>
      <c r="E211" s="770">
        <v>4270</v>
      </c>
      <c r="F211" s="784">
        <v>790</v>
      </c>
    </row>
    <row r="212" spans="1:6" s="764" customFormat="1" ht="14.25" customHeight="1" thickBot="1">
      <c r="A212" s="776" t="s">
        <v>528</v>
      </c>
      <c r="B212" s="770" t="s">
        <v>254</v>
      </c>
      <c r="C212" s="770">
        <v>4880</v>
      </c>
      <c r="D212" s="770">
        <v>4850</v>
      </c>
      <c r="E212" s="770">
        <v>5110</v>
      </c>
      <c r="F212" s="784">
        <v>940</v>
      </c>
    </row>
    <row r="213" spans="1:6" s="764" customFormat="1" ht="14.25" customHeight="1" thickBot="1">
      <c r="A213" s="776" t="s">
        <v>528</v>
      </c>
      <c r="B213" s="770" t="s">
        <v>265</v>
      </c>
      <c r="C213" s="770">
        <v>4640</v>
      </c>
      <c r="D213" s="770">
        <v>4590</v>
      </c>
      <c r="E213" s="770">
        <v>4700</v>
      </c>
      <c r="F213" s="784">
        <v>1030</v>
      </c>
    </row>
    <row r="214" spans="1:6" s="764" customFormat="1" ht="14.25" customHeight="1" thickBot="1">
      <c r="A214" s="776" t="s">
        <v>528</v>
      </c>
      <c r="B214" s="770" t="s">
        <v>277</v>
      </c>
      <c r="C214" s="770">
        <v>4540</v>
      </c>
      <c r="D214" s="770">
        <v>4490</v>
      </c>
      <c r="E214" s="770">
        <v>4610</v>
      </c>
      <c r="F214" s="788"/>
    </row>
    <row r="215" spans="1:6" s="764" customFormat="1" ht="14.25" customHeight="1" thickBot="1">
      <c r="A215" s="776" t="s">
        <v>528</v>
      </c>
      <c r="B215" s="770" t="s">
        <v>287</v>
      </c>
      <c r="C215" s="770">
        <v>5280</v>
      </c>
      <c r="D215" s="770">
        <v>5250</v>
      </c>
      <c r="E215" s="770">
        <v>5520</v>
      </c>
      <c r="F215" s="784">
        <v>1000</v>
      </c>
    </row>
    <row r="216" spans="1:6" s="764" customFormat="1" ht="14.25" customHeight="1" thickBot="1">
      <c r="A216" s="776" t="s">
        <v>528</v>
      </c>
      <c r="B216" s="770" t="s">
        <v>297</v>
      </c>
      <c r="C216" s="770">
        <v>5100</v>
      </c>
      <c r="D216" s="770">
        <v>5050</v>
      </c>
      <c r="E216" s="770">
        <v>5300</v>
      </c>
      <c r="F216" s="784">
        <v>950</v>
      </c>
    </row>
    <row r="217" spans="1:6" s="764" customFormat="1" ht="14.25" customHeight="1" thickBot="1">
      <c r="A217" s="776" t="s">
        <v>528</v>
      </c>
      <c r="B217" s="770" t="s">
        <v>307</v>
      </c>
      <c r="C217" s="770">
        <v>5370</v>
      </c>
      <c r="D217" s="770">
        <v>5320</v>
      </c>
      <c r="E217" s="770">
        <v>5410</v>
      </c>
      <c r="F217" s="784">
        <v>950</v>
      </c>
    </row>
    <row r="218" spans="1:6" s="764" customFormat="1" ht="14.25" customHeight="1" thickBot="1">
      <c r="A218" s="776" t="s">
        <v>528</v>
      </c>
      <c r="B218" s="770" t="s">
        <v>317</v>
      </c>
      <c r="C218" s="770">
        <v>5540</v>
      </c>
      <c r="D218" s="770">
        <v>5480</v>
      </c>
      <c r="E218" s="770">
        <v>5740</v>
      </c>
      <c r="F218" s="784">
        <v>1020</v>
      </c>
    </row>
    <row r="219" spans="1:6" s="764" customFormat="1" ht="14.25" customHeight="1" thickBot="1">
      <c r="A219" s="776" t="s">
        <v>528</v>
      </c>
      <c r="B219" s="770" t="s">
        <v>328</v>
      </c>
      <c r="C219" s="770">
        <v>5140</v>
      </c>
      <c r="D219" s="770">
        <v>5100</v>
      </c>
      <c r="E219" s="770">
        <v>5350</v>
      </c>
      <c r="F219" s="784">
        <v>1120</v>
      </c>
    </row>
    <row r="220" spans="1:6" s="764" customFormat="1" ht="14.25" customHeight="1" thickBot="1">
      <c r="A220" s="776" t="s">
        <v>528</v>
      </c>
      <c r="B220" s="770" t="s">
        <v>339</v>
      </c>
      <c r="C220" s="770">
        <v>5040</v>
      </c>
      <c r="D220" s="770">
        <v>5000</v>
      </c>
      <c r="E220" s="770">
        <v>5240</v>
      </c>
      <c r="F220" s="784">
        <v>980</v>
      </c>
    </row>
    <row r="221" spans="1:6" s="764" customFormat="1" ht="14.25" customHeight="1" thickBot="1">
      <c r="A221" s="776" t="s">
        <v>528</v>
      </c>
      <c r="B221" s="770" t="s">
        <v>349</v>
      </c>
      <c r="C221" s="789"/>
      <c r="D221" s="789"/>
      <c r="E221" s="789"/>
      <c r="F221" s="784">
        <v>1070</v>
      </c>
    </row>
    <row r="222" spans="1:6" s="764" customFormat="1" ht="14.25" customHeight="1" thickBot="1">
      <c r="A222" s="776" t="s">
        <v>528</v>
      </c>
      <c r="B222" s="770" t="s">
        <v>359</v>
      </c>
      <c r="C222" s="789"/>
      <c r="D222" s="789"/>
      <c r="E222" s="789"/>
      <c r="F222" s="784">
        <v>870</v>
      </c>
    </row>
    <row r="223" spans="1:6" s="764" customFormat="1" ht="14.25" customHeight="1" thickBot="1">
      <c r="A223" s="776" t="s">
        <v>528</v>
      </c>
      <c r="B223" s="770" t="s">
        <v>369</v>
      </c>
      <c r="C223" s="789"/>
      <c r="D223" s="789"/>
      <c r="E223" s="789"/>
      <c r="F223" s="784">
        <v>940</v>
      </c>
    </row>
    <row r="224" spans="1:6" s="764" customFormat="1" ht="14.25" customHeight="1" thickBot="1">
      <c r="A224" s="776" t="s">
        <v>528</v>
      </c>
      <c r="B224" s="770" t="s">
        <v>379</v>
      </c>
      <c r="C224" s="789"/>
      <c r="D224" s="789"/>
      <c r="E224" s="789"/>
      <c r="F224" s="784">
        <v>990</v>
      </c>
    </row>
    <row r="225" spans="1:6" s="764" customFormat="1" ht="14.25" customHeight="1" thickBot="1">
      <c r="A225" s="776" t="s">
        <v>528</v>
      </c>
      <c r="B225" s="770" t="s">
        <v>388</v>
      </c>
      <c r="C225" s="770">
        <v>5730</v>
      </c>
      <c r="D225" s="770">
        <v>5680</v>
      </c>
      <c r="E225" s="770">
        <v>6020</v>
      </c>
      <c r="F225" s="784">
        <v>1000</v>
      </c>
    </row>
    <row r="226" spans="1:6" s="764" customFormat="1" ht="14.25" customHeight="1" thickBot="1">
      <c r="A226" s="776" t="s">
        <v>528</v>
      </c>
      <c r="B226" s="770" t="s">
        <v>397</v>
      </c>
      <c r="C226" s="770">
        <v>4970</v>
      </c>
      <c r="D226" s="770">
        <v>4940</v>
      </c>
      <c r="E226" s="770">
        <v>5180</v>
      </c>
      <c r="F226" s="784">
        <v>960</v>
      </c>
    </row>
    <row r="227" spans="1:6" s="764" customFormat="1" ht="14.25" customHeight="1" thickBot="1">
      <c r="A227" s="776" t="s">
        <v>528</v>
      </c>
      <c r="B227" s="770" t="s">
        <v>405</v>
      </c>
      <c r="C227" s="770">
        <v>5550</v>
      </c>
      <c r="D227" s="770">
        <v>5500</v>
      </c>
      <c r="E227" s="770">
        <v>5780</v>
      </c>
      <c r="F227" s="784">
        <v>940</v>
      </c>
    </row>
    <row r="228" spans="1:6" s="764" customFormat="1" ht="14.25" customHeight="1" thickBot="1">
      <c r="A228" s="776" t="s">
        <v>528</v>
      </c>
      <c r="B228" s="770" t="s">
        <v>412</v>
      </c>
      <c r="C228" s="770">
        <v>5460</v>
      </c>
      <c r="D228" s="770">
        <v>5420</v>
      </c>
      <c r="E228" s="770">
        <v>5690</v>
      </c>
      <c r="F228" s="784">
        <v>910</v>
      </c>
    </row>
    <row r="229" spans="1:6" s="764" customFormat="1" ht="14.25" customHeight="1" thickBot="1">
      <c r="A229" s="776" t="s">
        <v>528</v>
      </c>
      <c r="B229" s="770" t="s">
        <v>419</v>
      </c>
      <c r="C229" s="770">
        <v>5310</v>
      </c>
      <c r="D229" s="770">
        <v>5270</v>
      </c>
      <c r="E229" s="770">
        <v>5510</v>
      </c>
      <c r="F229" s="788"/>
    </row>
    <row r="230" spans="1:6" s="764" customFormat="1" ht="14.25" customHeight="1" thickBot="1">
      <c r="A230" s="776" t="s">
        <v>528</v>
      </c>
      <c r="B230" s="770" t="s">
        <v>426</v>
      </c>
      <c r="C230" s="770">
        <v>4540</v>
      </c>
      <c r="D230" s="770">
        <v>4500</v>
      </c>
      <c r="E230" s="770">
        <v>4730</v>
      </c>
      <c r="F230" s="788"/>
    </row>
    <row r="231" spans="1:6" s="764" customFormat="1" ht="14.25" customHeight="1" thickBot="1">
      <c r="A231" s="776" t="s">
        <v>528</v>
      </c>
      <c r="B231" s="770" t="s">
        <v>433</v>
      </c>
      <c r="C231" s="770">
        <v>4480</v>
      </c>
      <c r="D231" s="770">
        <v>4410</v>
      </c>
      <c r="E231" s="770">
        <v>4640</v>
      </c>
      <c r="F231" s="788"/>
    </row>
    <row r="232" spans="1:6" s="764" customFormat="1" ht="14.25" customHeight="1" thickBot="1">
      <c r="A232" s="776" t="s">
        <v>528</v>
      </c>
      <c r="B232" s="770" t="s">
        <v>440</v>
      </c>
      <c r="C232" s="770">
        <v>5670</v>
      </c>
      <c r="D232" s="770">
        <v>5600</v>
      </c>
      <c r="E232" s="770">
        <v>5890</v>
      </c>
      <c r="F232" s="784">
        <v>1150</v>
      </c>
    </row>
    <row r="233" spans="1:6" s="764" customFormat="1" ht="14.25" customHeight="1" thickBot="1">
      <c r="A233" s="776" t="s">
        <v>528</v>
      </c>
      <c r="B233" s="770" t="s">
        <v>447</v>
      </c>
      <c r="C233" s="770">
        <v>4590</v>
      </c>
      <c r="D233" s="770">
        <v>4500</v>
      </c>
      <c r="E233" s="770">
        <v>4600</v>
      </c>
      <c r="F233" s="788"/>
    </row>
    <row r="234" spans="1:6" s="764" customFormat="1" ht="14.25" customHeight="1" thickBot="1">
      <c r="A234" s="776" t="s">
        <v>528</v>
      </c>
      <c r="B234" s="770" t="s">
        <v>1021</v>
      </c>
      <c r="C234" s="770">
        <v>3990</v>
      </c>
      <c r="D234" s="770">
        <v>3950</v>
      </c>
      <c r="E234" s="770">
        <v>4180</v>
      </c>
      <c r="F234" s="788"/>
    </row>
    <row r="235" spans="1:6" s="764" customFormat="1" ht="14.25" customHeight="1" thickBot="1">
      <c r="A235" s="776" t="s">
        <v>528</v>
      </c>
      <c r="B235" s="770" t="s">
        <v>456</v>
      </c>
      <c r="C235" s="770">
        <v>5590</v>
      </c>
      <c r="D235" s="770">
        <v>5540</v>
      </c>
      <c r="E235" s="770">
        <v>5810</v>
      </c>
      <c r="F235" s="784">
        <v>970</v>
      </c>
    </row>
    <row r="236" spans="1:6" s="764" customFormat="1" ht="14.25" customHeight="1" thickBot="1">
      <c r="A236" s="776" t="s">
        <v>528</v>
      </c>
      <c r="B236" s="770" t="s">
        <v>461</v>
      </c>
      <c r="C236" s="770"/>
      <c r="D236" s="770"/>
      <c r="E236" s="770"/>
      <c r="F236" s="784">
        <v>1020</v>
      </c>
    </row>
    <row r="237" spans="1:6" s="764" customFormat="1" ht="14.25" customHeight="1" thickBot="1">
      <c r="A237" s="776" t="s">
        <v>528</v>
      </c>
      <c r="B237" s="770" t="s">
        <v>466</v>
      </c>
      <c r="C237" s="770"/>
      <c r="D237" s="770"/>
      <c r="E237" s="770"/>
      <c r="F237" s="784">
        <v>960</v>
      </c>
    </row>
    <row r="238" spans="1:6" s="764" customFormat="1" ht="14.25" customHeight="1" thickBot="1">
      <c r="A238" s="776" t="s">
        <v>528</v>
      </c>
      <c r="B238" s="770" t="s">
        <v>471</v>
      </c>
      <c r="C238" s="770"/>
      <c r="D238" s="770"/>
      <c r="E238" s="770"/>
      <c r="F238" s="784">
        <v>960</v>
      </c>
    </row>
    <row r="239" spans="1:6" s="764" customFormat="1" ht="14.25" customHeight="1" thickBot="1">
      <c r="A239" s="776" t="s">
        <v>528</v>
      </c>
      <c r="B239" s="770" t="s">
        <v>476</v>
      </c>
      <c r="C239" s="770"/>
      <c r="D239" s="770"/>
      <c r="E239" s="770"/>
      <c r="F239" s="784">
        <v>960</v>
      </c>
    </row>
    <row r="240" spans="1:6" s="764" customFormat="1" ht="14.25" customHeight="1" thickBot="1">
      <c r="A240" s="776" t="s">
        <v>528</v>
      </c>
      <c r="B240" s="770" t="s">
        <v>480</v>
      </c>
      <c r="C240" s="770"/>
      <c r="D240" s="770"/>
      <c r="E240" s="770"/>
      <c r="F240" s="784">
        <v>990</v>
      </c>
    </row>
    <row r="241" spans="1:6" s="764" customFormat="1" ht="14.25" customHeight="1" thickBot="1">
      <c r="A241" s="776" t="s">
        <v>528</v>
      </c>
      <c r="B241" s="770" t="s">
        <v>484</v>
      </c>
      <c r="C241" s="770"/>
      <c r="D241" s="770"/>
      <c r="E241" s="770"/>
      <c r="F241" s="784">
        <v>1000</v>
      </c>
    </row>
    <row r="242" spans="1:6" s="764" customFormat="1" ht="14.25" customHeight="1" thickBot="1">
      <c r="A242" s="776" t="s">
        <v>528</v>
      </c>
      <c r="B242" s="770" t="s">
        <v>488</v>
      </c>
      <c r="C242" s="770"/>
      <c r="D242" s="770"/>
      <c r="E242" s="770"/>
      <c r="F242" s="784">
        <v>980</v>
      </c>
    </row>
    <row r="243" spans="1:6" s="764" customFormat="1" ht="14.25" customHeight="1" thickBot="1">
      <c r="A243" s="776" t="s">
        <v>528</v>
      </c>
      <c r="B243" s="770" t="s">
        <v>492</v>
      </c>
      <c r="C243" s="770"/>
      <c r="D243" s="770"/>
      <c r="E243" s="770"/>
      <c r="F243" s="784">
        <v>970</v>
      </c>
    </row>
    <row r="244" spans="1:6" s="764" customFormat="1" ht="14.25" customHeight="1" thickBot="1">
      <c r="A244" s="776" t="s">
        <v>528</v>
      </c>
      <c r="B244" s="782" t="s">
        <v>496</v>
      </c>
      <c r="C244" s="782"/>
      <c r="D244" s="782"/>
      <c r="E244" s="782"/>
      <c r="F244" s="787">
        <v>970</v>
      </c>
    </row>
    <row r="245" spans="1:6" s="764" customFormat="1" ht="14.25" customHeight="1" thickBot="1">
      <c r="A245" s="776" t="s">
        <v>530</v>
      </c>
      <c r="B245" s="777" t="s">
        <v>531</v>
      </c>
      <c r="C245" s="777">
        <v>4050</v>
      </c>
      <c r="D245" s="777">
        <v>4020</v>
      </c>
      <c r="E245" s="777">
        <v>4160</v>
      </c>
      <c r="F245" s="778">
        <v>840</v>
      </c>
    </row>
    <row r="246" spans="1:6" s="764" customFormat="1" ht="14.25" customHeight="1" thickBot="1">
      <c r="A246" s="776" t="s">
        <v>530</v>
      </c>
      <c r="B246" s="770" t="s">
        <v>195</v>
      </c>
      <c r="C246" s="770">
        <v>4010</v>
      </c>
      <c r="D246" s="770">
        <v>3960</v>
      </c>
      <c r="E246" s="770">
        <v>4130</v>
      </c>
      <c r="F246" s="784">
        <v>840</v>
      </c>
    </row>
    <row r="247" spans="1:6" s="764" customFormat="1" ht="14.25" customHeight="1" thickBot="1">
      <c r="A247" s="776" t="s">
        <v>530</v>
      </c>
      <c r="B247" s="770" t="s">
        <v>532</v>
      </c>
      <c r="C247" s="770">
        <v>3170</v>
      </c>
      <c r="D247" s="770">
        <v>3140</v>
      </c>
      <c r="E247" s="770">
        <v>3270</v>
      </c>
      <c r="F247" s="784">
        <v>640</v>
      </c>
    </row>
    <row r="248" spans="1:6" s="764" customFormat="1" ht="14.25" customHeight="1" thickBot="1">
      <c r="A248" s="776" t="s">
        <v>530</v>
      </c>
      <c r="B248" s="770" t="s">
        <v>533</v>
      </c>
      <c r="C248" s="770">
        <v>3140</v>
      </c>
      <c r="D248" s="770">
        <v>3120</v>
      </c>
      <c r="E248" s="770">
        <v>3240</v>
      </c>
      <c r="F248" s="784">
        <v>620</v>
      </c>
    </row>
    <row r="249" spans="1:6" s="764" customFormat="1" ht="14.25" customHeight="1" thickBot="1">
      <c r="A249" s="776" t="s">
        <v>530</v>
      </c>
      <c r="B249" s="770" t="s">
        <v>233</v>
      </c>
      <c r="C249" s="770">
        <v>3200</v>
      </c>
      <c r="D249" s="770">
        <v>3100</v>
      </c>
      <c r="E249" s="770">
        <v>3230</v>
      </c>
      <c r="F249" s="784">
        <v>750</v>
      </c>
    </row>
    <row r="250" spans="1:6" s="764" customFormat="1" ht="14.25" customHeight="1" thickBot="1">
      <c r="A250" s="776" t="s">
        <v>530</v>
      </c>
      <c r="B250" s="770" t="s">
        <v>244</v>
      </c>
      <c r="C250" s="770">
        <v>4060</v>
      </c>
      <c r="D250" s="770">
        <v>4000</v>
      </c>
      <c r="E250" s="770">
        <v>4140</v>
      </c>
      <c r="F250" s="784">
        <v>790</v>
      </c>
    </row>
    <row r="251" spans="1:6" s="764" customFormat="1" ht="14.25" customHeight="1" thickBot="1">
      <c r="A251" s="776" t="s">
        <v>530</v>
      </c>
      <c r="B251" s="770" t="s">
        <v>255</v>
      </c>
      <c r="C251" s="770">
        <v>3990</v>
      </c>
      <c r="D251" s="770">
        <v>3970</v>
      </c>
      <c r="E251" s="770">
        <v>4110</v>
      </c>
      <c r="F251" s="784">
        <v>730</v>
      </c>
    </row>
    <row r="252" spans="1:6" s="764" customFormat="1" ht="14.25" customHeight="1" thickBot="1">
      <c r="A252" s="776" t="s">
        <v>530</v>
      </c>
      <c r="B252" s="770" t="s">
        <v>266</v>
      </c>
      <c r="C252" s="770">
        <v>3560</v>
      </c>
      <c r="D252" s="770">
        <v>3530</v>
      </c>
      <c r="E252" s="770">
        <v>3650</v>
      </c>
      <c r="F252" s="784">
        <v>750</v>
      </c>
    </row>
    <row r="253" spans="1:6" s="764" customFormat="1" ht="14.25" customHeight="1" thickBot="1">
      <c r="A253" s="776" t="s">
        <v>530</v>
      </c>
      <c r="B253" s="770" t="s">
        <v>278</v>
      </c>
      <c r="C253" s="770">
        <v>3780</v>
      </c>
      <c r="D253" s="770">
        <v>3750</v>
      </c>
      <c r="E253" s="770">
        <v>3870</v>
      </c>
      <c r="F253" s="784">
        <v>770</v>
      </c>
    </row>
    <row r="254" spans="1:6" s="764" customFormat="1" ht="14.25" customHeight="1" thickBot="1">
      <c r="A254" s="776" t="s">
        <v>530</v>
      </c>
      <c r="B254" s="770" t="s">
        <v>288</v>
      </c>
      <c r="C254" s="789"/>
      <c r="D254" s="789"/>
      <c r="E254" s="789"/>
      <c r="F254" s="784">
        <v>740</v>
      </c>
    </row>
    <row r="255" spans="1:6" s="764" customFormat="1" ht="14.25" customHeight="1" thickBot="1">
      <c r="A255" s="776" t="s">
        <v>530</v>
      </c>
      <c r="B255" s="770" t="s">
        <v>298</v>
      </c>
      <c r="C255" s="789"/>
      <c r="D255" s="789"/>
      <c r="E255" s="789"/>
      <c r="F255" s="784">
        <v>760</v>
      </c>
    </row>
    <row r="256" spans="1:6" s="764" customFormat="1" ht="14.25" customHeight="1" thickBot="1">
      <c r="A256" s="776" t="s">
        <v>530</v>
      </c>
      <c r="B256" s="770" t="s">
        <v>308</v>
      </c>
      <c r="C256" s="770">
        <v>3760</v>
      </c>
      <c r="D256" s="770">
        <v>3730</v>
      </c>
      <c r="E256" s="770">
        <v>3870</v>
      </c>
      <c r="F256" s="784">
        <v>830</v>
      </c>
    </row>
    <row r="257" spans="1:6" s="764" customFormat="1" ht="14.25" customHeight="1" thickBot="1">
      <c r="A257" s="776" t="s">
        <v>530</v>
      </c>
      <c r="B257" s="770" t="s">
        <v>318</v>
      </c>
      <c r="C257" s="770">
        <v>3570</v>
      </c>
      <c r="D257" s="770">
        <v>3540</v>
      </c>
      <c r="E257" s="770">
        <v>3650</v>
      </c>
      <c r="F257" s="784">
        <v>790</v>
      </c>
    </row>
    <row r="258" spans="1:6" s="764" customFormat="1" ht="14.25" customHeight="1" thickBot="1">
      <c r="A258" s="776" t="s">
        <v>530</v>
      </c>
      <c r="B258" s="770" t="s">
        <v>329</v>
      </c>
      <c r="C258" s="770">
        <v>3410</v>
      </c>
      <c r="D258" s="770">
        <v>3380</v>
      </c>
      <c r="E258" s="770">
        <v>3500</v>
      </c>
      <c r="F258" s="784">
        <v>830</v>
      </c>
    </row>
    <row r="259" spans="1:6" s="764" customFormat="1" ht="14.25" customHeight="1" thickBot="1">
      <c r="A259" s="776" t="s">
        <v>530</v>
      </c>
      <c r="B259" s="770" t="s">
        <v>340</v>
      </c>
      <c r="C259" s="770">
        <v>3870</v>
      </c>
      <c r="D259" s="770">
        <v>3840</v>
      </c>
      <c r="E259" s="770">
        <v>3970</v>
      </c>
      <c r="F259" s="784">
        <v>830</v>
      </c>
    </row>
    <row r="260" spans="1:6" s="764" customFormat="1" ht="14.25" customHeight="1" thickBot="1">
      <c r="A260" s="776" t="s">
        <v>530</v>
      </c>
      <c r="B260" s="770" t="s">
        <v>350</v>
      </c>
      <c r="C260" s="770">
        <v>3700</v>
      </c>
      <c r="D260" s="770">
        <v>3660</v>
      </c>
      <c r="E260" s="770">
        <v>3810</v>
      </c>
      <c r="F260" s="784">
        <v>790</v>
      </c>
    </row>
    <row r="261" spans="1:6" s="764" customFormat="1" ht="14.25" customHeight="1" thickBot="1">
      <c r="A261" s="776" t="s">
        <v>530</v>
      </c>
      <c r="B261" s="770" t="s">
        <v>360</v>
      </c>
      <c r="C261" s="770">
        <v>3470</v>
      </c>
      <c r="D261" s="770">
        <v>3430</v>
      </c>
      <c r="E261" s="770">
        <v>3640</v>
      </c>
      <c r="F261" s="784">
        <v>760</v>
      </c>
    </row>
    <row r="262" spans="1:6" s="764" customFormat="1" ht="14.25" customHeight="1" thickBot="1">
      <c r="A262" s="776" t="s">
        <v>530</v>
      </c>
      <c r="B262" s="770" t="s">
        <v>370</v>
      </c>
      <c r="C262" s="770">
        <v>3510</v>
      </c>
      <c r="D262" s="770">
        <v>3470</v>
      </c>
      <c r="E262" s="770">
        <v>3680</v>
      </c>
      <c r="F262" s="788"/>
    </row>
    <row r="263" spans="1:6" s="764" customFormat="1" ht="14.25" customHeight="1" thickBot="1">
      <c r="A263" s="776" t="s">
        <v>530</v>
      </c>
      <c r="B263" s="770" t="s">
        <v>380</v>
      </c>
      <c r="C263" s="770">
        <v>3960</v>
      </c>
      <c r="D263" s="770">
        <v>3930</v>
      </c>
      <c r="E263" s="770">
        <v>4070</v>
      </c>
      <c r="F263" s="784">
        <v>830</v>
      </c>
    </row>
    <row r="264" spans="1:6" s="764" customFormat="1" ht="14.25" customHeight="1" thickBot="1">
      <c r="A264" s="776" t="s">
        <v>530</v>
      </c>
      <c r="B264" s="770" t="s">
        <v>389</v>
      </c>
      <c r="C264" s="770">
        <v>4010</v>
      </c>
      <c r="D264" s="770">
        <v>3980</v>
      </c>
      <c r="E264" s="770">
        <v>4150</v>
      </c>
      <c r="F264" s="784">
        <v>760</v>
      </c>
    </row>
    <row r="265" spans="1:6" s="764" customFormat="1" ht="14.25" customHeight="1" thickBot="1">
      <c r="A265" s="776" t="s">
        <v>530</v>
      </c>
      <c r="B265" s="770" t="s">
        <v>398</v>
      </c>
      <c r="C265" s="770">
        <v>3910</v>
      </c>
      <c r="D265" s="770">
        <v>3890</v>
      </c>
      <c r="E265" s="770">
        <v>4040</v>
      </c>
      <c r="F265" s="784">
        <v>780</v>
      </c>
    </row>
    <row r="266" spans="1:6" s="764" customFormat="1" ht="14.25" customHeight="1" thickBot="1">
      <c r="A266" s="776" t="s">
        <v>530</v>
      </c>
      <c r="B266" s="770" t="s">
        <v>406</v>
      </c>
      <c r="C266" s="770">
        <v>3930</v>
      </c>
      <c r="D266" s="770">
        <v>3900</v>
      </c>
      <c r="E266" s="770">
        <v>4080</v>
      </c>
      <c r="F266" s="784">
        <v>770</v>
      </c>
    </row>
    <row r="267" spans="1:6" s="764" customFormat="1" ht="14.25" customHeight="1" thickBot="1">
      <c r="A267" s="776" t="s">
        <v>530</v>
      </c>
      <c r="B267" s="770" t="s">
        <v>413</v>
      </c>
      <c r="C267" s="770">
        <v>3800</v>
      </c>
      <c r="D267" s="770">
        <v>3780</v>
      </c>
      <c r="E267" s="770">
        <v>3930</v>
      </c>
      <c r="F267" s="788"/>
    </row>
    <row r="268" spans="1:6" s="764" customFormat="1" ht="14.25" customHeight="1" thickBot="1">
      <c r="A268" s="776" t="s">
        <v>530</v>
      </c>
      <c r="B268" s="770" t="s">
        <v>420</v>
      </c>
      <c r="C268" s="770">
        <v>3460</v>
      </c>
      <c r="D268" s="770">
        <v>3430</v>
      </c>
      <c r="E268" s="770">
        <v>3560</v>
      </c>
      <c r="F268" s="784">
        <v>840</v>
      </c>
    </row>
    <row r="269" spans="1:6" s="764" customFormat="1" ht="14.25" customHeight="1" thickBot="1">
      <c r="A269" s="776" t="s">
        <v>530</v>
      </c>
      <c r="B269" s="770" t="s">
        <v>427</v>
      </c>
      <c r="C269" s="770">
        <v>3210</v>
      </c>
      <c r="D269" s="770">
        <v>3190</v>
      </c>
      <c r="E269" s="770">
        <v>3310</v>
      </c>
      <c r="F269" s="784">
        <v>730</v>
      </c>
    </row>
    <row r="270" spans="1:6" s="764" customFormat="1" ht="14.25" customHeight="1" thickBot="1">
      <c r="A270" s="776" t="s">
        <v>530</v>
      </c>
      <c r="B270" s="770" t="s">
        <v>434</v>
      </c>
      <c r="C270" s="770">
        <v>3240</v>
      </c>
      <c r="D270" s="770">
        <v>3210</v>
      </c>
      <c r="E270" s="770">
        <v>3390</v>
      </c>
      <c r="F270" s="784">
        <v>820</v>
      </c>
    </row>
    <row r="271" spans="1:6" s="764" customFormat="1" ht="14.25" customHeight="1" thickBot="1">
      <c r="A271" s="776" t="s">
        <v>530</v>
      </c>
      <c r="B271" s="770" t="s">
        <v>441</v>
      </c>
      <c r="C271" s="770">
        <v>3300</v>
      </c>
      <c r="D271" s="770">
        <v>3270</v>
      </c>
      <c r="E271" s="770">
        <v>3380</v>
      </c>
      <c r="F271" s="784">
        <v>750</v>
      </c>
    </row>
    <row r="272" spans="1:6" s="764" customFormat="1" ht="14.25" customHeight="1" thickBot="1">
      <c r="A272" s="776" t="s">
        <v>530</v>
      </c>
      <c r="B272" s="770" t="s">
        <v>448</v>
      </c>
      <c r="C272" s="789"/>
      <c r="D272" s="789"/>
      <c r="E272" s="789"/>
      <c r="F272" s="784">
        <v>740</v>
      </c>
    </row>
    <row r="273" spans="1:6" s="764" customFormat="1" ht="14.25" customHeight="1" thickBot="1">
      <c r="A273" s="776" t="s">
        <v>530</v>
      </c>
      <c r="B273" s="770" t="s">
        <v>452</v>
      </c>
      <c r="C273" s="770">
        <v>3130</v>
      </c>
      <c r="D273" s="770">
        <v>3100</v>
      </c>
      <c r="E273" s="770">
        <v>3230</v>
      </c>
      <c r="F273" s="784">
        <v>700</v>
      </c>
    </row>
    <row r="274" spans="1:6" s="764" customFormat="1" ht="14.25" customHeight="1" thickBot="1">
      <c r="A274" s="776" t="s">
        <v>530</v>
      </c>
      <c r="B274" s="770" t="s">
        <v>457</v>
      </c>
      <c r="C274" s="770">
        <v>3460</v>
      </c>
      <c r="D274" s="770">
        <v>3430</v>
      </c>
      <c r="E274" s="770">
        <v>3560</v>
      </c>
      <c r="F274" s="784">
        <v>690</v>
      </c>
    </row>
    <row r="275" spans="1:6" s="764" customFormat="1" ht="14.25" customHeight="1" thickBot="1">
      <c r="A275" s="776" t="s">
        <v>530</v>
      </c>
      <c r="B275" s="770" t="s">
        <v>462</v>
      </c>
      <c r="C275" s="770">
        <v>4040</v>
      </c>
      <c r="D275" s="770">
        <v>4020</v>
      </c>
      <c r="E275" s="770">
        <v>4160</v>
      </c>
      <c r="F275" s="784">
        <v>820</v>
      </c>
    </row>
    <row r="276" spans="1:6" s="764" customFormat="1" ht="14.25" customHeight="1" thickBot="1">
      <c r="A276" s="776" t="s">
        <v>530</v>
      </c>
      <c r="B276" s="770" t="s">
        <v>467</v>
      </c>
      <c r="C276" s="770">
        <v>3270</v>
      </c>
      <c r="D276" s="770">
        <v>3240</v>
      </c>
      <c r="E276" s="770">
        <v>3350</v>
      </c>
      <c r="F276" s="784">
        <v>680</v>
      </c>
    </row>
    <row r="277" spans="1:6" s="764" customFormat="1" ht="14.25" customHeight="1" thickBot="1">
      <c r="A277" s="776" t="s">
        <v>530</v>
      </c>
      <c r="B277" s="770" t="s">
        <v>472</v>
      </c>
      <c r="C277" s="770">
        <v>2930</v>
      </c>
      <c r="D277" s="770">
        <v>2900</v>
      </c>
      <c r="E277" s="770">
        <v>3000</v>
      </c>
      <c r="F277" s="784">
        <v>640</v>
      </c>
    </row>
    <row r="278" spans="1:6" s="764" customFormat="1" ht="14.25" customHeight="1" thickBot="1">
      <c r="A278" s="776" t="s">
        <v>530</v>
      </c>
      <c r="B278" s="770" t="s">
        <v>477</v>
      </c>
      <c r="C278" s="770">
        <v>4080</v>
      </c>
      <c r="D278" s="770">
        <v>4030</v>
      </c>
      <c r="E278" s="770">
        <v>4140</v>
      </c>
      <c r="F278" s="784">
        <v>850</v>
      </c>
    </row>
    <row r="279" spans="1:6" s="764" customFormat="1" ht="14.25" customHeight="1" thickBot="1">
      <c r="A279" s="776" t="s">
        <v>530</v>
      </c>
      <c r="B279" s="770" t="s">
        <v>481</v>
      </c>
      <c r="C279" s="770"/>
      <c r="D279" s="770"/>
      <c r="E279" s="770"/>
      <c r="F279" s="784">
        <v>760</v>
      </c>
    </row>
    <row r="280" spans="1:6" s="764" customFormat="1" ht="14.25" customHeight="1" thickBot="1">
      <c r="A280" s="776" t="s">
        <v>530</v>
      </c>
      <c r="B280" s="770" t="s">
        <v>485</v>
      </c>
      <c r="C280" s="770"/>
      <c r="D280" s="770"/>
      <c r="E280" s="770"/>
      <c r="F280" s="784">
        <v>760</v>
      </c>
    </row>
    <row r="281" spans="1:6" s="764" customFormat="1" ht="14.25" customHeight="1" thickBot="1">
      <c r="A281" s="776" t="s">
        <v>530</v>
      </c>
      <c r="B281" s="770" t="s">
        <v>489</v>
      </c>
      <c r="C281" s="770"/>
      <c r="D281" s="770"/>
      <c r="E281" s="770"/>
      <c r="F281" s="784">
        <v>780</v>
      </c>
    </row>
    <row r="282" spans="1:6" s="764" customFormat="1" ht="14.25" customHeight="1" thickBot="1">
      <c r="A282" s="776" t="s">
        <v>530</v>
      </c>
      <c r="B282" s="770" t="s">
        <v>493</v>
      </c>
      <c r="C282" s="770"/>
      <c r="D282" s="770"/>
      <c r="E282" s="770"/>
      <c r="F282" s="784">
        <v>730</v>
      </c>
    </row>
    <row r="283" spans="1:6" s="764" customFormat="1" ht="14.25" customHeight="1" thickBot="1">
      <c r="A283" s="776" t="s">
        <v>530</v>
      </c>
      <c r="B283" s="770" t="s">
        <v>497</v>
      </c>
      <c r="C283" s="770"/>
      <c r="D283" s="770"/>
      <c r="E283" s="770"/>
      <c r="F283" s="784">
        <v>770</v>
      </c>
    </row>
    <row r="284" spans="1:6" s="764" customFormat="1" ht="14.25" customHeight="1" thickBot="1">
      <c r="A284" s="776" t="s">
        <v>530</v>
      </c>
      <c r="B284" s="770" t="s">
        <v>500</v>
      </c>
      <c r="C284" s="770"/>
      <c r="D284" s="770"/>
      <c r="E284" s="770"/>
      <c r="F284" s="784">
        <v>640</v>
      </c>
    </row>
    <row r="285" spans="1:6" s="764" customFormat="1" ht="14.25" customHeight="1" thickBot="1">
      <c r="A285" s="776" t="s">
        <v>530</v>
      </c>
      <c r="B285" s="770" t="s">
        <v>503</v>
      </c>
      <c r="C285" s="770"/>
      <c r="D285" s="770"/>
      <c r="E285" s="770"/>
      <c r="F285" s="784">
        <v>640</v>
      </c>
    </row>
    <row r="286" spans="1:6" s="764" customFormat="1" ht="14.25" customHeight="1" thickBot="1">
      <c r="A286" s="776" t="s">
        <v>530</v>
      </c>
      <c r="B286" s="770" t="s">
        <v>506</v>
      </c>
      <c r="C286" s="770"/>
      <c r="D286" s="770"/>
      <c r="E286" s="770"/>
      <c r="F286" s="784">
        <v>850</v>
      </c>
    </row>
    <row r="287" spans="1:6" s="764" customFormat="1" ht="14.25" customHeight="1" thickBot="1">
      <c r="A287" s="776" t="s">
        <v>530</v>
      </c>
      <c r="B287" s="770" t="s">
        <v>509</v>
      </c>
      <c r="C287" s="770"/>
      <c r="D287" s="770"/>
      <c r="E287" s="770"/>
      <c r="F287" s="784">
        <v>760</v>
      </c>
    </row>
    <row r="288" spans="1:6" s="764" customFormat="1" ht="14.25" customHeight="1" thickBot="1">
      <c r="A288" s="776" t="s">
        <v>530</v>
      </c>
      <c r="B288" s="770" t="s">
        <v>512</v>
      </c>
      <c r="C288" s="770"/>
      <c r="D288" s="770"/>
      <c r="E288" s="770"/>
      <c r="F288" s="784">
        <v>830</v>
      </c>
    </row>
    <row r="289" spans="1:6" s="764" customFormat="1" ht="14.25" customHeight="1" thickBot="1">
      <c r="A289" s="776" t="s">
        <v>530</v>
      </c>
      <c r="B289" s="782" t="s">
        <v>515</v>
      </c>
      <c r="C289" s="782"/>
      <c r="D289" s="782"/>
      <c r="E289" s="782"/>
      <c r="F289" s="787">
        <v>680</v>
      </c>
    </row>
    <row r="290" spans="1:6" s="764" customFormat="1" ht="14.25" customHeight="1" thickBot="1">
      <c r="A290" s="776" t="s">
        <v>534</v>
      </c>
      <c r="B290" s="777" t="s">
        <v>535</v>
      </c>
      <c r="C290" s="777">
        <v>2770</v>
      </c>
      <c r="D290" s="777">
        <v>2740</v>
      </c>
      <c r="E290" s="777">
        <v>2720</v>
      </c>
      <c r="F290" s="790"/>
    </row>
    <row r="291" spans="1:6" s="764" customFormat="1" ht="14.25" customHeight="1" thickBot="1">
      <c r="A291" s="776" t="s">
        <v>534</v>
      </c>
      <c r="B291" s="770" t="s">
        <v>196</v>
      </c>
      <c r="C291" s="770">
        <v>2670</v>
      </c>
      <c r="D291" s="770">
        <v>2640</v>
      </c>
      <c r="E291" s="770">
        <v>2620</v>
      </c>
      <c r="F291" s="788"/>
    </row>
    <row r="292" spans="1:6" s="764" customFormat="1" ht="14.25" customHeight="1" thickBot="1">
      <c r="A292" s="776" t="s">
        <v>534</v>
      </c>
      <c r="B292" s="770" t="s">
        <v>536</v>
      </c>
      <c r="C292" s="770">
        <v>2180</v>
      </c>
      <c r="D292" s="770">
        <v>2140</v>
      </c>
      <c r="E292" s="770">
        <v>2120</v>
      </c>
      <c r="F292" s="784">
        <v>490</v>
      </c>
    </row>
    <row r="293" spans="1:6" s="764" customFormat="1" ht="14.25" customHeight="1" thickBot="1">
      <c r="A293" s="776" t="s">
        <v>534</v>
      </c>
      <c r="B293" s="770" t="s">
        <v>537</v>
      </c>
      <c r="C293" s="770"/>
      <c r="D293" s="770"/>
      <c r="E293" s="770"/>
      <c r="F293" s="784">
        <v>470</v>
      </c>
    </row>
    <row r="294" spans="1:6" s="764" customFormat="1" ht="14.25" customHeight="1" thickBot="1">
      <c r="A294" s="776" t="s">
        <v>534</v>
      </c>
      <c r="B294" s="770" t="s">
        <v>538</v>
      </c>
      <c r="C294" s="770">
        <v>2730</v>
      </c>
      <c r="D294" s="770">
        <v>2700</v>
      </c>
      <c r="E294" s="770">
        <v>2680</v>
      </c>
      <c r="F294" s="784">
        <v>490</v>
      </c>
    </row>
    <row r="295" spans="1:6" s="764" customFormat="1" ht="14.25" customHeight="1" thickBot="1">
      <c r="A295" s="776" t="s">
        <v>534</v>
      </c>
      <c r="B295" s="770" t="s">
        <v>234</v>
      </c>
      <c r="C295" s="770">
        <v>2380</v>
      </c>
      <c r="D295" s="770">
        <v>2350</v>
      </c>
      <c r="E295" s="770">
        <v>2330</v>
      </c>
      <c r="F295" s="784">
        <v>530</v>
      </c>
    </row>
    <row r="296" spans="1:6" s="764" customFormat="1" ht="14.25" customHeight="1" thickBot="1">
      <c r="A296" s="776" t="s">
        <v>534</v>
      </c>
      <c r="B296" s="770" t="s">
        <v>245</v>
      </c>
      <c r="C296" s="770">
        <v>2650</v>
      </c>
      <c r="D296" s="770">
        <v>2620</v>
      </c>
      <c r="E296" s="770">
        <v>2590</v>
      </c>
      <c r="F296" s="784">
        <v>590</v>
      </c>
    </row>
    <row r="297" spans="1:6" s="764" customFormat="1" ht="14.25" customHeight="1" thickBot="1">
      <c r="A297" s="776" t="s">
        <v>534</v>
      </c>
      <c r="B297" s="770" t="s">
        <v>256</v>
      </c>
      <c r="C297" s="770">
        <v>2700</v>
      </c>
      <c r="D297" s="770">
        <v>2670</v>
      </c>
      <c r="E297" s="770">
        <v>2650</v>
      </c>
      <c r="F297" s="784">
        <v>630</v>
      </c>
    </row>
    <row r="298" spans="1:6" s="764" customFormat="1" ht="14.25" customHeight="1" thickBot="1">
      <c r="A298" s="776" t="s">
        <v>534</v>
      </c>
      <c r="B298" s="770" t="s">
        <v>267</v>
      </c>
      <c r="C298" s="770">
        <v>2650</v>
      </c>
      <c r="D298" s="770">
        <v>2620</v>
      </c>
      <c r="E298" s="770">
        <v>2590</v>
      </c>
      <c r="F298" s="784">
        <v>640</v>
      </c>
    </row>
    <row r="299" spans="1:6" s="764" customFormat="1" ht="14.25" customHeight="1" thickBot="1">
      <c r="A299" s="776" t="s">
        <v>534</v>
      </c>
      <c r="B299" s="770" t="s">
        <v>279</v>
      </c>
      <c r="C299" s="770">
        <v>2500</v>
      </c>
      <c r="D299" s="770">
        <v>2480</v>
      </c>
      <c r="E299" s="770">
        <v>2460</v>
      </c>
      <c r="F299" s="788"/>
    </row>
    <row r="300" spans="1:6" s="764" customFormat="1" ht="14.25" customHeight="1" thickBot="1">
      <c r="A300" s="776" t="s">
        <v>534</v>
      </c>
      <c r="B300" s="770" t="s">
        <v>289</v>
      </c>
      <c r="C300" s="770">
        <v>2760</v>
      </c>
      <c r="D300" s="770">
        <v>2730</v>
      </c>
      <c r="E300" s="770">
        <v>2700</v>
      </c>
      <c r="F300" s="784">
        <v>630</v>
      </c>
    </row>
    <row r="301" spans="1:6" s="764" customFormat="1" ht="14.25" customHeight="1" thickBot="1">
      <c r="A301" s="776" t="s">
        <v>534</v>
      </c>
      <c r="B301" s="770" t="s">
        <v>299</v>
      </c>
      <c r="C301" s="770">
        <v>2510</v>
      </c>
      <c r="D301" s="770">
        <v>2480</v>
      </c>
      <c r="E301" s="770">
        <v>2460</v>
      </c>
      <c r="F301" s="788"/>
    </row>
    <row r="302" spans="1:6" s="764" customFormat="1" ht="14.25" customHeight="1" thickBot="1">
      <c r="A302" s="776" t="s">
        <v>534</v>
      </c>
      <c r="B302" s="770" t="s">
        <v>309</v>
      </c>
      <c r="C302" s="770">
        <v>2480</v>
      </c>
      <c r="D302" s="770">
        <v>2450</v>
      </c>
      <c r="E302" s="770">
        <v>2420</v>
      </c>
      <c r="F302" s="784">
        <v>600</v>
      </c>
    </row>
    <row r="303" spans="1:6" s="764" customFormat="1" ht="14.25" customHeight="1" thickBot="1">
      <c r="A303" s="776" t="s">
        <v>534</v>
      </c>
      <c r="B303" s="770" t="s">
        <v>319</v>
      </c>
      <c r="C303" s="770">
        <v>2270</v>
      </c>
      <c r="D303" s="770">
        <v>2240</v>
      </c>
      <c r="E303" s="770">
        <v>2210</v>
      </c>
      <c r="F303" s="784">
        <v>540</v>
      </c>
    </row>
    <row r="304" spans="1:6" s="764" customFormat="1" ht="14.25" customHeight="1" thickBot="1">
      <c r="A304" s="776" t="s">
        <v>534</v>
      </c>
      <c r="B304" s="770" t="s">
        <v>330</v>
      </c>
      <c r="C304" s="770">
        <v>2310</v>
      </c>
      <c r="D304" s="770">
        <v>2290</v>
      </c>
      <c r="E304" s="770">
        <v>2270</v>
      </c>
      <c r="F304" s="788"/>
    </row>
    <row r="305" spans="1:6" s="764" customFormat="1" ht="14.25" customHeight="1" thickBot="1">
      <c r="A305" s="776" t="s">
        <v>534</v>
      </c>
      <c r="B305" s="770" t="s">
        <v>341</v>
      </c>
      <c r="C305" s="770">
        <v>2490</v>
      </c>
      <c r="D305" s="770">
        <v>2470</v>
      </c>
      <c r="E305" s="770">
        <v>2440</v>
      </c>
      <c r="F305" s="784">
        <v>560</v>
      </c>
    </row>
    <row r="306" spans="1:6" s="764" customFormat="1" ht="14.25" customHeight="1" thickBot="1">
      <c r="A306" s="776" t="s">
        <v>534</v>
      </c>
      <c r="B306" s="770" t="s">
        <v>351</v>
      </c>
      <c r="C306" s="770">
        <v>2420</v>
      </c>
      <c r="D306" s="770">
        <v>2400</v>
      </c>
      <c r="E306" s="770">
        <v>2380</v>
      </c>
      <c r="F306" s="788"/>
    </row>
    <row r="307" spans="1:6" s="764" customFormat="1" ht="14.25" customHeight="1" thickBot="1">
      <c r="A307" s="776" t="s">
        <v>534</v>
      </c>
      <c r="B307" s="770" t="s">
        <v>361</v>
      </c>
      <c r="C307" s="770">
        <v>2770</v>
      </c>
      <c r="D307" s="770">
        <v>2740</v>
      </c>
      <c r="E307" s="770">
        <v>2710</v>
      </c>
      <c r="F307" s="784">
        <v>650</v>
      </c>
    </row>
    <row r="308" spans="1:6" s="764" customFormat="1" ht="14.25" customHeight="1" thickBot="1">
      <c r="A308" s="776" t="s">
        <v>534</v>
      </c>
      <c r="B308" s="770" t="s">
        <v>371</v>
      </c>
      <c r="C308" s="770">
        <v>2610</v>
      </c>
      <c r="D308" s="770">
        <v>2580</v>
      </c>
      <c r="E308" s="770">
        <v>2550</v>
      </c>
      <c r="F308" s="784">
        <v>580</v>
      </c>
    </row>
    <row r="309" spans="1:6" s="764" customFormat="1" ht="14.25" customHeight="1" thickBot="1">
      <c r="A309" s="776" t="s">
        <v>534</v>
      </c>
      <c r="B309" s="770" t="s">
        <v>381</v>
      </c>
      <c r="C309" s="770">
        <v>2690</v>
      </c>
      <c r="D309" s="770">
        <v>2670</v>
      </c>
      <c r="E309" s="770">
        <v>2650</v>
      </c>
      <c r="F309" s="788"/>
    </row>
    <row r="310" spans="1:6" s="764" customFormat="1" ht="14.25" customHeight="1" thickBot="1">
      <c r="A310" s="776" t="s">
        <v>534</v>
      </c>
      <c r="B310" s="770" t="s">
        <v>390</v>
      </c>
      <c r="C310" s="770">
        <v>2360</v>
      </c>
      <c r="D310" s="770">
        <v>2330</v>
      </c>
      <c r="E310" s="770">
        <v>2310</v>
      </c>
      <c r="F310" s="784">
        <v>560</v>
      </c>
    </row>
    <row r="311" spans="1:6" s="764" customFormat="1" ht="14.25" customHeight="1" thickBot="1">
      <c r="A311" s="776" t="s">
        <v>534</v>
      </c>
      <c r="B311" s="770" t="s">
        <v>399</v>
      </c>
      <c r="C311" s="770">
        <v>1970</v>
      </c>
      <c r="D311" s="770">
        <v>1950</v>
      </c>
      <c r="E311" s="770">
        <v>1920</v>
      </c>
      <c r="F311" s="784">
        <v>470</v>
      </c>
    </row>
    <row r="312" spans="1:6" s="764" customFormat="1" ht="14.25" customHeight="1" thickBot="1">
      <c r="A312" s="776" t="s">
        <v>534</v>
      </c>
      <c r="B312" s="770" t="s">
        <v>407</v>
      </c>
      <c r="C312" s="770">
        <v>2230</v>
      </c>
      <c r="D312" s="770">
        <v>2200</v>
      </c>
      <c r="E312" s="770">
        <v>2170</v>
      </c>
      <c r="F312" s="784">
        <v>460</v>
      </c>
    </row>
    <row r="313" spans="1:6" s="764" customFormat="1" ht="14.25" customHeight="1" thickBot="1">
      <c r="A313" s="776" t="s">
        <v>534</v>
      </c>
      <c r="B313" s="770" t="s">
        <v>414</v>
      </c>
      <c r="C313" s="770">
        <v>2770</v>
      </c>
      <c r="D313" s="770">
        <v>2740</v>
      </c>
      <c r="E313" s="770">
        <v>2710</v>
      </c>
      <c r="F313" s="784">
        <v>610</v>
      </c>
    </row>
    <row r="314" spans="1:6" s="764" customFormat="1" ht="14.25" customHeight="1" thickBot="1">
      <c r="A314" s="776" t="s">
        <v>534</v>
      </c>
      <c r="B314" s="770" t="s">
        <v>421</v>
      </c>
      <c r="C314" s="770"/>
      <c r="D314" s="770"/>
      <c r="E314" s="770"/>
      <c r="F314" s="784">
        <v>490</v>
      </c>
    </row>
    <row r="315" spans="1:6" s="764" customFormat="1" ht="14.25" customHeight="1" thickBot="1">
      <c r="A315" s="776" t="s">
        <v>534</v>
      </c>
      <c r="B315" s="770" t="s">
        <v>428</v>
      </c>
      <c r="C315" s="770"/>
      <c r="D315" s="770"/>
      <c r="E315" s="770"/>
      <c r="F315" s="784">
        <v>520</v>
      </c>
    </row>
    <row r="316" spans="1:6" s="764" customFormat="1" ht="14.25" customHeight="1" thickBot="1">
      <c r="A316" s="776" t="s">
        <v>534</v>
      </c>
      <c r="B316" s="782" t="s">
        <v>435</v>
      </c>
      <c r="C316" s="782"/>
      <c r="D316" s="782"/>
      <c r="E316" s="782"/>
      <c r="F316" s="787">
        <v>460</v>
      </c>
    </row>
    <row r="317" spans="1:6" s="764" customFormat="1" ht="14.25" customHeight="1" thickBot="1">
      <c r="A317" s="776" t="s">
        <v>321</v>
      </c>
      <c r="B317" s="777" t="s">
        <v>539</v>
      </c>
      <c r="C317" s="777">
        <v>1200</v>
      </c>
      <c r="D317" s="777">
        <v>1180</v>
      </c>
      <c r="E317" s="777">
        <v>1160</v>
      </c>
      <c r="F317" s="778">
        <v>370</v>
      </c>
    </row>
    <row r="318" spans="1:6" s="764" customFormat="1" ht="14.25" customHeight="1" thickBot="1">
      <c r="A318" s="776" t="s">
        <v>321</v>
      </c>
      <c r="B318" s="770" t="s">
        <v>540</v>
      </c>
      <c r="C318" s="770">
        <v>1090</v>
      </c>
      <c r="D318" s="770">
        <v>1060</v>
      </c>
      <c r="E318" s="770">
        <v>1040</v>
      </c>
      <c r="F318" s="788"/>
    </row>
    <row r="319" spans="1:6" s="764" customFormat="1" ht="14.25" customHeight="1" thickBot="1">
      <c r="A319" s="776" t="s">
        <v>321</v>
      </c>
      <c r="B319" s="770" t="s">
        <v>541</v>
      </c>
      <c r="C319" s="770">
        <v>1520</v>
      </c>
      <c r="D319" s="770">
        <v>1470</v>
      </c>
      <c r="E319" s="770">
        <v>1440</v>
      </c>
      <c r="F319" s="784">
        <v>370</v>
      </c>
    </row>
    <row r="320" spans="1:6" s="764" customFormat="1" ht="14.25" customHeight="1" thickBot="1">
      <c r="A320" s="776" t="s">
        <v>321</v>
      </c>
      <c r="B320" s="770" t="s">
        <v>223</v>
      </c>
      <c r="C320" s="770">
        <v>1360</v>
      </c>
      <c r="D320" s="770">
        <v>1300</v>
      </c>
      <c r="E320" s="770">
        <v>1270</v>
      </c>
      <c r="F320" s="788"/>
    </row>
    <row r="321" spans="1:6" s="764" customFormat="1" ht="14.25" customHeight="1" thickBot="1">
      <c r="A321" s="776" t="s">
        <v>321</v>
      </c>
      <c r="B321" s="770" t="s">
        <v>235</v>
      </c>
      <c r="C321" s="770">
        <v>1750</v>
      </c>
      <c r="D321" s="770">
        <v>1690</v>
      </c>
      <c r="E321" s="770">
        <v>1660</v>
      </c>
      <c r="F321" s="788"/>
    </row>
    <row r="322" spans="1:6" s="764" customFormat="1" ht="14.25" customHeight="1" thickBot="1">
      <c r="A322" s="776" t="s">
        <v>321</v>
      </c>
      <c r="B322" s="770" t="s">
        <v>246</v>
      </c>
      <c r="C322" s="770">
        <v>1650</v>
      </c>
      <c r="D322" s="770">
        <v>1610</v>
      </c>
      <c r="E322" s="770">
        <v>1580</v>
      </c>
      <c r="F322" s="784">
        <v>500</v>
      </c>
    </row>
    <row r="323" spans="1:6" s="764" customFormat="1" ht="14.25" customHeight="1" thickBot="1">
      <c r="A323" s="776" t="s">
        <v>321</v>
      </c>
      <c r="B323" s="770" t="s">
        <v>257</v>
      </c>
      <c r="C323" s="770">
        <v>1780</v>
      </c>
      <c r="D323" s="770">
        <v>1740</v>
      </c>
      <c r="E323" s="770">
        <v>1720</v>
      </c>
      <c r="F323" s="788"/>
    </row>
    <row r="324" spans="1:6" s="764" customFormat="1" ht="14.25" customHeight="1" thickBot="1">
      <c r="A324" s="776" t="s">
        <v>321</v>
      </c>
      <c r="B324" s="770" t="s">
        <v>268</v>
      </c>
      <c r="C324" s="770">
        <v>1650</v>
      </c>
      <c r="D324" s="770">
        <v>1610</v>
      </c>
      <c r="E324" s="770">
        <v>1580</v>
      </c>
      <c r="F324" s="788"/>
    </row>
    <row r="325" spans="1:6" s="764" customFormat="1" ht="14.25" customHeight="1" thickBot="1">
      <c r="A325" s="776" t="s">
        <v>321</v>
      </c>
      <c r="B325" s="770" t="s">
        <v>280</v>
      </c>
      <c r="C325" s="770">
        <v>1330</v>
      </c>
      <c r="D325" s="770">
        <v>1270</v>
      </c>
      <c r="E325" s="770">
        <v>1240</v>
      </c>
      <c r="F325" s="784">
        <v>430</v>
      </c>
    </row>
    <row r="326" spans="1:6" s="764" customFormat="1" ht="14.25" customHeight="1" thickBot="1">
      <c r="A326" s="776" t="s">
        <v>321</v>
      </c>
      <c r="B326" s="770" t="s">
        <v>290</v>
      </c>
      <c r="C326" s="770">
        <v>1470</v>
      </c>
      <c r="D326" s="770">
        <v>1430</v>
      </c>
      <c r="E326" s="770">
        <v>1400</v>
      </c>
      <c r="F326" s="788"/>
    </row>
    <row r="327" spans="1:6" s="764" customFormat="1" ht="14.25" customHeight="1" thickBot="1">
      <c r="A327" s="776" t="s">
        <v>321</v>
      </c>
      <c r="B327" s="770" t="s">
        <v>300</v>
      </c>
      <c r="C327" s="770">
        <v>1420</v>
      </c>
      <c r="D327" s="770">
        <v>1380</v>
      </c>
      <c r="E327" s="770">
        <v>1360</v>
      </c>
      <c r="F327" s="784">
        <v>420</v>
      </c>
    </row>
    <row r="328" spans="1:6" s="764" customFormat="1" ht="14.25" customHeight="1" thickBot="1">
      <c r="A328" s="776" t="s">
        <v>321</v>
      </c>
      <c r="B328" s="770" t="s">
        <v>310</v>
      </c>
      <c r="C328" s="770">
        <v>1400</v>
      </c>
      <c r="D328" s="770">
        <v>1360</v>
      </c>
      <c r="E328" s="770">
        <v>1330</v>
      </c>
      <c r="F328" s="784">
        <v>460</v>
      </c>
    </row>
    <row r="329" spans="1:6" s="764" customFormat="1" ht="14.25" customHeight="1" thickBot="1">
      <c r="A329" s="776" t="s">
        <v>321</v>
      </c>
      <c r="B329" s="770" t="s">
        <v>320</v>
      </c>
      <c r="C329" s="770">
        <v>1640</v>
      </c>
      <c r="D329" s="770">
        <v>1610</v>
      </c>
      <c r="E329" s="770">
        <v>1580</v>
      </c>
      <c r="F329" s="784">
        <v>410</v>
      </c>
    </row>
    <row r="330" spans="1:6" s="764" customFormat="1" ht="14.25" customHeight="1" thickBot="1">
      <c r="A330" s="776" t="s">
        <v>321</v>
      </c>
      <c r="B330" s="770" t="s">
        <v>331</v>
      </c>
      <c r="C330" s="770">
        <v>1260</v>
      </c>
      <c r="D330" s="770">
        <v>1220</v>
      </c>
      <c r="E330" s="770">
        <v>1200</v>
      </c>
      <c r="F330" s="788"/>
    </row>
    <row r="331" spans="1:6" s="764" customFormat="1" ht="14.25" customHeight="1" thickBot="1">
      <c r="A331" s="776" t="s">
        <v>321</v>
      </c>
      <c r="B331" s="770" t="s">
        <v>342</v>
      </c>
      <c r="C331" s="770">
        <v>1620</v>
      </c>
      <c r="D331" s="770">
        <v>1560</v>
      </c>
      <c r="E331" s="770">
        <v>1530</v>
      </c>
      <c r="F331" s="784">
        <v>490</v>
      </c>
    </row>
    <row r="332" spans="1:6" s="764" customFormat="1" ht="14.25" customHeight="1" thickBot="1">
      <c r="A332" s="776" t="s">
        <v>321</v>
      </c>
      <c r="B332" s="770" t="s">
        <v>352</v>
      </c>
      <c r="C332" s="770">
        <v>1520</v>
      </c>
      <c r="D332" s="770">
        <v>1470</v>
      </c>
      <c r="E332" s="770">
        <v>1440</v>
      </c>
      <c r="F332" s="784">
        <v>440</v>
      </c>
    </row>
    <row r="333" spans="1:6" s="764" customFormat="1" ht="14.25" customHeight="1" thickBot="1">
      <c r="A333" s="776" t="s">
        <v>321</v>
      </c>
      <c r="B333" s="770" t="s">
        <v>362</v>
      </c>
      <c r="C333" s="770">
        <v>1370</v>
      </c>
      <c r="D333" s="770">
        <v>1320</v>
      </c>
      <c r="E333" s="770">
        <v>1300</v>
      </c>
      <c r="F333" s="784">
        <v>460</v>
      </c>
    </row>
    <row r="334" spans="1:6" s="764" customFormat="1" ht="14.25" customHeight="1" thickBot="1">
      <c r="A334" s="776" t="s">
        <v>321</v>
      </c>
      <c r="B334" s="770" t="s">
        <v>372</v>
      </c>
      <c r="C334" s="770">
        <v>1410</v>
      </c>
      <c r="D334" s="770">
        <v>1340</v>
      </c>
      <c r="E334" s="770">
        <v>1310</v>
      </c>
      <c r="F334" s="784">
        <v>410</v>
      </c>
    </row>
    <row r="335" spans="1:6" s="764" customFormat="1" ht="14.25" customHeight="1" thickBot="1">
      <c r="A335" s="776" t="s">
        <v>321</v>
      </c>
      <c r="B335" s="770" t="s">
        <v>382</v>
      </c>
      <c r="C335" s="770">
        <v>1260</v>
      </c>
      <c r="D335" s="770">
        <v>1220</v>
      </c>
      <c r="E335" s="770">
        <v>1200</v>
      </c>
      <c r="F335" s="788"/>
    </row>
    <row r="336" spans="1:6" s="764" customFormat="1" ht="14.25" customHeight="1" thickBot="1">
      <c r="A336" s="776" t="s">
        <v>321</v>
      </c>
      <c r="B336" s="770" t="s">
        <v>391</v>
      </c>
      <c r="C336" s="770">
        <v>1160</v>
      </c>
      <c r="D336" s="770">
        <v>1140</v>
      </c>
      <c r="E336" s="770">
        <v>1120</v>
      </c>
      <c r="F336" s="784">
        <v>430</v>
      </c>
    </row>
    <row r="337" spans="1:6" s="764" customFormat="1" ht="14.25" customHeight="1" thickBot="1">
      <c r="A337" s="776" t="s">
        <v>321</v>
      </c>
      <c r="B337" s="782" t="s">
        <v>400</v>
      </c>
      <c r="C337" s="782"/>
      <c r="D337" s="782"/>
      <c r="E337" s="782"/>
      <c r="F337" s="787">
        <v>380</v>
      </c>
    </row>
    <row r="338" spans="1:6" s="764" customFormat="1" ht="14.25" customHeight="1" thickBot="1">
      <c r="A338" s="776" t="s">
        <v>332</v>
      </c>
      <c r="B338" s="777" t="s">
        <v>542</v>
      </c>
      <c r="C338" s="777">
        <v>880</v>
      </c>
      <c r="D338" s="777">
        <v>850</v>
      </c>
      <c r="E338" s="777">
        <v>830</v>
      </c>
      <c r="F338" s="790"/>
    </row>
    <row r="339" spans="1:6" s="764" customFormat="1" ht="14.25" customHeight="1" thickBot="1">
      <c r="A339" s="776" t="s">
        <v>332</v>
      </c>
      <c r="B339" s="770" t="s">
        <v>543</v>
      </c>
      <c r="C339" s="770">
        <v>830</v>
      </c>
      <c r="D339" s="770">
        <v>800</v>
      </c>
      <c r="E339" s="770">
        <v>780</v>
      </c>
      <c r="F339" s="788"/>
    </row>
    <row r="340" spans="1:6" s="764" customFormat="1" ht="14.25" customHeight="1" thickBot="1">
      <c r="A340" s="776" t="s">
        <v>332</v>
      </c>
      <c r="B340" s="770" t="s">
        <v>544</v>
      </c>
      <c r="C340" s="770">
        <v>980</v>
      </c>
      <c r="D340" s="770">
        <v>950</v>
      </c>
      <c r="E340" s="770">
        <v>920</v>
      </c>
      <c r="F340" s="788"/>
    </row>
    <row r="341" spans="1:6" s="764" customFormat="1" ht="14.25" customHeight="1" thickBot="1">
      <c r="A341" s="776" t="s">
        <v>332</v>
      </c>
      <c r="B341" s="770" t="s">
        <v>545</v>
      </c>
      <c r="C341" s="770">
        <v>760</v>
      </c>
      <c r="D341" s="770">
        <v>720</v>
      </c>
      <c r="E341" s="770">
        <v>690</v>
      </c>
      <c r="F341" s="784">
        <v>350</v>
      </c>
    </row>
    <row r="342" spans="1:6" s="764" customFormat="1" ht="14.25" customHeight="1" thickBot="1">
      <c r="A342" s="776" t="s">
        <v>332</v>
      </c>
      <c r="B342" s="770" t="s">
        <v>236</v>
      </c>
      <c r="C342" s="770">
        <v>910</v>
      </c>
      <c r="D342" s="770">
        <v>870</v>
      </c>
      <c r="E342" s="770">
        <v>850</v>
      </c>
      <c r="F342" s="784">
        <v>370</v>
      </c>
    </row>
    <row r="343" spans="1:6" s="764" customFormat="1" ht="14.25" customHeight="1" thickBot="1">
      <c r="A343" s="776" t="s">
        <v>332</v>
      </c>
      <c r="B343" s="770" t="s">
        <v>247</v>
      </c>
      <c r="C343" s="770">
        <v>800</v>
      </c>
      <c r="D343" s="770">
        <v>760</v>
      </c>
      <c r="E343" s="770">
        <v>730</v>
      </c>
      <c r="F343" s="784">
        <v>340</v>
      </c>
    </row>
    <row r="344" spans="1:6" s="764" customFormat="1" ht="14.25" customHeight="1" thickBot="1">
      <c r="A344" s="776" t="s">
        <v>332</v>
      </c>
      <c r="B344" s="782" t="s">
        <v>258</v>
      </c>
      <c r="C344" s="782">
        <v>720</v>
      </c>
      <c r="D344" s="782">
        <v>690</v>
      </c>
      <c r="E344" s="782">
        <v>660</v>
      </c>
      <c r="F344" s="787">
        <v>300</v>
      </c>
    </row>
  </sheetData>
  <sheetProtection password="C66D" sheet="1" objects="1" scenarios="1" formatCells="0" formatColumns="0" formatRows="0"/>
  <mergeCells count="3">
    <mergeCell ref="A1:F1"/>
    <mergeCell ref="A2:F2"/>
    <mergeCell ref="A3:A4"/>
  </mergeCells>
  <phoneticPr fontId="78" type="noConversion"/>
  <pageMargins left="0.7" right="0.7" top="0.75" bottom="0.75" header="0.3" footer="0.3"/>
  <pageSetup paperSize="9"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activeCell="F6" sqref="F6"/>
    </sheetView>
  </sheetViews>
  <sheetFormatPr defaultRowHeight="13.5"/>
  <cols>
    <col min="1" max="1" width="12.625" style="791" customWidth="1"/>
    <col min="2" max="2" width="10.25" style="749" customWidth="1"/>
  </cols>
  <sheetData>
    <row r="1" spans="1:6">
      <c r="A1" s="3502" t="s">
        <v>839</v>
      </c>
      <c r="B1" s="3502"/>
    </row>
    <row r="2" spans="1:6" ht="14.25" thickBot="1">
      <c r="A2" s="969"/>
      <c r="B2" s="969"/>
    </row>
    <row r="3" spans="1:6" ht="14.25" thickBot="1">
      <c r="A3" s="969"/>
      <c r="B3" s="969"/>
      <c r="C3" s="972" t="s">
        <v>842</v>
      </c>
      <c r="D3" s="972" t="s">
        <v>843</v>
      </c>
      <c r="E3" s="972" t="s">
        <v>844</v>
      </c>
      <c r="F3" s="972" t="s">
        <v>845</v>
      </c>
    </row>
    <row r="4" spans="1:6" ht="14.25" thickBot="1">
      <c r="A4" s="970" t="s">
        <v>840</v>
      </c>
      <c r="B4" s="971" t="s">
        <v>841</v>
      </c>
      <c r="C4" s="972"/>
      <c r="D4" s="972"/>
      <c r="E4" s="972"/>
      <c r="F4" s="972"/>
    </row>
    <row r="5" spans="1:6" ht="14.25" thickBot="1">
      <c r="A5" s="776" t="s">
        <v>846</v>
      </c>
      <c r="B5" s="777" t="s">
        <v>847</v>
      </c>
      <c r="C5" s="973">
        <v>8.8999999999999996E-2</v>
      </c>
      <c r="D5" s="973">
        <v>7.3999999999999996E-2</v>
      </c>
      <c r="E5" s="973">
        <v>7.4999999999999997E-2</v>
      </c>
      <c r="F5" s="974">
        <v>0.1</v>
      </c>
    </row>
    <row r="6" spans="1:6" ht="14.25" thickBot="1">
      <c r="A6" s="776" t="s">
        <v>212</v>
      </c>
      <c r="B6" s="770" t="s">
        <v>848</v>
      </c>
      <c r="C6" s="975">
        <v>0.1</v>
      </c>
      <c r="D6" s="975">
        <v>9.0999999999999998E-2</v>
      </c>
      <c r="E6" s="975">
        <v>9.0999999999999998E-2</v>
      </c>
      <c r="F6" s="976">
        <v>0.1</v>
      </c>
    </row>
    <row r="7" spans="1:6" ht="14.25" thickBot="1">
      <c r="A7" s="776" t="s">
        <v>212</v>
      </c>
      <c r="B7" s="780" t="s">
        <v>201</v>
      </c>
      <c r="C7" s="975">
        <v>8.5999999999999993E-2</v>
      </c>
      <c r="D7" s="975">
        <v>9.6000000000000002E-2</v>
      </c>
      <c r="E7" s="975">
        <v>7.5999999999999998E-2</v>
      </c>
      <c r="F7" s="976">
        <v>0.1</v>
      </c>
    </row>
    <row r="8" spans="1:6" ht="14.25" thickBot="1">
      <c r="A8" s="776" t="s">
        <v>212</v>
      </c>
      <c r="B8" s="770" t="s">
        <v>213</v>
      </c>
      <c r="C8" s="975">
        <v>9.9000000000000005E-2</v>
      </c>
      <c r="D8" s="975">
        <v>9.8000000000000004E-2</v>
      </c>
      <c r="E8" s="975">
        <v>9.8000000000000004E-2</v>
      </c>
      <c r="F8" s="976">
        <v>0.1</v>
      </c>
    </row>
    <row r="9" spans="1:6" ht="14.25" thickBot="1">
      <c r="A9" s="786" t="s">
        <v>212</v>
      </c>
      <c r="B9" s="781" t="s">
        <v>225</v>
      </c>
      <c r="C9" s="977">
        <v>0.05</v>
      </c>
      <c r="D9" s="985"/>
      <c r="E9" s="985"/>
      <c r="F9" s="986"/>
    </row>
    <row r="10" spans="1:6" ht="14.25" thickBot="1">
      <c r="A10" s="776" t="s">
        <v>269</v>
      </c>
      <c r="B10" s="777" t="s">
        <v>849</v>
      </c>
      <c r="C10" s="973">
        <v>8.8999999999999996E-2</v>
      </c>
      <c r="D10" s="973">
        <v>7.2999999999999995E-2</v>
      </c>
      <c r="E10" s="973">
        <v>8.2000000000000003E-2</v>
      </c>
      <c r="F10" s="974">
        <v>0.1</v>
      </c>
    </row>
    <row r="11" spans="1:6" ht="14.25" thickBot="1">
      <c r="A11" s="776" t="s">
        <v>269</v>
      </c>
      <c r="B11" s="780" t="s">
        <v>188</v>
      </c>
      <c r="C11" s="975">
        <v>8.8999999999999996E-2</v>
      </c>
      <c r="D11" s="975">
        <v>7.2999999999999995E-2</v>
      </c>
      <c r="E11" s="975">
        <v>8.2000000000000003E-2</v>
      </c>
      <c r="F11" s="976">
        <v>0.1</v>
      </c>
    </row>
    <row r="12" spans="1:6" ht="14.25" thickBot="1">
      <c r="A12" s="776" t="s">
        <v>269</v>
      </c>
      <c r="B12" s="780" t="s">
        <v>138</v>
      </c>
      <c r="C12" s="975">
        <v>6.0999999999999999E-2</v>
      </c>
      <c r="D12" s="975">
        <v>7.0999999999999994E-2</v>
      </c>
      <c r="E12" s="975">
        <v>9.6000000000000002E-2</v>
      </c>
      <c r="F12" s="976">
        <v>0.1</v>
      </c>
    </row>
    <row r="13" spans="1:6" ht="14.25" thickBot="1">
      <c r="A13" s="776" t="s">
        <v>269</v>
      </c>
      <c r="B13" s="780" t="s">
        <v>214</v>
      </c>
      <c r="C13" s="975">
        <v>6.9000000000000006E-2</v>
      </c>
      <c r="D13" s="975">
        <v>6.5000000000000002E-2</v>
      </c>
      <c r="E13" s="975">
        <v>6.6000000000000003E-2</v>
      </c>
      <c r="F13" s="976">
        <v>0.1</v>
      </c>
    </row>
    <row r="14" spans="1:6" ht="14.25" thickBot="1">
      <c r="A14" s="776" t="s">
        <v>269</v>
      </c>
      <c r="B14" s="780" t="s">
        <v>226</v>
      </c>
      <c r="C14" s="975">
        <v>0.1</v>
      </c>
      <c r="D14" s="975">
        <v>6.5000000000000002E-2</v>
      </c>
      <c r="E14" s="975">
        <v>7.0000000000000007E-2</v>
      </c>
      <c r="F14" s="976">
        <v>0.1</v>
      </c>
    </row>
    <row r="15" spans="1:6" ht="14.25" thickBot="1">
      <c r="A15" s="776" t="s">
        <v>269</v>
      </c>
      <c r="B15" s="780" t="s">
        <v>237</v>
      </c>
      <c r="C15" s="975">
        <v>9.8000000000000004E-2</v>
      </c>
      <c r="D15" s="975">
        <v>8.8999999999999996E-2</v>
      </c>
      <c r="E15" s="975">
        <v>8.8999999999999996E-2</v>
      </c>
      <c r="F15" s="976">
        <v>0.1</v>
      </c>
    </row>
    <row r="16" spans="1:6" ht="14.25" thickBot="1">
      <c r="A16" s="776" t="s">
        <v>269</v>
      </c>
      <c r="B16" s="780" t="s">
        <v>248</v>
      </c>
      <c r="C16" s="975">
        <v>7.0000000000000007E-2</v>
      </c>
      <c r="D16" s="975">
        <v>9.2999999999999999E-2</v>
      </c>
      <c r="E16" s="975">
        <v>9.6000000000000002E-2</v>
      </c>
      <c r="F16" s="976">
        <v>0.1</v>
      </c>
    </row>
    <row r="17" spans="1:6" ht="14.25" thickBot="1">
      <c r="A17" s="776" t="s">
        <v>269</v>
      </c>
      <c r="B17" s="780" t="s">
        <v>259</v>
      </c>
      <c r="C17" s="975">
        <v>9.5000000000000001E-2</v>
      </c>
      <c r="D17" s="975">
        <v>0.1</v>
      </c>
      <c r="E17" s="975">
        <v>0.1</v>
      </c>
      <c r="F17" s="987"/>
    </row>
    <row r="18" spans="1:6" ht="14.25" thickBot="1">
      <c r="A18" s="776" t="s">
        <v>269</v>
      </c>
      <c r="B18" s="780" t="s">
        <v>271</v>
      </c>
      <c r="C18" s="975">
        <v>7.3999999999999996E-2</v>
      </c>
      <c r="D18" s="975">
        <v>9.9000000000000005E-2</v>
      </c>
      <c r="E18" s="975">
        <v>0.1</v>
      </c>
      <c r="F18" s="987"/>
    </row>
    <row r="19" spans="1:6" ht="14.25" thickBot="1">
      <c r="A19" s="776" t="s">
        <v>269</v>
      </c>
      <c r="B19" s="780" t="s">
        <v>281</v>
      </c>
      <c r="C19" s="975">
        <v>9.9000000000000005E-2</v>
      </c>
      <c r="D19" s="975">
        <v>7.5999999999999998E-2</v>
      </c>
      <c r="E19" s="975">
        <v>8.6999999999999994E-2</v>
      </c>
      <c r="F19" s="987"/>
    </row>
    <row r="20" spans="1:6" ht="14.25" thickBot="1">
      <c r="A20" s="776" t="s">
        <v>269</v>
      </c>
      <c r="B20" s="780" t="s">
        <v>291</v>
      </c>
      <c r="C20" s="975">
        <v>9.8000000000000004E-2</v>
      </c>
      <c r="D20" s="975">
        <v>8.5000000000000006E-2</v>
      </c>
      <c r="E20" s="975">
        <v>8.2000000000000003E-2</v>
      </c>
      <c r="F20" s="987"/>
    </row>
    <row r="21" spans="1:6" ht="14.25" thickBot="1">
      <c r="A21" s="776" t="s">
        <v>269</v>
      </c>
      <c r="B21" s="780" t="s">
        <v>301</v>
      </c>
      <c r="C21" s="975">
        <v>6.6000000000000003E-2</v>
      </c>
      <c r="D21" s="975">
        <v>6.4000000000000001E-2</v>
      </c>
      <c r="E21" s="975">
        <v>6.5000000000000002E-2</v>
      </c>
      <c r="F21" s="987"/>
    </row>
    <row r="22" spans="1:6" ht="14.25" thickBot="1">
      <c r="A22" s="776" t="s">
        <v>269</v>
      </c>
      <c r="B22" s="780" t="s">
        <v>850</v>
      </c>
      <c r="C22" s="975">
        <v>0.08</v>
      </c>
      <c r="D22" s="975">
        <v>9.8000000000000004E-2</v>
      </c>
      <c r="E22" s="975">
        <v>9.8000000000000004E-2</v>
      </c>
      <c r="F22" s="987"/>
    </row>
    <row r="23" spans="1:6" ht="14.25" thickBot="1">
      <c r="A23" s="776" t="s">
        <v>269</v>
      </c>
      <c r="B23" s="780" t="s">
        <v>322</v>
      </c>
      <c r="C23" s="975">
        <v>9.9000000000000005E-2</v>
      </c>
      <c r="D23" s="975">
        <v>9.8000000000000004E-2</v>
      </c>
      <c r="E23" s="975">
        <v>9.0999999999999998E-2</v>
      </c>
      <c r="F23" s="987"/>
    </row>
    <row r="24" spans="1:6" ht="14.25" thickBot="1">
      <c r="A24" s="776" t="s">
        <v>269</v>
      </c>
      <c r="B24" s="780" t="s">
        <v>333</v>
      </c>
      <c r="C24" s="975">
        <v>8.8999999999999996E-2</v>
      </c>
      <c r="D24" s="975">
        <v>9.7000000000000003E-2</v>
      </c>
      <c r="E24" s="975">
        <v>7.0000000000000007E-2</v>
      </c>
      <c r="F24" s="987"/>
    </row>
    <row r="25" spans="1:6" ht="14.25" thickBot="1">
      <c r="A25" s="776" t="s">
        <v>269</v>
      </c>
      <c r="B25" s="780" t="s">
        <v>343</v>
      </c>
      <c r="C25" s="975">
        <v>8.8999999999999996E-2</v>
      </c>
      <c r="D25" s="975">
        <v>0.1</v>
      </c>
      <c r="E25" s="975">
        <v>8.1000000000000003E-2</v>
      </c>
      <c r="F25" s="987"/>
    </row>
    <row r="26" spans="1:6" ht="14.25" thickBot="1">
      <c r="A26" s="776" t="s">
        <v>269</v>
      </c>
      <c r="B26" s="780" t="s">
        <v>353</v>
      </c>
      <c r="C26" s="988"/>
      <c r="D26" s="975">
        <v>9.6000000000000002E-2</v>
      </c>
      <c r="E26" s="975">
        <v>9.2999999999999999E-2</v>
      </c>
      <c r="F26" s="987"/>
    </row>
    <row r="27" spans="1:6" ht="14.25" thickBot="1">
      <c r="A27" s="776" t="s">
        <v>269</v>
      </c>
      <c r="B27" s="780" t="s">
        <v>363</v>
      </c>
      <c r="C27" s="988"/>
      <c r="D27" s="975">
        <v>7.5999999999999998E-2</v>
      </c>
      <c r="E27" s="975">
        <v>9.1999999999999998E-2</v>
      </c>
      <c r="F27" s="987"/>
    </row>
    <row r="28" spans="1:6" ht="14.25" thickBot="1">
      <c r="A28" s="786" t="s">
        <v>269</v>
      </c>
      <c r="B28" s="781" t="s">
        <v>373</v>
      </c>
      <c r="C28" s="985"/>
      <c r="D28" s="977">
        <v>7.5999999999999998E-2</v>
      </c>
      <c r="E28" s="977">
        <v>9.1999999999999998E-2</v>
      </c>
      <c r="F28" s="986"/>
    </row>
    <row r="29" spans="1:6" ht="14.25" thickBot="1">
      <c r="A29" s="776" t="s">
        <v>442</v>
      </c>
      <c r="B29" s="777" t="s">
        <v>851</v>
      </c>
      <c r="C29" s="973">
        <v>6.4000000000000001E-2</v>
      </c>
      <c r="D29" s="973">
        <v>6.5000000000000002E-2</v>
      </c>
      <c r="E29" s="973">
        <v>6.9000000000000006E-2</v>
      </c>
      <c r="F29" s="974">
        <v>0.1</v>
      </c>
    </row>
    <row r="30" spans="1:6" ht="14.25" thickBot="1">
      <c r="A30" s="776" t="s">
        <v>442</v>
      </c>
      <c r="B30" s="780" t="s">
        <v>189</v>
      </c>
      <c r="C30" s="975">
        <v>6.4000000000000001E-2</v>
      </c>
      <c r="D30" s="975">
        <v>9.9000000000000005E-2</v>
      </c>
      <c r="E30" s="975">
        <v>0.1</v>
      </c>
      <c r="F30" s="976">
        <v>0.1</v>
      </c>
    </row>
    <row r="31" spans="1:6" ht="14.25" thickBot="1">
      <c r="A31" s="776" t="s">
        <v>442</v>
      </c>
      <c r="B31" s="780" t="s">
        <v>202</v>
      </c>
      <c r="C31" s="975">
        <v>0.1</v>
      </c>
      <c r="D31" s="975">
        <v>9.5000000000000001E-2</v>
      </c>
      <c r="E31" s="975">
        <v>8.8999999999999996E-2</v>
      </c>
      <c r="F31" s="976">
        <v>0.1</v>
      </c>
    </row>
    <row r="32" spans="1:6" ht="14.25" thickBot="1">
      <c r="A32" s="776" t="s">
        <v>442</v>
      </c>
      <c r="B32" s="780" t="s">
        <v>215</v>
      </c>
      <c r="C32" s="975">
        <v>0.05</v>
      </c>
      <c r="D32" s="975">
        <v>0.05</v>
      </c>
      <c r="E32" s="975">
        <v>8.7999999999999995E-2</v>
      </c>
      <c r="F32" s="976">
        <v>0.1</v>
      </c>
    </row>
    <row r="33" spans="1:6" ht="14.25" thickBot="1">
      <c r="A33" s="776" t="s">
        <v>442</v>
      </c>
      <c r="B33" s="780" t="s">
        <v>227</v>
      </c>
      <c r="C33" s="975">
        <v>7.4999999999999997E-2</v>
      </c>
      <c r="D33" s="975">
        <v>9.4E-2</v>
      </c>
      <c r="E33" s="975">
        <v>9.7000000000000003E-2</v>
      </c>
      <c r="F33" s="976">
        <v>0.1</v>
      </c>
    </row>
    <row r="34" spans="1:6" ht="14.25" thickBot="1">
      <c r="A34" s="776" t="s">
        <v>442</v>
      </c>
      <c r="B34" s="780" t="s">
        <v>238</v>
      </c>
      <c r="C34" s="975">
        <v>9.8000000000000004E-2</v>
      </c>
      <c r="D34" s="975">
        <v>8.5999999999999993E-2</v>
      </c>
      <c r="E34" s="975">
        <v>9.7000000000000003E-2</v>
      </c>
      <c r="F34" s="976">
        <v>0.1</v>
      </c>
    </row>
    <row r="35" spans="1:6" ht="14.25" thickBot="1">
      <c r="A35" s="776" t="s">
        <v>442</v>
      </c>
      <c r="B35" s="780" t="s">
        <v>249</v>
      </c>
      <c r="C35" s="975">
        <v>5.8999999999999997E-2</v>
      </c>
      <c r="D35" s="975">
        <v>6.5000000000000002E-2</v>
      </c>
      <c r="E35" s="975">
        <v>7.0000000000000007E-2</v>
      </c>
      <c r="F35" s="976">
        <v>0.1</v>
      </c>
    </row>
    <row r="36" spans="1:6" ht="14.25" thickBot="1">
      <c r="A36" s="776" t="s">
        <v>442</v>
      </c>
      <c r="B36" s="780" t="s">
        <v>260</v>
      </c>
      <c r="C36" s="975">
        <v>6.3E-2</v>
      </c>
      <c r="D36" s="975">
        <v>0.1</v>
      </c>
      <c r="E36" s="975">
        <v>0.1</v>
      </c>
      <c r="F36" s="976">
        <v>0.1</v>
      </c>
    </row>
    <row r="37" spans="1:6" ht="14.25" thickBot="1">
      <c r="A37" s="776" t="s">
        <v>442</v>
      </c>
      <c r="B37" s="780" t="s">
        <v>272</v>
      </c>
      <c r="C37" s="975">
        <v>7.3999999999999996E-2</v>
      </c>
      <c r="D37" s="975">
        <v>0.1</v>
      </c>
      <c r="E37" s="975">
        <v>0.1</v>
      </c>
      <c r="F37" s="976">
        <v>0.1</v>
      </c>
    </row>
    <row r="38" spans="1:6" ht="14.25" thickBot="1">
      <c r="A38" s="776" t="s">
        <v>442</v>
      </c>
      <c r="B38" s="780" t="s">
        <v>282</v>
      </c>
      <c r="C38" s="975">
        <v>0.1</v>
      </c>
      <c r="D38" s="975">
        <v>9.6000000000000002E-2</v>
      </c>
      <c r="E38" s="975">
        <v>9.6000000000000002E-2</v>
      </c>
      <c r="F38" s="987"/>
    </row>
    <row r="39" spans="1:6" ht="14.25" thickBot="1">
      <c r="A39" s="776" t="s">
        <v>442</v>
      </c>
      <c r="B39" s="780" t="s">
        <v>292</v>
      </c>
      <c r="C39" s="975">
        <v>0.1</v>
      </c>
      <c r="D39" s="975">
        <v>9.6000000000000002E-2</v>
      </c>
      <c r="E39" s="975">
        <v>9.6000000000000002E-2</v>
      </c>
      <c r="F39" s="987"/>
    </row>
    <row r="40" spans="1:6" ht="14.25" thickBot="1">
      <c r="A40" s="776" t="s">
        <v>442</v>
      </c>
      <c r="B40" s="780" t="s">
        <v>302</v>
      </c>
      <c r="C40" s="975">
        <v>9.6000000000000002E-2</v>
      </c>
      <c r="D40" s="975">
        <v>0.1</v>
      </c>
      <c r="E40" s="975">
        <v>9.9000000000000005E-2</v>
      </c>
      <c r="F40" s="987"/>
    </row>
    <row r="41" spans="1:6" ht="14.25" thickBot="1">
      <c r="A41" s="776" t="s">
        <v>442</v>
      </c>
      <c r="B41" s="780" t="s">
        <v>312</v>
      </c>
      <c r="C41" s="975">
        <v>9.6000000000000002E-2</v>
      </c>
      <c r="D41" s="975">
        <v>9.8000000000000004E-2</v>
      </c>
      <c r="E41" s="975">
        <v>9.8000000000000004E-2</v>
      </c>
      <c r="F41" s="987"/>
    </row>
    <row r="42" spans="1:6" ht="14.25" thickBot="1">
      <c r="A42" s="776" t="s">
        <v>442</v>
      </c>
      <c r="B42" s="780" t="s">
        <v>323</v>
      </c>
      <c r="C42" s="975">
        <v>0.1</v>
      </c>
      <c r="D42" s="975">
        <v>8.7999999999999995E-2</v>
      </c>
      <c r="E42" s="975">
        <v>0.1</v>
      </c>
      <c r="F42" s="987"/>
    </row>
    <row r="43" spans="1:6" ht="14.25" thickBot="1">
      <c r="A43" s="776" t="s">
        <v>442</v>
      </c>
      <c r="B43" s="780" t="s">
        <v>334</v>
      </c>
      <c r="C43" s="975">
        <v>9.8000000000000004E-2</v>
      </c>
      <c r="D43" s="975">
        <v>9.7000000000000003E-2</v>
      </c>
      <c r="E43" s="975">
        <v>9.6000000000000002E-2</v>
      </c>
      <c r="F43" s="987"/>
    </row>
    <row r="44" spans="1:6" ht="14.25" thickBot="1">
      <c r="A44" s="776" t="s">
        <v>442</v>
      </c>
      <c r="B44" s="780" t="s">
        <v>344</v>
      </c>
      <c r="C44" s="975">
        <v>8.5999999999999993E-2</v>
      </c>
      <c r="D44" s="975">
        <v>7.9000000000000001E-2</v>
      </c>
      <c r="E44" s="975">
        <v>7.0999999999999994E-2</v>
      </c>
      <c r="F44" s="987"/>
    </row>
    <row r="45" spans="1:6" ht="14.25" thickBot="1">
      <c r="A45" s="776" t="s">
        <v>442</v>
      </c>
      <c r="B45" s="780" t="s">
        <v>354</v>
      </c>
      <c r="C45" s="975">
        <v>9.8000000000000004E-2</v>
      </c>
      <c r="D45" s="975">
        <v>9.6000000000000002E-2</v>
      </c>
      <c r="E45" s="975">
        <v>9.6000000000000002E-2</v>
      </c>
      <c r="F45" s="987"/>
    </row>
    <row r="46" spans="1:6" ht="14.25" thickBot="1">
      <c r="A46" s="776" t="s">
        <v>442</v>
      </c>
      <c r="B46" s="780" t="s">
        <v>364</v>
      </c>
      <c r="C46" s="975">
        <v>8.5999999999999993E-2</v>
      </c>
      <c r="D46" s="975">
        <v>9.8000000000000004E-2</v>
      </c>
      <c r="E46" s="975">
        <v>8.7999999999999995E-2</v>
      </c>
      <c r="F46" s="987"/>
    </row>
    <row r="47" spans="1:6" ht="14.25" thickBot="1">
      <c r="A47" s="776" t="s">
        <v>442</v>
      </c>
      <c r="B47" s="780" t="s">
        <v>374</v>
      </c>
      <c r="C47" s="975">
        <v>9.6000000000000002E-2</v>
      </c>
      <c r="D47" s="988"/>
      <c r="E47" s="975">
        <v>6.9000000000000006E-2</v>
      </c>
      <c r="F47" s="987"/>
    </row>
    <row r="48" spans="1:6" ht="14.25" thickBot="1">
      <c r="A48" s="786" t="s">
        <v>442</v>
      </c>
      <c r="B48" s="781" t="s">
        <v>383</v>
      </c>
      <c r="C48" s="977">
        <v>9.8000000000000004E-2</v>
      </c>
      <c r="D48" s="985"/>
      <c r="E48" s="977">
        <v>9.5000000000000001E-2</v>
      </c>
      <c r="F48" s="986"/>
    </row>
    <row r="49" spans="1:6" ht="14.25" thickBot="1">
      <c r="A49" s="776" t="s">
        <v>137</v>
      </c>
      <c r="B49" s="777" t="s">
        <v>852</v>
      </c>
      <c r="C49" s="973">
        <v>9.7000000000000003E-2</v>
      </c>
      <c r="D49" s="973">
        <v>9.5000000000000001E-2</v>
      </c>
      <c r="E49" s="973">
        <v>9.7000000000000003E-2</v>
      </c>
      <c r="F49" s="974">
        <v>0.1</v>
      </c>
    </row>
    <row r="50" spans="1:6" ht="14.25" thickBot="1">
      <c r="A50" s="776" t="s">
        <v>137</v>
      </c>
      <c r="B50" s="770" t="s">
        <v>190</v>
      </c>
      <c r="C50" s="975">
        <v>7.4999999999999997E-2</v>
      </c>
      <c r="D50" s="975">
        <v>9.5000000000000001E-2</v>
      </c>
      <c r="E50" s="975">
        <v>0.1</v>
      </c>
      <c r="F50" s="976">
        <v>0.1</v>
      </c>
    </row>
    <row r="51" spans="1:6" ht="14.25" thickBot="1">
      <c r="A51" s="776" t="s">
        <v>137</v>
      </c>
      <c r="B51" s="770" t="s">
        <v>203</v>
      </c>
      <c r="C51" s="975">
        <v>9.8000000000000004E-2</v>
      </c>
      <c r="D51" s="975">
        <v>8.8999999999999996E-2</v>
      </c>
      <c r="E51" s="975">
        <v>0.1</v>
      </c>
      <c r="F51" s="976">
        <v>0.1</v>
      </c>
    </row>
    <row r="52" spans="1:6" ht="14.25" thickBot="1">
      <c r="A52" s="776" t="s">
        <v>137</v>
      </c>
      <c r="B52" s="770" t="s">
        <v>216</v>
      </c>
      <c r="C52" s="975">
        <v>9.8000000000000004E-2</v>
      </c>
      <c r="D52" s="975">
        <v>9.7000000000000003E-2</v>
      </c>
      <c r="E52" s="975">
        <v>8.1000000000000003E-2</v>
      </c>
      <c r="F52" s="976">
        <v>0.1</v>
      </c>
    </row>
    <row r="53" spans="1:6" ht="14.25" thickBot="1">
      <c r="A53" s="776" t="s">
        <v>137</v>
      </c>
      <c r="B53" s="770" t="s">
        <v>228</v>
      </c>
      <c r="C53" s="975">
        <v>9.7000000000000003E-2</v>
      </c>
      <c r="D53" s="975">
        <v>7.5999999999999998E-2</v>
      </c>
      <c r="E53" s="975">
        <v>7.0999999999999994E-2</v>
      </c>
      <c r="F53" s="976">
        <v>0.1</v>
      </c>
    </row>
    <row r="54" spans="1:6" ht="14.25" thickBot="1">
      <c r="A54" s="776" t="s">
        <v>137</v>
      </c>
      <c r="B54" s="770" t="s">
        <v>239</v>
      </c>
      <c r="C54" s="975">
        <v>7.5999999999999998E-2</v>
      </c>
      <c r="D54" s="975">
        <v>0.1</v>
      </c>
      <c r="E54" s="975">
        <v>9.9000000000000005E-2</v>
      </c>
      <c r="F54" s="976">
        <v>0.1</v>
      </c>
    </row>
    <row r="55" spans="1:6" ht="14.25" thickBot="1">
      <c r="A55" s="776" t="s">
        <v>137</v>
      </c>
      <c r="B55" s="770" t="s">
        <v>250</v>
      </c>
      <c r="C55" s="975">
        <v>0.1</v>
      </c>
      <c r="D55" s="975">
        <v>0.1</v>
      </c>
      <c r="E55" s="975">
        <v>9.6000000000000002E-2</v>
      </c>
      <c r="F55" s="976">
        <v>0.1</v>
      </c>
    </row>
    <row r="56" spans="1:6" ht="14.25" thickBot="1">
      <c r="A56" s="776" t="s">
        <v>137</v>
      </c>
      <c r="B56" s="770" t="s">
        <v>261</v>
      </c>
      <c r="C56" s="975">
        <v>0.1</v>
      </c>
      <c r="D56" s="975">
        <v>9.6000000000000002E-2</v>
      </c>
      <c r="E56" s="975">
        <v>5.1999999999999998E-2</v>
      </c>
      <c r="F56" s="976">
        <v>0.1</v>
      </c>
    </row>
    <row r="57" spans="1:6" ht="14.25" thickBot="1">
      <c r="A57" s="776" t="s">
        <v>137</v>
      </c>
      <c r="B57" s="770" t="s">
        <v>273</v>
      </c>
      <c r="C57" s="975">
        <v>9.7000000000000003E-2</v>
      </c>
      <c r="D57" s="975">
        <v>9.6000000000000002E-2</v>
      </c>
      <c r="E57" s="975">
        <v>9.6000000000000002E-2</v>
      </c>
      <c r="F57" s="976">
        <v>0.1</v>
      </c>
    </row>
    <row r="58" spans="1:6" ht="14.25" thickBot="1">
      <c r="A58" s="776" t="s">
        <v>137</v>
      </c>
      <c r="B58" s="770" t="s">
        <v>283</v>
      </c>
      <c r="C58" s="975">
        <v>9.6000000000000002E-2</v>
      </c>
      <c r="D58" s="975">
        <v>9.9000000000000005E-2</v>
      </c>
      <c r="E58" s="975">
        <v>9.6000000000000002E-2</v>
      </c>
      <c r="F58" s="976">
        <v>0.1</v>
      </c>
    </row>
    <row r="59" spans="1:6" ht="14.25" thickBot="1">
      <c r="A59" s="776" t="s">
        <v>137</v>
      </c>
      <c r="B59" s="770" t="s">
        <v>293</v>
      </c>
      <c r="C59" s="975">
        <v>7.1999999999999995E-2</v>
      </c>
      <c r="D59" s="975">
        <v>9.6000000000000002E-2</v>
      </c>
      <c r="E59" s="975">
        <v>7.0999999999999994E-2</v>
      </c>
      <c r="F59" s="976">
        <v>0.1</v>
      </c>
    </row>
    <row r="60" spans="1:6" ht="14.25" thickBot="1">
      <c r="A60" s="776" t="s">
        <v>137</v>
      </c>
      <c r="B60" s="770" t="s">
        <v>303</v>
      </c>
      <c r="C60" s="975">
        <v>9.6000000000000002E-2</v>
      </c>
      <c r="D60" s="975">
        <v>8.8999999999999996E-2</v>
      </c>
      <c r="E60" s="975">
        <v>9.6000000000000002E-2</v>
      </c>
      <c r="F60" s="976">
        <v>0.1</v>
      </c>
    </row>
    <row r="61" spans="1:6" ht="14.25" thickBot="1">
      <c r="A61" s="776" t="s">
        <v>137</v>
      </c>
      <c r="B61" s="770" t="s">
        <v>313</v>
      </c>
      <c r="C61" s="975">
        <v>8.8999999999999996E-2</v>
      </c>
      <c r="D61" s="975">
        <v>9.8000000000000004E-2</v>
      </c>
      <c r="E61" s="975">
        <v>8.7999999999999995E-2</v>
      </c>
      <c r="F61" s="987"/>
    </row>
    <row r="62" spans="1:6" ht="14.25" thickBot="1">
      <c r="A62" s="776" t="s">
        <v>137</v>
      </c>
      <c r="B62" s="770" t="s">
        <v>324</v>
      </c>
      <c r="C62" s="975">
        <v>9.8000000000000004E-2</v>
      </c>
      <c r="D62" s="975">
        <v>9.2999999999999999E-2</v>
      </c>
      <c r="E62" s="975">
        <v>9.7000000000000003E-2</v>
      </c>
      <c r="F62" s="987"/>
    </row>
    <row r="63" spans="1:6" ht="14.25" thickBot="1">
      <c r="A63" s="776" t="s">
        <v>137</v>
      </c>
      <c r="B63" s="770" t="s">
        <v>335</v>
      </c>
      <c r="C63" s="975">
        <v>9.6000000000000002E-2</v>
      </c>
      <c r="D63" s="975">
        <v>9.8000000000000004E-2</v>
      </c>
      <c r="E63" s="975">
        <v>0.09</v>
      </c>
      <c r="F63" s="987"/>
    </row>
    <row r="64" spans="1:6" ht="14.25" thickBot="1">
      <c r="A64" s="776" t="s">
        <v>137</v>
      </c>
      <c r="B64" s="770" t="s">
        <v>345</v>
      </c>
      <c r="C64" s="975">
        <v>9.9000000000000005E-2</v>
      </c>
      <c r="D64" s="975">
        <v>9.7000000000000003E-2</v>
      </c>
      <c r="E64" s="975">
        <v>9.9000000000000005E-2</v>
      </c>
      <c r="F64" s="987"/>
    </row>
    <row r="65" spans="1:6" ht="14.25" thickBot="1">
      <c r="A65" s="776" t="s">
        <v>137</v>
      </c>
      <c r="B65" s="770" t="s">
        <v>355</v>
      </c>
      <c r="C65" s="975">
        <v>9.8000000000000004E-2</v>
      </c>
      <c r="D65" s="975">
        <v>9.6000000000000002E-2</v>
      </c>
      <c r="E65" s="975">
        <v>9.6000000000000002E-2</v>
      </c>
      <c r="F65" s="987"/>
    </row>
    <row r="66" spans="1:6" ht="14.25" thickBot="1">
      <c r="A66" s="776" t="s">
        <v>137</v>
      </c>
      <c r="B66" s="770" t="s">
        <v>365</v>
      </c>
      <c r="C66" s="975">
        <v>9.6000000000000002E-2</v>
      </c>
      <c r="D66" s="975">
        <v>9.1999999999999998E-2</v>
      </c>
      <c r="E66" s="975">
        <v>9.6000000000000002E-2</v>
      </c>
      <c r="F66" s="987"/>
    </row>
    <row r="67" spans="1:6" ht="14.25" thickBot="1">
      <c r="A67" s="776" t="s">
        <v>137</v>
      </c>
      <c r="B67" s="770" t="s">
        <v>375</v>
      </c>
      <c r="C67" s="975">
        <v>9.4E-2</v>
      </c>
      <c r="D67" s="975">
        <v>0.1</v>
      </c>
      <c r="E67" s="975">
        <v>8.7999999999999995E-2</v>
      </c>
      <c r="F67" s="987"/>
    </row>
    <row r="68" spans="1:6" ht="14.25" thickBot="1">
      <c r="A68" s="776" t="s">
        <v>137</v>
      </c>
      <c r="B68" s="770" t="s">
        <v>384</v>
      </c>
      <c r="C68" s="975">
        <v>0.1</v>
      </c>
      <c r="D68" s="975">
        <v>8.7999999999999995E-2</v>
      </c>
      <c r="E68" s="975">
        <v>9.7000000000000003E-2</v>
      </c>
      <c r="F68" s="987"/>
    </row>
    <row r="69" spans="1:6" ht="14.25" thickBot="1">
      <c r="A69" s="776" t="s">
        <v>137</v>
      </c>
      <c r="B69" s="770" t="s">
        <v>393</v>
      </c>
      <c r="C69" s="975">
        <v>6.4000000000000001E-2</v>
      </c>
      <c r="D69" s="975">
        <v>0.1</v>
      </c>
      <c r="E69" s="975">
        <v>0.1</v>
      </c>
      <c r="F69" s="987"/>
    </row>
    <row r="70" spans="1:6" ht="14.25" thickBot="1">
      <c r="A70" s="776" t="s">
        <v>137</v>
      </c>
      <c r="B70" s="770" t="s">
        <v>401</v>
      </c>
      <c r="C70" s="975">
        <v>9.0999999999999998E-2</v>
      </c>
      <c r="D70" s="988"/>
      <c r="E70" s="988"/>
      <c r="F70" s="987"/>
    </row>
    <row r="71" spans="1:6" ht="14.25" thickBot="1">
      <c r="A71" s="776" t="s">
        <v>137</v>
      </c>
      <c r="B71" s="770" t="s">
        <v>408</v>
      </c>
      <c r="C71" s="975">
        <v>0.1</v>
      </c>
      <c r="D71" s="988"/>
      <c r="E71" s="988"/>
      <c r="F71" s="987"/>
    </row>
    <row r="72" spans="1:6" ht="14.25" thickBot="1">
      <c r="A72" s="776" t="s">
        <v>137</v>
      </c>
      <c r="B72" s="770" t="s">
        <v>853</v>
      </c>
      <c r="C72" s="988"/>
      <c r="D72" s="988"/>
      <c r="E72" s="988"/>
      <c r="F72" s="976">
        <v>0.05</v>
      </c>
    </row>
    <row r="73" spans="1:6" ht="14.25" thickBot="1">
      <c r="A73" s="776" t="s">
        <v>137</v>
      </c>
      <c r="B73" s="770" t="s">
        <v>854</v>
      </c>
      <c r="C73" s="988"/>
      <c r="D73" s="988"/>
      <c r="E73" s="988"/>
      <c r="F73" s="976">
        <v>0.05</v>
      </c>
    </row>
    <row r="74" spans="1:6" ht="14.25" thickBot="1">
      <c r="A74" s="776" t="s">
        <v>137</v>
      </c>
      <c r="B74" s="770" t="s">
        <v>855</v>
      </c>
      <c r="C74" s="988"/>
      <c r="D74" s="988"/>
      <c r="E74" s="988"/>
      <c r="F74" s="976">
        <v>0.05</v>
      </c>
    </row>
    <row r="75" spans="1:6" ht="14.25" thickBot="1">
      <c r="A75" s="786" t="s">
        <v>137</v>
      </c>
      <c r="B75" s="782" t="s">
        <v>856</v>
      </c>
      <c r="C75" s="985"/>
      <c r="D75" s="985"/>
      <c r="E75" s="985"/>
      <c r="F75" s="978">
        <v>0.05</v>
      </c>
    </row>
    <row r="76" spans="1:6" ht="14.25" thickBot="1">
      <c r="A76" s="776" t="s">
        <v>523</v>
      </c>
      <c r="B76" s="777" t="s">
        <v>857</v>
      </c>
      <c r="C76" s="973">
        <v>0.1</v>
      </c>
      <c r="D76" s="973">
        <v>0.1</v>
      </c>
      <c r="E76" s="973">
        <v>0.1</v>
      </c>
      <c r="F76" s="974">
        <v>0.1</v>
      </c>
    </row>
    <row r="77" spans="1:6" ht="14.25" thickBot="1">
      <c r="A77" s="776" t="s">
        <v>523</v>
      </c>
      <c r="B77" s="770" t="s">
        <v>191</v>
      </c>
      <c r="C77" s="975">
        <v>8.7999999999999995E-2</v>
      </c>
      <c r="D77" s="975">
        <v>8.6999999999999994E-2</v>
      </c>
      <c r="E77" s="975">
        <v>7.9000000000000001E-2</v>
      </c>
      <c r="F77" s="976">
        <v>0.1</v>
      </c>
    </row>
    <row r="78" spans="1:6" ht="14.25" thickBot="1">
      <c r="A78" s="776" t="s">
        <v>523</v>
      </c>
      <c r="B78" s="770" t="s">
        <v>204</v>
      </c>
      <c r="C78" s="975">
        <v>8.6999999999999994E-2</v>
      </c>
      <c r="D78" s="975">
        <v>8.4000000000000005E-2</v>
      </c>
      <c r="E78" s="975">
        <v>9.6000000000000002E-2</v>
      </c>
      <c r="F78" s="976">
        <v>0.1</v>
      </c>
    </row>
    <row r="79" spans="1:6" ht="14.25" thickBot="1">
      <c r="A79" s="776" t="s">
        <v>523</v>
      </c>
      <c r="B79" s="770" t="s">
        <v>217</v>
      </c>
      <c r="C79" s="975">
        <v>9.8000000000000004E-2</v>
      </c>
      <c r="D79" s="975">
        <v>9.8000000000000004E-2</v>
      </c>
      <c r="E79" s="975">
        <v>9.0999999999999998E-2</v>
      </c>
      <c r="F79" s="976">
        <v>0.1</v>
      </c>
    </row>
    <row r="80" spans="1:6" ht="14.25" thickBot="1">
      <c r="A80" s="776" t="s">
        <v>523</v>
      </c>
      <c r="B80" s="770" t="s">
        <v>229</v>
      </c>
      <c r="C80" s="975">
        <v>9.6000000000000002E-2</v>
      </c>
      <c r="D80" s="975">
        <v>9.6000000000000002E-2</v>
      </c>
      <c r="E80" s="975">
        <v>0.1</v>
      </c>
      <c r="F80" s="976">
        <v>0.1</v>
      </c>
    </row>
    <row r="81" spans="1:6" ht="14.25" thickBot="1">
      <c r="A81" s="776" t="s">
        <v>523</v>
      </c>
      <c r="B81" s="770" t="s">
        <v>240</v>
      </c>
      <c r="C81" s="975">
        <v>9.9000000000000005E-2</v>
      </c>
      <c r="D81" s="975">
        <v>9.9000000000000005E-2</v>
      </c>
      <c r="E81" s="975">
        <v>9.8000000000000004E-2</v>
      </c>
      <c r="F81" s="976">
        <v>0.1</v>
      </c>
    </row>
    <row r="82" spans="1:6" ht="14.25" thickBot="1">
      <c r="A82" s="776" t="s">
        <v>523</v>
      </c>
      <c r="B82" s="770" t="s">
        <v>251</v>
      </c>
      <c r="C82" s="975">
        <v>9.9000000000000005E-2</v>
      </c>
      <c r="D82" s="975">
        <v>9.9000000000000005E-2</v>
      </c>
      <c r="E82" s="975">
        <v>9.7000000000000003E-2</v>
      </c>
      <c r="F82" s="976">
        <v>0.1</v>
      </c>
    </row>
    <row r="83" spans="1:6" ht="14.25" thickBot="1">
      <c r="A83" s="776" t="s">
        <v>523</v>
      </c>
      <c r="B83" s="770" t="s">
        <v>262</v>
      </c>
      <c r="C83" s="975">
        <v>9.8000000000000004E-2</v>
      </c>
      <c r="D83" s="975">
        <v>9.8000000000000004E-2</v>
      </c>
      <c r="E83" s="975">
        <v>9.8000000000000004E-2</v>
      </c>
      <c r="F83" s="976">
        <v>0.1</v>
      </c>
    </row>
    <row r="84" spans="1:6" ht="14.25" thickBot="1">
      <c r="A84" s="776" t="s">
        <v>523</v>
      </c>
      <c r="B84" s="770" t="s">
        <v>274</v>
      </c>
      <c r="C84" s="975">
        <v>9.9000000000000005E-2</v>
      </c>
      <c r="D84" s="975">
        <v>9.9000000000000005E-2</v>
      </c>
      <c r="E84" s="975">
        <v>9.9000000000000005E-2</v>
      </c>
      <c r="F84" s="976">
        <v>0.1</v>
      </c>
    </row>
    <row r="85" spans="1:6" ht="14.25" thickBot="1">
      <c r="A85" s="776" t="s">
        <v>523</v>
      </c>
      <c r="B85" s="770" t="s">
        <v>284</v>
      </c>
      <c r="C85" s="975">
        <v>9.9000000000000005E-2</v>
      </c>
      <c r="D85" s="975">
        <v>9.9000000000000005E-2</v>
      </c>
      <c r="E85" s="975">
        <v>9.9000000000000005E-2</v>
      </c>
      <c r="F85" s="976">
        <v>0.1</v>
      </c>
    </row>
    <row r="86" spans="1:6" ht="14.25" thickBot="1">
      <c r="A86" s="776" t="s">
        <v>523</v>
      </c>
      <c r="B86" s="770" t="s">
        <v>294</v>
      </c>
      <c r="C86" s="975">
        <v>0.1</v>
      </c>
      <c r="D86" s="975">
        <v>0.1</v>
      </c>
      <c r="E86" s="975">
        <v>7.6999999999999999E-2</v>
      </c>
      <c r="F86" s="976">
        <v>0.1</v>
      </c>
    </row>
    <row r="87" spans="1:6" ht="14.25" thickBot="1">
      <c r="A87" s="776" t="s">
        <v>523</v>
      </c>
      <c r="B87" s="770" t="s">
        <v>304</v>
      </c>
      <c r="C87" s="975">
        <v>0.1</v>
      </c>
      <c r="D87" s="975">
        <v>0.1</v>
      </c>
      <c r="E87" s="975">
        <v>9.8000000000000004E-2</v>
      </c>
      <c r="F87" s="987"/>
    </row>
    <row r="88" spans="1:6" ht="14.25" thickBot="1">
      <c r="A88" s="776" t="s">
        <v>523</v>
      </c>
      <c r="B88" s="770" t="s">
        <v>314</v>
      </c>
      <c r="C88" s="975">
        <v>9.1999999999999998E-2</v>
      </c>
      <c r="D88" s="975">
        <v>8.5000000000000006E-2</v>
      </c>
      <c r="E88" s="975">
        <v>9.6000000000000002E-2</v>
      </c>
      <c r="F88" s="987"/>
    </row>
    <row r="89" spans="1:6" ht="14.25" thickBot="1">
      <c r="A89" s="776" t="s">
        <v>523</v>
      </c>
      <c r="B89" s="770" t="s">
        <v>325</v>
      </c>
      <c r="C89" s="975">
        <v>0.1</v>
      </c>
      <c r="D89" s="975">
        <v>0.1</v>
      </c>
      <c r="E89" s="975">
        <v>9.7000000000000003E-2</v>
      </c>
      <c r="F89" s="987"/>
    </row>
    <row r="90" spans="1:6" ht="14.25" thickBot="1">
      <c r="A90" s="776" t="s">
        <v>523</v>
      </c>
      <c r="B90" s="770" t="s">
        <v>336</v>
      </c>
      <c r="C90" s="975">
        <v>9.8000000000000004E-2</v>
      </c>
      <c r="D90" s="975">
        <v>9.8000000000000004E-2</v>
      </c>
      <c r="E90" s="975">
        <v>8.7999999999999995E-2</v>
      </c>
      <c r="F90" s="987"/>
    </row>
    <row r="91" spans="1:6" ht="14.25" thickBot="1">
      <c r="A91" s="776" t="s">
        <v>523</v>
      </c>
      <c r="B91" s="770" t="s">
        <v>346</v>
      </c>
      <c r="C91" s="975">
        <v>9.9000000000000005E-2</v>
      </c>
      <c r="D91" s="975">
        <v>9.9000000000000005E-2</v>
      </c>
      <c r="E91" s="975">
        <v>9.0999999999999998E-2</v>
      </c>
      <c r="F91" s="987"/>
    </row>
    <row r="92" spans="1:6" ht="14.25" thickBot="1">
      <c r="A92" s="776" t="s">
        <v>523</v>
      </c>
      <c r="B92" s="770" t="s">
        <v>356</v>
      </c>
      <c r="C92" s="975">
        <v>9.6000000000000002E-2</v>
      </c>
      <c r="D92" s="975">
        <v>9.6000000000000002E-2</v>
      </c>
      <c r="E92" s="975">
        <v>7.2999999999999995E-2</v>
      </c>
      <c r="F92" s="987"/>
    </row>
    <row r="93" spans="1:6" ht="14.25" thickBot="1">
      <c r="A93" s="776" t="s">
        <v>523</v>
      </c>
      <c r="B93" s="770" t="s">
        <v>366</v>
      </c>
      <c r="C93" s="975">
        <v>9.6000000000000002E-2</v>
      </c>
      <c r="D93" s="975">
        <v>9.6000000000000002E-2</v>
      </c>
      <c r="E93" s="975">
        <v>9.9000000000000005E-2</v>
      </c>
      <c r="F93" s="987"/>
    </row>
    <row r="94" spans="1:6" ht="14.25" thickBot="1">
      <c r="A94" s="776" t="s">
        <v>523</v>
      </c>
      <c r="B94" s="770" t="s">
        <v>376</v>
      </c>
      <c r="C94" s="975">
        <v>7.5999999999999998E-2</v>
      </c>
      <c r="D94" s="975">
        <v>7.3999999999999996E-2</v>
      </c>
      <c r="E94" s="975">
        <v>9.7000000000000003E-2</v>
      </c>
      <c r="F94" s="987"/>
    </row>
    <row r="95" spans="1:6" ht="14.25" thickBot="1">
      <c r="A95" s="776" t="s">
        <v>523</v>
      </c>
      <c r="B95" s="770" t="s">
        <v>385</v>
      </c>
      <c r="C95" s="975">
        <v>9.9000000000000005E-2</v>
      </c>
      <c r="D95" s="975">
        <v>9.4E-2</v>
      </c>
      <c r="E95" s="975">
        <v>9.6000000000000002E-2</v>
      </c>
      <c r="F95" s="987"/>
    </row>
    <row r="96" spans="1:6" ht="14.25" thickBot="1">
      <c r="A96" s="776" t="s">
        <v>523</v>
      </c>
      <c r="B96" s="770" t="s">
        <v>394</v>
      </c>
      <c r="C96" s="975">
        <v>9.9000000000000005E-2</v>
      </c>
      <c r="D96" s="975">
        <v>9.9000000000000005E-2</v>
      </c>
      <c r="E96" s="975">
        <v>9.9000000000000005E-2</v>
      </c>
      <c r="F96" s="987"/>
    </row>
    <row r="97" spans="1:6" ht="14.25" thickBot="1">
      <c r="A97" s="776" t="s">
        <v>523</v>
      </c>
      <c r="B97" s="770" t="s">
        <v>402</v>
      </c>
      <c r="C97" s="975">
        <v>9.8000000000000004E-2</v>
      </c>
      <c r="D97" s="975">
        <v>9.8000000000000004E-2</v>
      </c>
      <c r="E97" s="975">
        <v>9.7000000000000003E-2</v>
      </c>
      <c r="F97" s="987"/>
    </row>
    <row r="98" spans="1:6" ht="14.25" thickBot="1">
      <c r="A98" s="776" t="s">
        <v>523</v>
      </c>
      <c r="B98" s="770" t="s">
        <v>409</v>
      </c>
      <c r="C98" s="975">
        <v>0.1</v>
      </c>
      <c r="D98" s="975">
        <v>0.1</v>
      </c>
      <c r="E98" s="975">
        <v>9.7000000000000003E-2</v>
      </c>
      <c r="F98" s="987"/>
    </row>
    <row r="99" spans="1:6" ht="14.25" thickBot="1">
      <c r="A99" s="776" t="s">
        <v>523</v>
      </c>
      <c r="B99" s="770" t="s">
        <v>416</v>
      </c>
      <c r="C99" s="975">
        <v>0.1</v>
      </c>
      <c r="D99" s="975">
        <v>0.1</v>
      </c>
      <c r="E99" s="988"/>
      <c r="F99" s="987"/>
    </row>
    <row r="100" spans="1:6" ht="14.25" thickBot="1">
      <c r="A100" s="776" t="s">
        <v>523</v>
      </c>
      <c r="B100" s="770" t="s">
        <v>423</v>
      </c>
      <c r="C100" s="975">
        <v>0.09</v>
      </c>
      <c r="D100" s="975">
        <v>8.8999999999999996E-2</v>
      </c>
      <c r="E100" s="988"/>
      <c r="F100" s="987"/>
    </row>
    <row r="101" spans="1:6" ht="14.25" thickBot="1">
      <c r="A101" s="776" t="s">
        <v>523</v>
      </c>
      <c r="B101" s="770" t="s">
        <v>430</v>
      </c>
      <c r="C101" s="975">
        <v>9.8000000000000004E-2</v>
      </c>
      <c r="D101" s="975">
        <v>9.7000000000000003E-2</v>
      </c>
      <c r="E101" s="988"/>
      <c r="F101" s="987"/>
    </row>
    <row r="102" spans="1:6" ht="14.25" thickBot="1">
      <c r="A102" s="776" t="s">
        <v>523</v>
      </c>
      <c r="B102" s="770" t="s">
        <v>858</v>
      </c>
      <c r="C102" s="988"/>
      <c r="D102" s="988"/>
      <c r="E102" s="988"/>
      <c r="F102" s="976">
        <v>0.05</v>
      </c>
    </row>
    <row r="103" spans="1:6" ht="24.75" thickBot="1">
      <c r="A103" s="776" t="s">
        <v>523</v>
      </c>
      <c r="B103" s="770" t="s">
        <v>859</v>
      </c>
      <c r="C103" s="988"/>
      <c r="D103" s="988"/>
      <c r="E103" s="988"/>
      <c r="F103" s="976">
        <v>0.05</v>
      </c>
    </row>
    <row r="104" spans="1:6" ht="14.25" thickBot="1">
      <c r="A104" s="776" t="s">
        <v>523</v>
      </c>
      <c r="B104" s="770" t="s">
        <v>860</v>
      </c>
      <c r="C104" s="988"/>
      <c r="D104" s="988"/>
      <c r="E104" s="988"/>
      <c r="F104" s="976">
        <v>0.05</v>
      </c>
    </row>
    <row r="105" spans="1:6" ht="14.25" thickBot="1">
      <c r="A105" s="776" t="s">
        <v>523</v>
      </c>
      <c r="B105" s="770" t="s">
        <v>861</v>
      </c>
      <c r="C105" s="988"/>
      <c r="D105" s="988"/>
      <c r="E105" s="988"/>
      <c r="F105" s="976">
        <v>0.05</v>
      </c>
    </row>
    <row r="106" spans="1:6" ht="14.25" thickBot="1">
      <c r="A106" s="776" t="s">
        <v>523</v>
      </c>
      <c r="B106" s="770" t="s">
        <v>862</v>
      </c>
      <c r="C106" s="988"/>
      <c r="D106" s="988"/>
      <c r="E106" s="988"/>
      <c r="F106" s="976">
        <v>0.05</v>
      </c>
    </row>
    <row r="107" spans="1:6" ht="24.75" thickBot="1">
      <c r="A107" s="776" t="s">
        <v>523</v>
      </c>
      <c r="B107" s="770" t="s">
        <v>863</v>
      </c>
      <c r="C107" s="988"/>
      <c r="D107" s="988"/>
      <c r="E107" s="988"/>
      <c r="F107" s="976">
        <v>0.05</v>
      </c>
    </row>
    <row r="108" spans="1:6" ht="24.75" thickBot="1">
      <c r="A108" s="776" t="s">
        <v>523</v>
      </c>
      <c r="B108" s="770" t="s">
        <v>864</v>
      </c>
      <c r="C108" s="988"/>
      <c r="D108" s="988"/>
      <c r="E108" s="988"/>
      <c r="F108" s="976">
        <v>0.05</v>
      </c>
    </row>
    <row r="109" spans="1:6" ht="24.75" thickBot="1">
      <c r="A109" s="786" t="s">
        <v>523</v>
      </c>
      <c r="B109" s="782" t="s">
        <v>865</v>
      </c>
      <c r="C109" s="985"/>
      <c r="D109" s="985"/>
      <c r="E109" s="985"/>
      <c r="F109" s="978">
        <v>0.05</v>
      </c>
    </row>
    <row r="110" spans="1:6" ht="14.25" thickBot="1">
      <c r="A110" s="776" t="s">
        <v>56</v>
      </c>
      <c r="B110" s="777" t="s">
        <v>866</v>
      </c>
      <c r="C110" s="973">
        <v>0.129</v>
      </c>
      <c r="D110" s="973">
        <v>0.129</v>
      </c>
      <c r="E110" s="973">
        <v>0.126</v>
      </c>
      <c r="F110" s="974">
        <v>0.13</v>
      </c>
    </row>
    <row r="111" spans="1:6" ht="14.25" thickBot="1">
      <c r="A111" s="776" t="s">
        <v>56</v>
      </c>
      <c r="B111" s="770" t="s">
        <v>192</v>
      </c>
      <c r="C111" s="975">
        <v>0.11</v>
      </c>
      <c r="D111" s="975">
        <v>0.11</v>
      </c>
      <c r="E111" s="975">
        <v>9.9000000000000005E-2</v>
      </c>
      <c r="F111" s="976">
        <v>0.128</v>
      </c>
    </row>
    <row r="112" spans="1:6" ht="14.25" thickBot="1">
      <c r="A112" s="776" t="s">
        <v>56</v>
      </c>
      <c r="B112" s="770" t="s">
        <v>205</v>
      </c>
      <c r="C112" s="975">
        <v>0.125</v>
      </c>
      <c r="D112" s="975">
        <v>0.125</v>
      </c>
      <c r="E112" s="975">
        <v>0.12</v>
      </c>
      <c r="F112" s="976">
        <v>0.125</v>
      </c>
    </row>
    <row r="113" spans="1:6" ht="14.25" thickBot="1">
      <c r="A113" s="776" t="s">
        <v>56</v>
      </c>
      <c r="B113" s="770" t="s">
        <v>218</v>
      </c>
      <c r="C113" s="975">
        <v>0.13</v>
      </c>
      <c r="D113" s="975">
        <v>0.13</v>
      </c>
      <c r="E113" s="975">
        <v>0.13</v>
      </c>
      <c r="F113" s="976">
        <v>0.13</v>
      </c>
    </row>
    <row r="114" spans="1:6" ht="14.25" thickBot="1">
      <c r="A114" s="776" t="s">
        <v>56</v>
      </c>
      <c r="B114" s="770" t="s">
        <v>230</v>
      </c>
      <c r="C114" s="975">
        <v>0.123</v>
      </c>
      <c r="D114" s="975">
        <v>0.123</v>
      </c>
      <c r="E114" s="975">
        <v>0.12</v>
      </c>
      <c r="F114" s="976">
        <v>0.13</v>
      </c>
    </row>
    <row r="115" spans="1:6" ht="14.25" thickBot="1">
      <c r="A115" s="776" t="s">
        <v>56</v>
      </c>
      <c r="B115" s="770" t="s">
        <v>241</v>
      </c>
      <c r="C115" s="975">
        <v>0.125</v>
      </c>
      <c r="D115" s="975">
        <v>0.125</v>
      </c>
      <c r="E115" s="975">
        <v>0.11700000000000001</v>
      </c>
      <c r="F115" s="976">
        <v>0.13</v>
      </c>
    </row>
    <row r="116" spans="1:6" ht="14.25" thickBot="1">
      <c r="A116" s="776" t="s">
        <v>56</v>
      </c>
      <c r="B116" s="770" t="s">
        <v>252</v>
      </c>
      <c r="C116" s="975">
        <v>0.11700000000000001</v>
      </c>
      <c r="D116" s="975">
        <v>0.11700000000000001</v>
      </c>
      <c r="E116" s="975">
        <v>8.7999999999999995E-2</v>
      </c>
      <c r="F116" s="976">
        <v>0.13</v>
      </c>
    </row>
    <row r="117" spans="1:6" ht="14.25" thickBot="1">
      <c r="A117" s="776" t="s">
        <v>56</v>
      </c>
      <c r="B117" s="770" t="s">
        <v>263</v>
      </c>
      <c r="C117" s="975">
        <v>0.13</v>
      </c>
      <c r="D117" s="975">
        <v>0.13</v>
      </c>
      <c r="E117" s="975">
        <v>0.129</v>
      </c>
      <c r="F117" s="976">
        <v>0.13</v>
      </c>
    </row>
    <row r="118" spans="1:6" ht="14.25" thickBot="1">
      <c r="A118" s="776" t="s">
        <v>56</v>
      </c>
      <c r="B118" s="770" t="s">
        <v>275</v>
      </c>
      <c r="C118" s="975">
        <v>0.123</v>
      </c>
      <c r="D118" s="975">
        <v>0.123</v>
      </c>
      <c r="E118" s="975">
        <v>0.11600000000000001</v>
      </c>
      <c r="F118" s="976">
        <v>0.13</v>
      </c>
    </row>
    <row r="119" spans="1:6" ht="14.25" thickBot="1">
      <c r="A119" s="776" t="s">
        <v>56</v>
      </c>
      <c r="B119" s="770" t="s">
        <v>285</v>
      </c>
      <c r="C119" s="975">
        <v>0.127</v>
      </c>
      <c r="D119" s="975">
        <v>0.127</v>
      </c>
      <c r="E119" s="975">
        <v>0.124</v>
      </c>
      <c r="F119" s="976">
        <v>0.13</v>
      </c>
    </row>
    <row r="120" spans="1:6" ht="14.25" thickBot="1">
      <c r="A120" s="776" t="s">
        <v>56</v>
      </c>
      <c r="B120" s="770" t="s">
        <v>295</v>
      </c>
      <c r="C120" s="975">
        <v>0.125</v>
      </c>
      <c r="D120" s="975">
        <v>0.125</v>
      </c>
      <c r="E120" s="975">
        <v>0.122</v>
      </c>
      <c r="F120" s="976">
        <v>0.13</v>
      </c>
    </row>
    <row r="121" spans="1:6" ht="14.25" thickBot="1">
      <c r="A121" s="776" t="s">
        <v>56</v>
      </c>
      <c r="B121" s="770" t="s">
        <v>305</v>
      </c>
      <c r="C121" s="975">
        <v>0.13</v>
      </c>
      <c r="D121" s="975">
        <v>0.13</v>
      </c>
      <c r="E121" s="975">
        <v>0.13</v>
      </c>
      <c r="F121" s="976">
        <v>0.13</v>
      </c>
    </row>
    <row r="122" spans="1:6" ht="14.25" thickBot="1">
      <c r="A122" s="776" t="s">
        <v>56</v>
      </c>
      <c r="B122" s="770" t="s">
        <v>315</v>
      </c>
      <c r="C122" s="975">
        <v>0.13</v>
      </c>
      <c r="D122" s="975">
        <v>0.13</v>
      </c>
      <c r="E122" s="975">
        <v>0.125</v>
      </c>
      <c r="F122" s="976">
        <v>0.13</v>
      </c>
    </row>
    <row r="123" spans="1:6" ht="14.25" thickBot="1">
      <c r="A123" s="776" t="s">
        <v>56</v>
      </c>
      <c r="B123" s="770" t="s">
        <v>326</v>
      </c>
      <c r="C123" s="975">
        <v>0.129</v>
      </c>
      <c r="D123" s="975">
        <v>0.129</v>
      </c>
      <c r="E123" s="975">
        <v>0.123</v>
      </c>
      <c r="F123" s="976">
        <v>0.13</v>
      </c>
    </row>
    <row r="124" spans="1:6" ht="14.25" thickBot="1">
      <c r="A124" s="776" t="s">
        <v>56</v>
      </c>
      <c r="B124" s="770" t="s">
        <v>337</v>
      </c>
      <c r="C124" s="975">
        <v>0.10199999999999999</v>
      </c>
      <c r="D124" s="975">
        <v>0.10100000000000001</v>
      </c>
      <c r="E124" s="975">
        <v>0.08</v>
      </c>
      <c r="F124" s="987"/>
    </row>
    <row r="125" spans="1:6" ht="14.25" thickBot="1">
      <c r="A125" s="776" t="s">
        <v>56</v>
      </c>
      <c r="B125" s="770" t="s">
        <v>347</v>
      </c>
      <c r="C125" s="975">
        <v>0.13</v>
      </c>
      <c r="D125" s="975">
        <v>0.13</v>
      </c>
      <c r="E125" s="975">
        <v>0.129</v>
      </c>
      <c r="F125" s="987"/>
    </row>
    <row r="126" spans="1:6" ht="14.25" thickBot="1">
      <c r="A126" s="776" t="s">
        <v>56</v>
      </c>
      <c r="B126" s="770" t="s">
        <v>357</v>
      </c>
      <c r="C126" s="975">
        <v>0.13</v>
      </c>
      <c r="D126" s="975">
        <v>0.13</v>
      </c>
      <c r="E126" s="975">
        <v>0.126</v>
      </c>
      <c r="F126" s="987"/>
    </row>
    <row r="127" spans="1:6" ht="14.25" thickBot="1">
      <c r="A127" s="776" t="s">
        <v>56</v>
      </c>
      <c r="B127" s="770" t="s">
        <v>367</v>
      </c>
      <c r="C127" s="975">
        <v>0.125</v>
      </c>
      <c r="D127" s="975">
        <v>0.125</v>
      </c>
      <c r="E127" s="975">
        <v>0.121</v>
      </c>
      <c r="F127" s="987"/>
    </row>
    <row r="128" spans="1:6" ht="14.25" thickBot="1">
      <c r="A128" s="776" t="s">
        <v>56</v>
      </c>
      <c r="B128" s="770" t="s">
        <v>377</v>
      </c>
      <c r="C128" s="975">
        <v>0.12</v>
      </c>
      <c r="D128" s="975">
        <v>0.12</v>
      </c>
      <c r="E128" s="975">
        <v>0.105</v>
      </c>
      <c r="F128" s="987"/>
    </row>
    <row r="129" spans="1:6" ht="14.25" thickBot="1">
      <c r="A129" s="776" t="s">
        <v>56</v>
      </c>
      <c r="B129" s="770" t="s">
        <v>386</v>
      </c>
      <c r="C129" s="975">
        <v>0.13</v>
      </c>
      <c r="D129" s="975">
        <v>0.13</v>
      </c>
      <c r="E129" s="975">
        <v>0.126</v>
      </c>
      <c r="F129" s="987"/>
    </row>
    <row r="130" spans="1:6" ht="14.25" thickBot="1">
      <c r="A130" s="776" t="s">
        <v>56</v>
      </c>
      <c r="B130" s="770" t="s">
        <v>395</v>
      </c>
      <c r="C130" s="975">
        <v>0.125</v>
      </c>
      <c r="D130" s="975">
        <v>0.125</v>
      </c>
      <c r="E130" s="975">
        <v>0.122</v>
      </c>
      <c r="F130" s="987"/>
    </row>
    <row r="131" spans="1:6" ht="14.25" thickBot="1">
      <c r="A131" s="776" t="s">
        <v>56</v>
      </c>
      <c r="B131" s="770" t="s">
        <v>403</v>
      </c>
      <c r="C131" s="975">
        <v>0.127</v>
      </c>
      <c r="D131" s="975">
        <v>0.126</v>
      </c>
      <c r="E131" s="975">
        <v>0.123</v>
      </c>
      <c r="F131" s="987"/>
    </row>
    <row r="132" spans="1:6" ht="14.25" thickBot="1">
      <c r="A132" s="776" t="s">
        <v>56</v>
      </c>
      <c r="B132" s="770" t="s">
        <v>410</v>
      </c>
      <c r="C132" s="975">
        <v>9.0999999999999998E-2</v>
      </c>
      <c r="D132" s="975">
        <v>0.121</v>
      </c>
      <c r="E132" s="975">
        <v>9.9000000000000005E-2</v>
      </c>
      <c r="F132" s="987"/>
    </row>
    <row r="133" spans="1:6" ht="14.25" thickBot="1">
      <c r="A133" s="776" t="s">
        <v>56</v>
      </c>
      <c r="B133" s="770" t="s">
        <v>417</v>
      </c>
      <c r="C133" s="975">
        <v>0.13</v>
      </c>
      <c r="D133" s="975">
        <v>0.13</v>
      </c>
      <c r="E133" s="975">
        <v>0.129</v>
      </c>
      <c r="F133" s="987"/>
    </row>
    <row r="134" spans="1:6" ht="14.25" thickBot="1">
      <c r="A134" s="776" t="s">
        <v>56</v>
      </c>
      <c r="B134" s="770" t="s">
        <v>867</v>
      </c>
      <c r="C134" s="975">
        <v>6.8000000000000005E-2</v>
      </c>
      <c r="D134" s="975">
        <v>6.5000000000000002E-2</v>
      </c>
      <c r="E134" s="975">
        <v>6.5000000000000002E-2</v>
      </c>
      <c r="F134" s="976">
        <v>0.13</v>
      </c>
    </row>
    <row r="135" spans="1:6" ht="14.25" thickBot="1">
      <c r="A135" s="776" t="s">
        <v>56</v>
      </c>
      <c r="B135" s="770" t="s">
        <v>431</v>
      </c>
      <c r="C135" s="975">
        <v>0.123</v>
      </c>
      <c r="D135" s="975">
        <v>0.123</v>
      </c>
      <c r="E135" s="975">
        <v>0.11</v>
      </c>
      <c r="F135" s="987"/>
    </row>
    <row r="136" spans="1:6" ht="14.25" thickBot="1">
      <c r="A136" s="776" t="s">
        <v>56</v>
      </c>
      <c r="B136" s="770" t="s">
        <v>438</v>
      </c>
      <c r="C136" s="975">
        <v>0.13</v>
      </c>
      <c r="D136" s="975">
        <v>0.13</v>
      </c>
      <c r="E136" s="975">
        <v>0.125</v>
      </c>
      <c r="F136" s="987"/>
    </row>
    <row r="137" spans="1:6" ht="14.25" thickBot="1">
      <c r="A137" s="776" t="s">
        <v>56</v>
      </c>
      <c r="B137" s="770" t="s">
        <v>445</v>
      </c>
      <c r="C137" s="975">
        <v>0.121</v>
      </c>
      <c r="D137" s="975">
        <v>0.122</v>
      </c>
      <c r="E137" s="975">
        <v>0.115</v>
      </c>
      <c r="F137" s="987"/>
    </row>
    <row r="138" spans="1:6" ht="14.25" thickBot="1">
      <c r="A138" s="776" t="s">
        <v>56</v>
      </c>
      <c r="B138" s="770" t="s">
        <v>868</v>
      </c>
      <c r="C138" s="975">
        <v>0.105</v>
      </c>
      <c r="D138" s="975">
        <v>0.125</v>
      </c>
      <c r="E138" s="975">
        <v>0.112</v>
      </c>
      <c r="F138" s="987"/>
    </row>
    <row r="139" spans="1:6" ht="14.25" thickBot="1">
      <c r="A139" s="776" t="s">
        <v>56</v>
      </c>
      <c r="B139" s="770" t="s">
        <v>869</v>
      </c>
      <c r="C139" s="975">
        <v>0.127</v>
      </c>
      <c r="D139" s="975">
        <v>0.127</v>
      </c>
      <c r="E139" s="975">
        <v>0.122</v>
      </c>
      <c r="F139" s="976">
        <v>0.13</v>
      </c>
    </row>
    <row r="140" spans="1:6" ht="14.25" thickBot="1">
      <c r="A140" s="776" t="s">
        <v>56</v>
      </c>
      <c r="B140" s="770" t="s">
        <v>870</v>
      </c>
      <c r="C140" s="975">
        <v>0.125</v>
      </c>
      <c r="D140" s="975">
        <v>0.125</v>
      </c>
      <c r="E140" s="975">
        <v>0.11899999999999999</v>
      </c>
      <c r="F140" s="976">
        <v>0.13</v>
      </c>
    </row>
    <row r="141" spans="1:6" ht="14.25" thickBot="1">
      <c r="A141" s="776" t="s">
        <v>56</v>
      </c>
      <c r="B141" s="770" t="s">
        <v>464</v>
      </c>
      <c r="C141" s="975">
        <v>0.125</v>
      </c>
      <c r="D141" s="975">
        <v>0.125</v>
      </c>
      <c r="E141" s="975">
        <v>0.11700000000000001</v>
      </c>
      <c r="F141" s="987"/>
    </row>
    <row r="142" spans="1:6" ht="14.25" thickBot="1">
      <c r="A142" s="776" t="s">
        <v>56</v>
      </c>
      <c r="B142" s="770" t="s">
        <v>469</v>
      </c>
      <c r="C142" s="975">
        <v>0.125</v>
      </c>
      <c r="D142" s="975">
        <v>0.125</v>
      </c>
      <c r="E142" s="975">
        <v>0.115</v>
      </c>
      <c r="F142" s="987"/>
    </row>
    <row r="143" spans="1:6" ht="14.25" thickBot="1">
      <c r="A143" s="776" t="s">
        <v>56</v>
      </c>
      <c r="B143" s="770" t="s">
        <v>474</v>
      </c>
      <c r="C143" s="975">
        <v>0.121</v>
      </c>
      <c r="D143" s="975">
        <v>0.121</v>
      </c>
      <c r="E143" s="975">
        <v>0.108</v>
      </c>
      <c r="F143" s="987"/>
    </row>
    <row r="144" spans="1:6" ht="14.25" thickBot="1">
      <c r="A144" s="776" t="s">
        <v>56</v>
      </c>
      <c r="B144" s="979" t="s">
        <v>871</v>
      </c>
      <c r="C144" s="980">
        <v>0.126</v>
      </c>
      <c r="D144" s="980">
        <v>0.126</v>
      </c>
      <c r="E144" s="980">
        <v>0.121</v>
      </c>
      <c r="F144" s="987"/>
    </row>
    <row r="145" spans="1:6" ht="14.25" thickBot="1">
      <c r="A145" s="786" t="s">
        <v>56</v>
      </c>
      <c r="B145" s="981" t="s">
        <v>872</v>
      </c>
      <c r="C145" s="989"/>
      <c r="D145" s="989"/>
      <c r="E145" s="989"/>
      <c r="F145" s="982">
        <v>0.05</v>
      </c>
    </row>
    <row r="146" spans="1:6" ht="24.75" thickBot="1">
      <c r="A146" s="983" t="s">
        <v>56</v>
      </c>
      <c r="B146" s="780" t="s">
        <v>873</v>
      </c>
      <c r="C146" s="988"/>
      <c r="D146" s="988"/>
      <c r="E146" s="988"/>
      <c r="F146" s="984">
        <v>0.05</v>
      </c>
    </row>
    <row r="147" spans="1:6" ht="24.75" thickBot="1">
      <c r="A147" s="776" t="s">
        <v>56</v>
      </c>
      <c r="B147" s="770" t="s">
        <v>874</v>
      </c>
      <c r="C147" s="988"/>
      <c r="D147" s="988"/>
      <c r="E147" s="988"/>
      <c r="F147" s="976">
        <v>0.05</v>
      </c>
    </row>
    <row r="148" spans="1:6" ht="24.75" thickBot="1">
      <c r="A148" s="776" t="s">
        <v>56</v>
      </c>
      <c r="B148" s="770" t="s">
        <v>875</v>
      </c>
      <c r="C148" s="988"/>
      <c r="D148" s="988"/>
      <c r="E148" s="988"/>
      <c r="F148" s="976">
        <v>0.05</v>
      </c>
    </row>
    <row r="149" spans="1:6" ht="24.75" thickBot="1">
      <c r="A149" s="776" t="s">
        <v>56</v>
      </c>
      <c r="B149" s="770" t="s">
        <v>876</v>
      </c>
      <c r="C149" s="988"/>
      <c r="D149" s="988"/>
      <c r="E149" s="988"/>
      <c r="F149" s="976">
        <v>0.05</v>
      </c>
    </row>
    <row r="150" spans="1:6" ht="24.75" thickBot="1">
      <c r="A150" s="776" t="s">
        <v>56</v>
      </c>
      <c r="B150" s="770" t="s">
        <v>877</v>
      </c>
      <c r="C150" s="988"/>
      <c r="D150" s="988"/>
      <c r="E150" s="988"/>
      <c r="F150" s="976">
        <v>0.05</v>
      </c>
    </row>
    <row r="151" spans="1:6" ht="24.75" thickBot="1">
      <c r="A151" s="776" t="s">
        <v>56</v>
      </c>
      <c r="B151" s="770" t="s">
        <v>878</v>
      </c>
      <c r="C151" s="988"/>
      <c r="D151" s="988"/>
      <c r="E151" s="988"/>
      <c r="F151" s="976">
        <v>0.05</v>
      </c>
    </row>
    <row r="152" spans="1:6" ht="24.75" thickBot="1">
      <c r="A152" s="776" t="s">
        <v>56</v>
      </c>
      <c r="B152" s="770" t="s">
        <v>507</v>
      </c>
      <c r="C152" s="988"/>
      <c r="D152" s="988"/>
      <c r="E152" s="988"/>
      <c r="F152" s="976">
        <v>0.05</v>
      </c>
    </row>
    <row r="153" spans="1:6" ht="14.25" thickBot="1">
      <c r="A153" s="776" t="s">
        <v>56</v>
      </c>
      <c r="B153" s="770" t="s">
        <v>879</v>
      </c>
      <c r="C153" s="988"/>
      <c r="D153" s="988"/>
      <c r="E153" s="988"/>
      <c r="F153" s="976">
        <v>0.05</v>
      </c>
    </row>
    <row r="154" spans="1:6" ht="14.25" thickBot="1">
      <c r="A154" s="776" t="s">
        <v>56</v>
      </c>
      <c r="B154" s="770" t="s">
        <v>880</v>
      </c>
      <c r="C154" s="988"/>
      <c r="D154" s="988"/>
      <c r="E154" s="988"/>
      <c r="F154" s="976">
        <v>0.05</v>
      </c>
    </row>
    <row r="155" spans="1:6" ht="24.75" thickBot="1">
      <c r="A155" s="776" t="s">
        <v>56</v>
      </c>
      <c r="B155" s="770" t="s">
        <v>881</v>
      </c>
      <c r="C155" s="988"/>
      <c r="D155" s="988"/>
      <c r="E155" s="988"/>
      <c r="F155" s="976">
        <v>0.05</v>
      </c>
    </row>
    <row r="156" spans="1:6" ht="24.75" thickBot="1">
      <c r="A156" s="776" t="s">
        <v>56</v>
      </c>
      <c r="B156" s="770" t="s">
        <v>882</v>
      </c>
      <c r="C156" s="988"/>
      <c r="D156" s="988"/>
      <c r="E156" s="988"/>
      <c r="F156" s="976">
        <v>0.05</v>
      </c>
    </row>
    <row r="157" spans="1:6" ht="14.25" thickBot="1">
      <c r="A157" s="786" t="s">
        <v>56</v>
      </c>
      <c r="B157" s="782" t="s">
        <v>883</v>
      </c>
      <c r="C157" s="985"/>
      <c r="D157" s="985"/>
      <c r="E157" s="985"/>
      <c r="F157" s="978">
        <v>0.05</v>
      </c>
    </row>
    <row r="158" spans="1:6" ht="14.25" thickBot="1">
      <c r="A158" s="776" t="s">
        <v>526</v>
      </c>
      <c r="B158" s="777" t="s">
        <v>884</v>
      </c>
      <c r="C158" s="973">
        <v>0.13</v>
      </c>
      <c r="D158" s="973">
        <v>0.13</v>
      </c>
      <c r="E158" s="973">
        <v>0.13</v>
      </c>
      <c r="F158" s="974">
        <v>0.13</v>
      </c>
    </row>
    <row r="159" spans="1:6" ht="14.25" thickBot="1">
      <c r="A159" s="776" t="s">
        <v>526</v>
      </c>
      <c r="B159" s="770" t="s">
        <v>193</v>
      </c>
      <c r="C159" s="975">
        <v>0.13</v>
      </c>
      <c r="D159" s="975">
        <v>0.13</v>
      </c>
      <c r="E159" s="975">
        <v>0.13</v>
      </c>
      <c r="F159" s="976">
        <v>0.13</v>
      </c>
    </row>
    <row r="160" spans="1:6" ht="14.25" thickBot="1">
      <c r="A160" s="776" t="s">
        <v>526</v>
      </c>
      <c r="B160" s="770" t="s">
        <v>206</v>
      </c>
      <c r="C160" s="975">
        <v>0.13</v>
      </c>
      <c r="D160" s="975">
        <v>0.13</v>
      </c>
      <c r="E160" s="975">
        <v>0.129</v>
      </c>
      <c r="F160" s="976">
        <v>0.13</v>
      </c>
    </row>
    <row r="161" spans="1:6" ht="14.25" thickBot="1">
      <c r="A161" s="776" t="s">
        <v>526</v>
      </c>
      <c r="B161" s="770" t="s">
        <v>219</v>
      </c>
      <c r="C161" s="975">
        <v>0.128</v>
      </c>
      <c r="D161" s="975">
        <v>0.128</v>
      </c>
      <c r="E161" s="975">
        <v>0.125</v>
      </c>
      <c r="F161" s="976">
        <v>0.13</v>
      </c>
    </row>
    <row r="162" spans="1:6" ht="14.25" thickBot="1">
      <c r="A162" s="776" t="s">
        <v>526</v>
      </c>
      <c r="B162" s="770" t="s">
        <v>231</v>
      </c>
      <c r="C162" s="975">
        <v>0.122</v>
      </c>
      <c r="D162" s="975">
        <v>0.122</v>
      </c>
      <c r="E162" s="975">
        <v>0.126</v>
      </c>
      <c r="F162" s="976">
        <v>0.122</v>
      </c>
    </row>
    <row r="163" spans="1:6" ht="14.25" thickBot="1">
      <c r="A163" s="776" t="s">
        <v>526</v>
      </c>
      <c r="B163" s="770" t="s">
        <v>242</v>
      </c>
      <c r="C163" s="975">
        <v>0.13</v>
      </c>
      <c r="D163" s="975">
        <v>0.13</v>
      </c>
      <c r="E163" s="975">
        <v>0.125</v>
      </c>
      <c r="F163" s="976">
        <v>0.13</v>
      </c>
    </row>
    <row r="164" spans="1:6" ht="14.25" thickBot="1">
      <c r="A164" s="776" t="s">
        <v>526</v>
      </c>
      <c r="B164" s="770" t="s">
        <v>253</v>
      </c>
      <c r="C164" s="975">
        <v>0.13</v>
      </c>
      <c r="D164" s="975">
        <v>0.13</v>
      </c>
      <c r="E164" s="975">
        <v>0.13</v>
      </c>
      <c r="F164" s="976">
        <v>0.13</v>
      </c>
    </row>
    <row r="165" spans="1:6" ht="14.25" thickBot="1">
      <c r="A165" s="776" t="s">
        <v>526</v>
      </c>
      <c r="B165" s="770" t="s">
        <v>264</v>
      </c>
      <c r="C165" s="975">
        <v>0.13</v>
      </c>
      <c r="D165" s="975">
        <v>0.13</v>
      </c>
      <c r="E165" s="975">
        <v>0.124</v>
      </c>
      <c r="F165" s="976">
        <v>0.13</v>
      </c>
    </row>
    <row r="166" spans="1:6" ht="14.25" thickBot="1">
      <c r="A166" s="776" t="s">
        <v>526</v>
      </c>
      <c r="B166" s="770" t="s">
        <v>276</v>
      </c>
      <c r="C166" s="975">
        <v>0.13</v>
      </c>
      <c r="D166" s="975">
        <v>0.13</v>
      </c>
      <c r="E166" s="975">
        <v>0.13</v>
      </c>
      <c r="F166" s="976">
        <v>0.13</v>
      </c>
    </row>
    <row r="167" spans="1:6" ht="14.25" thickBot="1">
      <c r="A167" s="776" t="s">
        <v>526</v>
      </c>
      <c r="B167" s="770" t="s">
        <v>286</v>
      </c>
      <c r="C167" s="975">
        <v>0.125</v>
      </c>
      <c r="D167" s="975">
        <v>0.125</v>
      </c>
      <c r="E167" s="975">
        <v>0.121</v>
      </c>
      <c r="F167" s="987"/>
    </row>
    <row r="168" spans="1:6" ht="14.25" thickBot="1">
      <c r="A168" s="776" t="s">
        <v>526</v>
      </c>
      <c r="B168" s="770" t="s">
        <v>296</v>
      </c>
      <c r="C168" s="975">
        <v>0.13</v>
      </c>
      <c r="D168" s="975">
        <v>0.13</v>
      </c>
      <c r="E168" s="975">
        <v>0.126</v>
      </c>
      <c r="F168" s="987"/>
    </row>
    <row r="169" spans="1:6" ht="14.25" thickBot="1">
      <c r="A169" s="776" t="s">
        <v>526</v>
      </c>
      <c r="B169" s="770" t="s">
        <v>306</v>
      </c>
      <c r="C169" s="975">
        <v>0.128</v>
      </c>
      <c r="D169" s="975">
        <v>0.129</v>
      </c>
      <c r="E169" s="975">
        <v>0.13</v>
      </c>
      <c r="F169" s="987"/>
    </row>
    <row r="170" spans="1:6" ht="14.25" thickBot="1">
      <c r="A170" s="776" t="s">
        <v>526</v>
      </c>
      <c r="B170" s="770" t="s">
        <v>316</v>
      </c>
      <c r="C170" s="975">
        <v>0.14099999999999999</v>
      </c>
      <c r="D170" s="975">
        <v>0.13</v>
      </c>
      <c r="E170" s="975">
        <v>0.125</v>
      </c>
      <c r="F170" s="987"/>
    </row>
    <row r="171" spans="1:6" ht="14.25" thickBot="1">
      <c r="A171" s="776" t="s">
        <v>526</v>
      </c>
      <c r="B171" s="770" t="s">
        <v>885</v>
      </c>
      <c r="C171" s="975">
        <v>0.127</v>
      </c>
      <c r="D171" s="975">
        <v>0.126</v>
      </c>
      <c r="E171" s="975">
        <v>0.126</v>
      </c>
      <c r="F171" s="976">
        <v>0.11799999999999999</v>
      </c>
    </row>
    <row r="172" spans="1:6" ht="14.25" thickBot="1">
      <c r="A172" s="776" t="s">
        <v>526</v>
      </c>
      <c r="B172" s="770" t="s">
        <v>886</v>
      </c>
      <c r="C172" s="975">
        <v>0.13</v>
      </c>
      <c r="D172" s="975">
        <v>0.13</v>
      </c>
      <c r="E172" s="975">
        <v>0.13</v>
      </c>
      <c r="F172" s="987"/>
    </row>
    <row r="173" spans="1:6" ht="14.25" thickBot="1">
      <c r="A173" s="776" t="s">
        <v>526</v>
      </c>
      <c r="B173" s="770" t="s">
        <v>348</v>
      </c>
      <c r="C173" s="975">
        <v>0.13</v>
      </c>
      <c r="D173" s="975">
        <v>0.13</v>
      </c>
      <c r="E173" s="975">
        <v>0.13</v>
      </c>
      <c r="F173" s="987"/>
    </row>
    <row r="174" spans="1:6" ht="14.25" thickBot="1">
      <c r="A174" s="776" t="s">
        <v>526</v>
      </c>
      <c r="B174" s="770" t="s">
        <v>887</v>
      </c>
      <c r="C174" s="975">
        <v>0.13</v>
      </c>
      <c r="D174" s="975">
        <v>0.13</v>
      </c>
      <c r="E174" s="975">
        <v>0.13</v>
      </c>
      <c r="F174" s="976">
        <v>0.13</v>
      </c>
    </row>
    <row r="175" spans="1:6" ht="14.25" thickBot="1">
      <c r="A175" s="776" t="s">
        <v>526</v>
      </c>
      <c r="B175" s="770" t="s">
        <v>888</v>
      </c>
      <c r="C175" s="975">
        <v>0.13</v>
      </c>
      <c r="D175" s="975">
        <v>0.13</v>
      </c>
      <c r="E175" s="975">
        <v>0.13</v>
      </c>
      <c r="F175" s="976">
        <v>0.13</v>
      </c>
    </row>
    <row r="176" spans="1:6" ht="14.25" thickBot="1">
      <c r="A176" s="776" t="s">
        <v>526</v>
      </c>
      <c r="B176" s="770" t="s">
        <v>378</v>
      </c>
      <c r="C176" s="975">
        <v>0.13</v>
      </c>
      <c r="D176" s="975">
        <v>0.13</v>
      </c>
      <c r="E176" s="975">
        <v>0.13</v>
      </c>
      <c r="F176" s="976">
        <v>0.13</v>
      </c>
    </row>
    <row r="177" spans="1:6" ht="14.25" thickBot="1">
      <c r="A177" s="776" t="s">
        <v>526</v>
      </c>
      <c r="B177" s="770" t="s">
        <v>889</v>
      </c>
      <c r="C177" s="975">
        <v>0.13</v>
      </c>
      <c r="D177" s="975">
        <v>0.13</v>
      </c>
      <c r="E177" s="975">
        <v>0.13</v>
      </c>
      <c r="F177" s="976">
        <v>0.13</v>
      </c>
    </row>
    <row r="178" spans="1:6" ht="14.25" thickBot="1">
      <c r="A178" s="776" t="s">
        <v>526</v>
      </c>
      <c r="B178" s="770" t="s">
        <v>396</v>
      </c>
      <c r="C178" s="975">
        <v>0.13</v>
      </c>
      <c r="D178" s="975">
        <v>0.13</v>
      </c>
      <c r="E178" s="975">
        <v>0.13</v>
      </c>
      <c r="F178" s="976">
        <v>0.127</v>
      </c>
    </row>
    <row r="179" spans="1:6" ht="14.25" thickBot="1">
      <c r="A179" s="776" t="s">
        <v>526</v>
      </c>
      <c r="B179" s="770" t="s">
        <v>404</v>
      </c>
      <c r="C179" s="975">
        <v>0.13</v>
      </c>
      <c r="D179" s="975">
        <v>0.13</v>
      </c>
      <c r="E179" s="975">
        <v>0.13</v>
      </c>
      <c r="F179" s="987"/>
    </row>
    <row r="180" spans="1:6" ht="14.25" thickBot="1">
      <c r="A180" s="776" t="s">
        <v>526</v>
      </c>
      <c r="B180" s="770" t="s">
        <v>890</v>
      </c>
      <c r="C180" s="975">
        <v>0.13</v>
      </c>
      <c r="D180" s="975">
        <v>0.13</v>
      </c>
      <c r="E180" s="975">
        <v>0.125</v>
      </c>
      <c r="F180" s="976">
        <v>0.13</v>
      </c>
    </row>
    <row r="181" spans="1:6" ht="14.25" thickBot="1">
      <c r="A181" s="776" t="s">
        <v>526</v>
      </c>
      <c r="B181" s="770" t="s">
        <v>418</v>
      </c>
      <c r="C181" s="975">
        <v>0.122</v>
      </c>
      <c r="D181" s="975">
        <v>0.123</v>
      </c>
      <c r="E181" s="975">
        <v>0.126</v>
      </c>
      <c r="F181" s="976">
        <v>0.121</v>
      </c>
    </row>
    <row r="182" spans="1:6" ht="14.25" thickBot="1">
      <c r="A182" s="776" t="s">
        <v>526</v>
      </c>
      <c r="B182" s="770" t="s">
        <v>425</v>
      </c>
      <c r="C182" s="975">
        <v>0.125</v>
      </c>
      <c r="D182" s="975">
        <v>0.125</v>
      </c>
      <c r="E182" s="975">
        <v>0.11700000000000001</v>
      </c>
      <c r="F182" s="976">
        <v>0.13</v>
      </c>
    </row>
    <row r="183" spans="1:6" ht="14.25" thickBot="1">
      <c r="A183" s="776" t="s">
        <v>526</v>
      </c>
      <c r="B183" s="770" t="s">
        <v>432</v>
      </c>
      <c r="C183" s="975">
        <v>0.127</v>
      </c>
      <c r="D183" s="975">
        <v>0.127</v>
      </c>
      <c r="E183" s="975">
        <v>0.128</v>
      </c>
      <c r="F183" s="987"/>
    </row>
    <row r="184" spans="1:6" ht="14.25" thickBot="1">
      <c r="A184" s="776" t="s">
        <v>526</v>
      </c>
      <c r="B184" s="770" t="s">
        <v>439</v>
      </c>
      <c r="C184" s="975">
        <v>0.125</v>
      </c>
      <c r="D184" s="975">
        <v>0.125</v>
      </c>
      <c r="E184" s="975">
        <v>0.127</v>
      </c>
      <c r="F184" s="987"/>
    </row>
    <row r="185" spans="1:6" ht="14.25" thickBot="1">
      <c r="A185" s="776" t="s">
        <v>526</v>
      </c>
      <c r="B185" s="770" t="s">
        <v>891</v>
      </c>
      <c r="C185" s="975">
        <v>0.127</v>
      </c>
      <c r="D185" s="975">
        <v>0.127</v>
      </c>
      <c r="E185" s="975">
        <v>0.128</v>
      </c>
      <c r="F185" s="976">
        <v>0.13</v>
      </c>
    </row>
    <row r="186" spans="1:6" ht="24.75" thickBot="1">
      <c r="A186" s="776" t="s">
        <v>526</v>
      </c>
      <c r="B186" s="770" t="s">
        <v>892</v>
      </c>
      <c r="C186" s="988"/>
      <c r="D186" s="988"/>
      <c r="E186" s="988"/>
      <c r="F186" s="976">
        <v>0.05</v>
      </c>
    </row>
    <row r="187" spans="1:6" ht="14.25" thickBot="1">
      <c r="A187" s="776" t="s">
        <v>526</v>
      </c>
      <c r="B187" s="770" t="s">
        <v>893</v>
      </c>
      <c r="C187" s="988"/>
      <c r="D187" s="988"/>
      <c r="E187" s="988"/>
      <c r="F187" s="976">
        <v>0.05</v>
      </c>
    </row>
    <row r="188" spans="1:6" ht="14.25" thickBot="1">
      <c r="A188" s="776" t="s">
        <v>526</v>
      </c>
      <c r="B188" s="770" t="s">
        <v>894</v>
      </c>
      <c r="C188" s="988"/>
      <c r="D188" s="988"/>
      <c r="E188" s="988"/>
      <c r="F188" s="976">
        <v>0.05</v>
      </c>
    </row>
    <row r="189" spans="1:6" ht="24.75" thickBot="1">
      <c r="A189" s="776" t="s">
        <v>526</v>
      </c>
      <c r="B189" s="770" t="s">
        <v>895</v>
      </c>
      <c r="C189" s="988"/>
      <c r="D189" s="988"/>
      <c r="E189" s="988"/>
      <c r="F189" s="976">
        <v>0.05</v>
      </c>
    </row>
    <row r="190" spans="1:6" ht="24.75" thickBot="1">
      <c r="A190" s="776" t="s">
        <v>526</v>
      </c>
      <c r="B190" s="770" t="s">
        <v>896</v>
      </c>
      <c r="C190" s="988"/>
      <c r="D190" s="988"/>
      <c r="E190" s="988"/>
      <c r="F190" s="976">
        <v>0.05</v>
      </c>
    </row>
    <row r="191" spans="1:6" ht="24.75" thickBot="1">
      <c r="A191" s="776" t="s">
        <v>526</v>
      </c>
      <c r="B191" s="770" t="s">
        <v>897</v>
      </c>
      <c r="C191" s="988"/>
      <c r="D191" s="988"/>
      <c r="E191" s="988"/>
      <c r="F191" s="976">
        <v>0.05</v>
      </c>
    </row>
    <row r="192" spans="1:6" ht="24.75" thickBot="1">
      <c r="A192" s="776" t="s">
        <v>526</v>
      </c>
      <c r="B192" s="770" t="s">
        <v>898</v>
      </c>
      <c r="C192" s="988"/>
      <c r="D192" s="988"/>
      <c r="E192" s="988"/>
      <c r="F192" s="976">
        <v>0.05</v>
      </c>
    </row>
    <row r="193" spans="1:6" ht="24.75" thickBot="1">
      <c r="A193" s="776" t="s">
        <v>526</v>
      </c>
      <c r="B193" s="770" t="s">
        <v>899</v>
      </c>
      <c r="C193" s="988"/>
      <c r="D193" s="988"/>
      <c r="E193" s="988"/>
      <c r="F193" s="976">
        <v>0.05</v>
      </c>
    </row>
    <row r="194" spans="1:6" ht="24.75" thickBot="1">
      <c r="A194" s="776" t="s">
        <v>526</v>
      </c>
      <c r="B194" s="770" t="s">
        <v>900</v>
      </c>
      <c r="C194" s="988"/>
      <c r="D194" s="988"/>
      <c r="E194" s="988"/>
      <c r="F194" s="976">
        <v>0.05</v>
      </c>
    </row>
    <row r="195" spans="1:6" ht="14.25" thickBot="1">
      <c r="A195" s="776" t="s">
        <v>526</v>
      </c>
      <c r="B195" s="770" t="s">
        <v>901</v>
      </c>
      <c r="C195" s="988"/>
      <c r="D195" s="988"/>
      <c r="E195" s="988"/>
      <c r="F195" s="976">
        <v>0.05</v>
      </c>
    </row>
    <row r="196" spans="1:6" ht="24.75" thickBot="1">
      <c r="A196" s="776" t="s">
        <v>526</v>
      </c>
      <c r="B196" s="770" t="s">
        <v>902</v>
      </c>
      <c r="C196" s="988"/>
      <c r="D196" s="988"/>
      <c r="E196" s="988"/>
      <c r="F196" s="976">
        <v>0.05</v>
      </c>
    </row>
    <row r="197" spans="1:6" ht="24.75" thickBot="1">
      <c r="A197" s="776" t="s">
        <v>526</v>
      </c>
      <c r="B197" s="770" t="s">
        <v>903</v>
      </c>
      <c r="C197" s="988"/>
      <c r="D197" s="988"/>
      <c r="E197" s="988"/>
      <c r="F197" s="976">
        <v>0.05</v>
      </c>
    </row>
    <row r="198" spans="1:6" ht="24.75" thickBot="1">
      <c r="A198" s="776" t="s">
        <v>526</v>
      </c>
      <c r="B198" s="770" t="s">
        <v>904</v>
      </c>
      <c r="C198" s="988"/>
      <c r="D198" s="988"/>
      <c r="E198" s="988"/>
      <c r="F198" s="976">
        <v>0.05</v>
      </c>
    </row>
    <row r="199" spans="1:6" ht="24.75" thickBot="1">
      <c r="A199" s="776" t="s">
        <v>526</v>
      </c>
      <c r="B199" s="770" t="s">
        <v>905</v>
      </c>
      <c r="C199" s="988"/>
      <c r="D199" s="988"/>
      <c r="E199" s="988"/>
      <c r="F199" s="976">
        <v>0.05</v>
      </c>
    </row>
    <row r="200" spans="1:6" ht="24.75" thickBot="1">
      <c r="A200" s="776" t="s">
        <v>526</v>
      </c>
      <c r="B200" s="770" t="s">
        <v>906</v>
      </c>
      <c r="C200" s="988"/>
      <c r="D200" s="988"/>
      <c r="E200" s="988"/>
      <c r="F200" s="976">
        <v>0.05</v>
      </c>
    </row>
    <row r="201" spans="1:6" ht="24.75" thickBot="1">
      <c r="A201" s="776" t="s">
        <v>526</v>
      </c>
      <c r="B201" s="770" t="s">
        <v>907</v>
      </c>
      <c r="C201" s="988"/>
      <c r="D201" s="988"/>
      <c r="E201" s="988"/>
      <c r="F201" s="976">
        <v>0.05</v>
      </c>
    </row>
    <row r="202" spans="1:6" ht="24.75" thickBot="1">
      <c r="A202" s="776" t="s">
        <v>526</v>
      </c>
      <c r="B202" s="770" t="s">
        <v>908</v>
      </c>
      <c r="C202" s="988"/>
      <c r="D202" s="988"/>
      <c r="E202" s="988"/>
      <c r="F202" s="976">
        <v>0.05</v>
      </c>
    </row>
    <row r="203" spans="1:6" ht="24.75" thickBot="1">
      <c r="A203" s="776" t="s">
        <v>526</v>
      </c>
      <c r="B203" s="770" t="s">
        <v>909</v>
      </c>
      <c r="C203" s="988"/>
      <c r="D203" s="988"/>
      <c r="E203" s="988"/>
      <c r="F203" s="976">
        <v>0.05</v>
      </c>
    </row>
    <row r="204" spans="1:6" ht="14.25" thickBot="1">
      <c r="A204" s="776" t="s">
        <v>526</v>
      </c>
      <c r="B204" s="770" t="s">
        <v>910</v>
      </c>
      <c r="C204" s="988"/>
      <c r="D204" s="988"/>
      <c r="E204" s="988"/>
      <c r="F204" s="976">
        <v>0.05</v>
      </c>
    </row>
    <row r="205" spans="1:6" ht="14.25" thickBot="1">
      <c r="A205" s="786" t="s">
        <v>526</v>
      </c>
      <c r="B205" s="782" t="s">
        <v>911</v>
      </c>
      <c r="C205" s="985"/>
      <c r="D205" s="985"/>
      <c r="E205" s="985"/>
      <c r="F205" s="978">
        <v>0.05</v>
      </c>
    </row>
    <row r="206" spans="1:6" ht="14.25" thickBot="1">
      <c r="A206" s="776" t="s">
        <v>528</v>
      </c>
      <c r="B206" s="777" t="s">
        <v>912</v>
      </c>
      <c r="C206" s="973">
        <v>0.15</v>
      </c>
      <c r="D206" s="973">
        <v>0.15</v>
      </c>
      <c r="E206" s="973">
        <v>0.15</v>
      </c>
      <c r="F206" s="974">
        <v>0.15</v>
      </c>
    </row>
    <row r="207" spans="1:6" ht="14.25" thickBot="1">
      <c r="A207" s="776" t="s">
        <v>528</v>
      </c>
      <c r="B207" s="770" t="s">
        <v>194</v>
      </c>
      <c r="C207" s="975">
        <v>0.15</v>
      </c>
      <c r="D207" s="975">
        <v>0.15</v>
      </c>
      <c r="E207" s="975">
        <v>0.15</v>
      </c>
      <c r="F207" s="976">
        <v>0.14399999999999999</v>
      </c>
    </row>
    <row r="208" spans="1:6" ht="14.25" thickBot="1">
      <c r="A208" s="776" t="s">
        <v>528</v>
      </c>
      <c r="B208" s="770" t="s">
        <v>207</v>
      </c>
      <c r="C208" s="975">
        <v>0.15</v>
      </c>
      <c r="D208" s="975">
        <v>0.15</v>
      </c>
      <c r="E208" s="975">
        <v>0.15</v>
      </c>
      <c r="F208" s="976">
        <v>0.15</v>
      </c>
    </row>
    <row r="209" spans="1:6" ht="14.25" thickBot="1">
      <c r="A209" s="776" t="s">
        <v>528</v>
      </c>
      <c r="B209" s="770" t="s">
        <v>220</v>
      </c>
      <c r="C209" s="975">
        <v>0.13700000000000001</v>
      </c>
      <c r="D209" s="975">
        <v>0.13700000000000001</v>
      </c>
      <c r="E209" s="975">
        <v>0.14000000000000001</v>
      </c>
      <c r="F209" s="976">
        <v>0.11700000000000001</v>
      </c>
    </row>
    <row r="210" spans="1:6" ht="14.25" thickBot="1">
      <c r="A210" s="776" t="s">
        <v>528</v>
      </c>
      <c r="B210" s="770" t="s">
        <v>913</v>
      </c>
      <c r="C210" s="975">
        <v>0.15</v>
      </c>
      <c r="D210" s="975">
        <v>0.15</v>
      </c>
      <c r="E210" s="975">
        <v>0.15</v>
      </c>
      <c r="F210" s="976">
        <v>0.13800000000000001</v>
      </c>
    </row>
    <row r="211" spans="1:6" ht="14.25" thickBot="1">
      <c r="A211" s="776" t="s">
        <v>528</v>
      </c>
      <c r="B211" s="770" t="s">
        <v>914</v>
      </c>
      <c r="C211" s="975">
        <v>0.13700000000000001</v>
      </c>
      <c r="D211" s="975">
        <v>0.13500000000000001</v>
      </c>
      <c r="E211" s="975">
        <v>0.13600000000000001</v>
      </c>
      <c r="F211" s="976">
        <v>0.1</v>
      </c>
    </row>
    <row r="212" spans="1:6" ht="14.25" thickBot="1">
      <c r="A212" s="776" t="s">
        <v>528</v>
      </c>
      <c r="B212" s="770" t="s">
        <v>915</v>
      </c>
      <c r="C212" s="975">
        <v>0.15</v>
      </c>
      <c r="D212" s="975">
        <v>0.15</v>
      </c>
      <c r="E212" s="975">
        <v>0.14799999999999999</v>
      </c>
      <c r="F212" s="976">
        <v>0.13600000000000001</v>
      </c>
    </row>
    <row r="213" spans="1:6" ht="14.25" thickBot="1">
      <c r="A213" s="776" t="s">
        <v>528</v>
      </c>
      <c r="B213" s="770" t="s">
        <v>265</v>
      </c>
      <c r="C213" s="975">
        <v>0.15</v>
      </c>
      <c r="D213" s="975">
        <v>0.15</v>
      </c>
      <c r="E213" s="975">
        <v>0.15</v>
      </c>
      <c r="F213" s="976">
        <v>0.13800000000000001</v>
      </c>
    </row>
    <row r="214" spans="1:6" ht="14.25" thickBot="1">
      <c r="A214" s="776" t="s">
        <v>528</v>
      </c>
      <c r="B214" s="770" t="s">
        <v>277</v>
      </c>
      <c r="C214" s="975">
        <v>9.0999999999999998E-2</v>
      </c>
      <c r="D214" s="975">
        <v>0.09</v>
      </c>
      <c r="E214" s="975">
        <v>9.1999999999999998E-2</v>
      </c>
      <c r="F214" s="987"/>
    </row>
    <row r="215" spans="1:6" ht="14.25" thickBot="1">
      <c r="A215" s="776" t="s">
        <v>528</v>
      </c>
      <c r="B215" s="770" t="s">
        <v>916</v>
      </c>
      <c r="C215" s="975">
        <v>0.15</v>
      </c>
      <c r="D215" s="975">
        <v>0.15</v>
      </c>
      <c r="E215" s="975">
        <v>0.15</v>
      </c>
      <c r="F215" s="976">
        <v>0.15</v>
      </c>
    </row>
    <row r="216" spans="1:6" ht="14.25" thickBot="1">
      <c r="A216" s="776" t="s">
        <v>528</v>
      </c>
      <c r="B216" s="770" t="s">
        <v>297</v>
      </c>
      <c r="C216" s="975">
        <v>0.14699999999999999</v>
      </c>
      <c r="D216" s="975">
        <v>0.14699999999999999</v>
      </c>
      <c r="E216" s="975">
        <v>0.15</v>
      </c>
      <c r="F216" s="976">
        <v>0.14000000000000001</v>
      </c>
    </row>
    <row r="217" spans="1:6" ht="14.25" thickBot="1">
      <c r="A217" s="776" t="s">
        <v>528</v>
      </c>
      <c r="B217" s="770" t="s">
        <v>307</v>
      </c>
      <c r="C217" s="975">
        <v>0.15</v>
      </c>
      <c r="D217" s="975">
        <v>0.15</v>
      </c>
      <c r="E217" s="975">
        <v>0.15</v>
      </c>
      <c r="F217" s="976">
        <v>0.15</v>
      </c>
    </row>
    <row r="218" spans="1:6" ht="14.25" thickBot="1">
      <c r="A218" s="776" t="s">
        <v>528</v>
      </c>
      <c r="B218" s="770" t="s">
        <v>917</v>
      </c>
      <c r="C218" s="975">
        <v>0.15</v>
      </c>
      <c r="D218" s="975">
        <v>0.15</v>
      </c>
      <c r="E218" s="975">
        <v>0.15</v>
      </c>
      <c r="F218" s="976">
        <v>0.15</v>
      </c>
    </row>
    <row r="219" spans="1:6" ht="14.25" thickBot="1">
      <c r="A219" s="776" t="s">
        <v>528</v>
      </c>
      <c r="B219" s="770" t="s">
        <v>328</v>
      </c>
      <c r="C219" s="975">
        <v>0.15</v>
      </c>
      <c r="D219" s="975">
        <v>0.15</v>
      </c>
      <c r="E219" s="975">
        <v>0.15</v>
      </c>
      <c r="F219" s="976">
        <v>0.14799999999999999</v>
      </c>
    </row>
    <row r="220" spans="1:6" ht="14.25" thickBot="1">
      <c r="A220" s="776" t="s">
        <v>528</v>
      </c>
      <c r="B220" s="770" t="s">
        <v>918</v>
      </c>
      <c r="C220" s="975">
        <v>0.15</v>
      </c>
      <c r="D220" s="975">
        <v>0.15</v>
      </c>
      <c r="E220" s="975">
        <v>0.15</v>
      </c>
      <c r="F220" s="976">
        <v>0.15</v>
      </c>
    </row>
    <row r="221" spans="1:6" ht="14.25" thickBot="1">
      <c r="A221" s="776" t="s">
        <v>528</v>
      </c>
      <c r="B221" s="770" t="s">
        <v>349</v>
      </c>
      <c r="C221" s="975"/>
      <c r="D221" s="988"/>
      <c r="E221" s="988"/>
      <c r="F221" s="976">
        <v>0.14799999999999999</v>
      </c>
    </row>
    <row r="222" spans="1:6" ht="14.25" thickBot="1">
      <c r="A222" s="776" t="s">
        <v>528</v>
      </c>
      <c r="B222" s="770" t="s">
        <v>359</v>
      </c>
      <c r="C222" s="975"/>
      <c r="D222" s="988"/>
      <c r="E222" s="988"/>
      <c r="F222" s="976">
        <v>0.1</v>
      </c>
    </row>
    <row r="223" spans="1:6" ht="14.25" thickBot="1">
      <c r="A223" s="776" t="s">
        <v>528</v>
      </c>
      <c r="B223" s="770" t="s">
        <v>369</v>
      </c>
      <c r="C223" s="975"/>
      <c r="D223" s="988"/>
      <c r="E223" s="988"/>
      <c r="F223" s="976">
        <v>0.15</v>
      </c>
    </row>
    <row r="224" spans="1:6" ht="14.25" thickBot="1">
      <c r="A224" s="776" t="s">
        <v>528</v>
      </c>
      <c r="B224" s="770" t="s">
        <v>379</v>
      </c>
      <c r="C224" s="975"/>
      <c r="D224" s="988"/>
      <c r="E224" s="988"/>
      <c r="F224" s="976">
        <v>0.15</v>
      </c>
    </row>
    <row r="225" spans="1:6" ht="14.25" thickBot="1">
      <c r="A225" s="776" t="s">
        <v>528</v>
      </c>
      <c r="B225" s="770" t="s">
        <v>919</v>
      </c>
      <c r="C225" s="975">
        <v>0.15</v>
      </c>
      <c r="D225" s="975">
        <v>0.15</v>
      </c>
      <c r="E225" s="975">
        <v>0.15</v>
      </c>
      <c r="F225" s="976">
        <v>0.15</v>
      </c>
    </row>
    <row r="226" spans="1:6" ht="14.25" thickBot="1">
      <c r="A226" s="776" t="s">
        <v>528</v>
      </c>
      <c r="B226" s="770" t="s">
        <v>397</v>
      </c>
      <c r="C226" s="975">
        <v>0.15</v>
      </c>
      <c r="D226" s="975">
        <v>0.15</v>
      </c>
      <c r="E226" s="975">
        <v>0.15</v>
      </c>
      <c r="F226" s="976">
        <v>0.14799999999999999</v>
      </c>
    </row>
    <row r="227" spans="1:6" ht="14.25" thickBot="1">
      <c r="A227" s="776" t="s">
        <v>528</v>
      </c>
      <c r="B227" s="770" t="s">
        <v>920</v>
      </c>
      <c r="C227" s="975">
        <v>0.15</v>
      </c>
      <c r="D227" s="975">
        <v>0.15</v>
      </c>
      <c r="E227" s="975">
        <v>0.15</v>
      </c>
      <c r="F227" s="976">
        <v>0.15</v>
      </c>
    </row>
    <row r="228" spans="1:6" ht="14.25" thickBot="1">
      <c r="A228" s="776" t="s">
        <v>528</v>
      </c>
      <c r="B228" s="770" t="s">
        <v>412</v>
      </c>
      <c r="C228" s="975">
        <v>0.15</v>
      </c>
      <c r="D228" s="975">
        <v>0.15</v>
      </c>
      <c r="E228" s="975">
        <v>0.15</v>
      </c>
      <c r="F228" s="976">
        <v>0.15</v>
      </c>
    </row>
    <row r="229" spans="1:6" ht="14.25" thickBot="1">
      <c r="A229" s="776" t="s">
        <v>528</v>
      </c>
      <c r="B229" s="770" t="s">
        <v>419</v>
      </c>
      <c r="C229" s="975">
        <v>0.15</v>
      </c>
      <c r="D229" s="975">
        <v>0.15</v>
      </c>
      <c r="E229" s="975">
        <v>0.15</v>
      </c>
      <c r="F229" s="987"/>
    </row>
    <row r="230" spans="1:6" ht="14.25" thickBot="1">
      <c r="A230" s="776" t="s">
        <v>528</v>
      </c>
      <c r="B230" s="770" t="s">
        <v>426</v>
      </c>
      <c r="C230" s="975">
        <v>0.14499999999999999</v>
      </c>
      <c r="D230" s="975">
        <v>0.14499999999999999</v>
      </c>
      <c r="E230" s="975">
        <v>0.14399999999999999</v>
      </c>
      <c r="F230" s="987"/>
    </row>
    <row r="231" spans="1:6" ht="14.25" thickBot="1">
      <c r="A231" s="776" t="s">
        <v>528</v>
      </c>
      <c r="B231" s="770" t="s">
        <v>921</v>
      </c>
      <c r="C231" s="975">
        <v>0.128</v>
      </c>
      <c r="D231" s="975">
        <v>0.125</v>
      </c>
      <c r="E231" s="975">
        <v>0.13200000000000001</v>
      </c>
      <c r="F231" s="987"/>
    </row>
    <row r="232" spans="1:6" ht="14.25" thickBot="1">
      <c r="A232" s="776" t="s">
        <v>528</v>
      </c>
      <c r="B232" s="770" t="s">
        <v>922</v>
      </c>
      <c r="C232" s="975">
        <v>0.14499999999999999</v>
      </c>
      <c r="D232" s="975">
        <v>0.14399999999999999</v>
      </c>
      <c r="E232" s="975">
        <v>0.14599999999999999</v>
      </c>
      <c r="F232" s="976">
        <v>0.13800000000000001</v>
      </c>
    </row>
    <row r="233" spans="1:6" ht="14.25" thickBot="1">
      <c r="A233" s="776" t="s">
        <v>528</v>
      </c>
      <c r="B233" s="770" t="s">
        <v>923</v>
      </c>
      <c r="C233" s="975">
        <v>0.14499999999999999</v>
      </c>
      <c r="D233" s="975">
        <v>0.14299999999999999</v>
      </c>
      <c r="E233" s="975">
        <v>0.14199999999999999</v>
      </c>
      <c r="F233" s="987"/>
    </row>
    <row r="234" spans="1:6" ht="14.25" thickBot="1">
      <c r="A234" s="776" t="s">
        <v>528</v>
      </c>
      <c r="B234" s="770" t="s">
        <v>924</v>
      </c>
      <c r="C234" s="975">
        <v>0.14000000000000001</v>
      </c>
      <c r="D234" s="975">
        <v>0.14000000000000001</v>
      </c>
      <c r="E234" s="975">
        <v>0.14399999999999999</v>
      </c>
      <c r="F234" s="987"/>
    </row>
    <row r="235" spans="1:6" ht="14.25" thickBot="1">
      <c r="A235" s="776" t="s">
        <v>528</v>
      </c>
      <c r="B235" s="770" t="s">
        <v>925</v>
      </c>
      <c r="C235" s="975">
        <v>0.14099999999999999</v>
      </c>
      <c r="D235" s="975">
        <v>0.14199999999999999</v>
      </c>
      <c r="E235" s="975">
        <v>0.14499999999999999</v>
      </c>
      <c r="F235" s="976">
        <v>0.15</v>
      </c>
    </row>
    <row r="236" spans="1:6" ht="14.25" thickBot="1">
      <c r="A236" s="776" t="s">
        <v>528</v>
      </c>
      <c r="B236" s="770" t="s">
        <v>461</v>
      </c>
      <c r="C236" s="988"/>
      <c r="D236" s="988"/>
      <c r="E236" s="988"/>
      <c r="F236" s="976">
        <v>0.14299999999999999</v>
      </c>
    </row>
    <row r="237" spans="1:6" ht="24.75" thickBot="1">
      <c r="A237" s="776" t="s">
        <v>528</v>
      </c>
      <c r="B237" s="770" t="s">
        <v>926</v>
      </c>
      <c r="C237" s="988"/>
      <c r="D237" s="988"/>
      <c r="E237" s="988"/>
      <c r="F237" s="976">
        <v>0.05</v>
      </c>
    </row>
    <row r="238" spans="1:6" ht="24.75" thickBot="1">
      <c r="A238" s="776" t="s">
        <v>528</v>
      </c>
      <c r="B238" s="770" t="s">
        <v>927</v>
      </c>
      <c r="C238" s="988"/>
      <c r="D238" s="988"/>
      <c r="E238" s="988"/>
      <c r="F238" s="976">
        <v>0.05</v>
      </c>
    </row>
    <row r="239" spans="1:6" ht="24.75" thickBot="1">
      <c r="A239" s="776" t="s">
        <v>528</v>
      </c>
      <c r="B239" s="770" t="s">
        <v>928</v>
      </c>
      <c r="C239" s="988"/>
      <c r="D239" s="988"/>
      <c r="E239" s="988"/>
      <c r="F239" s="976">
        <v>0.05</v>
      </c>
    </row>
    <row r="240" spans="1:6" ht="24.75" thickBot="1">
      <c r="A240" s="776" t="s">
        <v>528</v>
      </c>
      <c r="B240" s="770" t="s">
        <v>929</v>
      </c>
      <c r="C240" s="988"/>
      <c r="D240" s="988"/>
      <c r="E240" s="988"/>
      <c r="F240" s="976">
        <v>0.05</v>
      </c>
    </row>
    <row r="241" spans="1:6" ht="24.75" thickBot="1">
      <c r="A241" s="776" t="s">
        <v>528</v>
      </c>
      <c r="B241" s="770" t="s">
        <v>930</v>
      </c>
      <c r="C241" s="988"/>
      <c r="D241" s="988"/>
      <c r="E241" s="988"/>
      <c r="F241" s="976">
        <v>0.05</v>
      </c>
    </row>
    <row r="242" spans="1:6" ht="24.75" thickBot="1">
      <c r="A242" s="776" t="s">
        <v>528</v>
      </c>
      <c r="B242" s="770" t="s">
        <v>931</v>
      </c>
      <c r="C242" s="988"/>
      <c r="D242" s="988"/>
      <c r="E242" s="988"/>
      <c r="F242" s="976">
        <v>0.05</v>
      </c>
    </row>
    <row r="243" spans="1:6" ht="24.75" thickBot="1">
      <c r="A243" s="776" t="s">
        <v>528</v>
      </c>
      <c r="B243" s="770" t="s">
        <v>932</v>
      </c>
      <c r="C243" s="988"/>
      <c r="D243" s="988"/>
      <c r="E243" s="988"/>
      <c r="F243" s="976">
        <v>0.05</v>
      </c>
    </row>
    <row r="244" spans="1:6" ht="24.75" thickBot="1">
      <c r="A244" s="786" t="s">
        <v>528</v>
      </c>
      <c r="B244" s="782" t="s">
        <v>933</v>
      </c>
      <c r="C244" s="985"/>
      <c r="D244" s="985"/>
      <c r="E244" s="985"/>
      <c r="F244" s="978">
        <v>0.05</v>
      </c>
    </row>
    <row r="245" spans="1:6" ht="14.25" thickBot="1">
      <c r="A245" s="776" t="s">
        <v>530</v>
      </c>
      <c r="B245" s="777" t="s">
        <v>934</v>
      </c>
      <c r="C245" s="973">
        <v>0.15</v>
      </c>
      <c r="D245" s="973">
        <v>0.15</v>
      </c>
      <c r="E245" s="973">
        <v>0.15</v>
      </c>
      <c r="F245" s="974">
        <v>0.14299999999999999</v>
      </c>
    </row>
    <row r="246" spans="1:6" ht="14.25" thickBot="1">
      <c r="A246" s="776" t="s">
        <v>530</v>
      </c>
      <c r="B246" s="770" t="s">
        <v>195</v>
      </c>
      <c r="C246" s="975">
        <v>0.15</v>
      </c>
      <c r="D246" s="975">
        <v>0.15</v>
      </c>
      <c r="E246" s="975">
        <v>0.15</v>
      </c>
      <c r="F246" s="976">
        <v>0.114</v>
      </c>
    </row>
    <row r="247" spans="1:6" ht="14.25" thickBot="1">
      <c r="A247" s="776" t="s">
        <v>530</v>
      </c>
      <c r="B247" s="770" t="s">
        <v>935</v>
      </c>
      <c r="C247" s="975">
        <v>0.15</v>
      </c>
      <c r="D247" s="975">
        <v>0.15</v>
      </c>
      <c r="E247" s="975">
        <v>0.15</v>
      </c>
      <c r="F247" s="976">
        <v>0.15</v>
      </c>
    </row>
    <row r="248" spans="1:6" ht="14.25" thickBot="1">
      <c r="A248" s="776" t="s">
        <v>530</v>
      </c>
      <c r="B248" s="770" t="s">
        <v>936</v>
      </c>
      <c r="C248" s="975">
        <v>0.15</v>
      </c>
      <c r="D248" s="975">
        <v>0.15</v>
      </c>
      <c r="E248" s="975">
        <v>0.15</v>
      </c>
      <c r="F248" s="976">
        <v>0.14000000000000001</v>
      </c>
    </row>
    <row r="249" spans="1:6" ht="14.25" thickBot="1">
      <c r="A249" s="776" t="s">
        <v>530</v>
      </c>
      <c r="B249" s="770" t="s">
        <v>937</v>
      </c>
      <c r="C249" s="975">
        <v>0.15</v>
      </c>
      <c r="D249" s="975">
        <v>0.14899999999999999</v>
      </c>
      <c r="E249" s="975">
        <v>0.15</v>
      </c>
      <c r="F249" s="976">
        <v>0.1</v>
      </c>
    </row>
    <row r="250" spans="1:6" ht="14.25" thickBot="1">
      <c r="A250" s="776" t="s">
        <v>530</v>
      </c>
      <c r="B250" s="770" t="s">
        <v>938</v>
      </c>
      <c r="C250" s="975">
        <v>0.15</v>
      </c>
      <c r="D250" s="975">
        <v>0.15</v>
      </c>
      <c r="E250" s="975">
        <v>0.15</v>
      </c>
      <c r="F250" s="976">
        <v>0.14399999999999999</v>
      </c>
    </row>
    <row r="251" spans="1:6" ht="14.25" thickBot="1">
      <c r="A251" s="776" t="s">
        <v>530</v>
      </c>
      <c r="B251" s="770" t="s">
        <v>255</v>
      </c>
      <c r="C251" s="975">
        <v>0.15</v>
      </c>
      <c r="D251" s="975">
        <v>0.15</v>
      </c>
      <c r="E251" s="975">
        <v>0.15</v>
      </c>
      <c r="F251" s="976">
        <v>0.14299999999999999</v>
      </c>
    </row>
    <row r="252" spans="1:6" ht="14.25" thickBot="1">
      <c r="A252" s="776" t="s">
        <v>530</v>
      </c>
      <c r="B252" s="770" t="s">
        <v>266</v>
      </c>
      <c r="C252" s="975">
        <v>0.15</v>
      </c>
      <c r="D252" s="975">
        <v>0.15</v>
      </c>
      <c r="E252" s="975">
        <v>0.15</v>
      </c>
      <c r="F252" s="976">
        <v>0.1</v>
      </c>
    </row>
    <row r="253" spans="1:6" ht="14.25" thickBot="1">
      <c r="A253" s="776" t="s">
        <v>530</v>
      </c>
      <c r="B253" s="770" t="s">
        <v>278</v>
      </c>
      <c r="C253" s="975">
        <v>0.15</v>
      </c>
      <c r="D253" s="975">
        <v>0.15</v>
      </c>
      <c r="E253" s="975">
        <v>0.15</v>
      </c>
      <c r="F253" s="976">
        <v>0.1</v>
      </c>
    </row>
    <row r="254" spans="1:6" ht="14.25" thickBot="1">
      <c r="A254" s="776" t="s">
        <v>530</v>
      </c>
      <c r="B254" s="770" t="s">
        <v>288</v>
      </c>
      <c r="C254" s="988"/>
      <c r="D254" s="988"/>
      <c r="E254" s="988"/>
      <c r="F254" s="976">
        <v>0.15</v>
      </c>
    </row>
    <row r="255" spans="1:6" ht="14.25" thickBot="1">
      <c r="A255" s="776" t="s">
        <v>530</v>
      </c>
      <c r="B255" s="770" t="s">
        <v>298</v>
      </c>
      <c r="C255" s="988"/>
      <c r="D255" s="988"/>
      <c r="E255" s="988"/>
      <c r="F255" s="976">
        <v>0.14299999999999999</v>
      </c>
    </row>
    <row r="256" spans="1:6" ht="14.25" thickBot="1">
      <c r="A256" s="776" t="s">
        <v>530</v>
      </c>
      <c r="B256" s="770" t="s">
        <v>939</v>
      </c>
      <c r="C256" s="975">
        <v>0.14599999999999999</v>
      </c>
      <c r="D256" s="975">
        <v>0.14699999999999999</v>
      </c>
      <c r="E256" s="975">
        <v>0.15</v>
      </c>
      <c r="F256" s="976">
        <v>0.13200000000000001</v>
      </c>
    </row>
    <row r="257" spans="1:6" ht="14.25" thickBot="1">
      <c r="A257" s="776" t="s">
        <v>530</v>
      </c>
      <c r="B257" s="770" t="s">
        <v>318</v>
      </c>
      <c r="C257" s="975">
        <v>0.15</v>
      </c>
      <c r="D257" s="975">
        <v>0.15</v>
      </c>
      <c r="E257" s="975">
        <v>0.15</v>
      </c>
      <c r="F257" s="976">
        <v>0.13900000000000001</v>
      </c>
    </row>
    <row r="258" spans="1:6" ht="14.25" thickBot="1">
      <c r="A258" s="776" t="s">
        <v>530</v>
      </c>
      <c r="B258" s="770" t="s">
        <v>329</v>
      </c>
      <c r="C258" s="975">
        <v>0.15</v>
      </c>
      <c r="D258" s="975">
        <v>0.15</v>
      </c>
      <c r="E258" s="975">
        <v>0.15</v>
      </c>
      <c r="F258" s="976">
        <v>0.13</v>
      </c>
    </row>
    <row r="259" spans="1:6" ht="14.25" thickBot="1">
      <c r="A259" s="776" t="s">
        <v>530</v>
      </c>
      <c r="B259" s="770" t="s">
        <v>940</v>
      </c>
      <c r="C259" s="975">
        <v>0.14799999999999999</v>
      </c>
      <c r="D259" s="975">
        <v>0.14899999999999999</v>
      </c>
      <c r="E259" s="975">
        <v>0.15</v>
      </c>
      <c r="F259" s="976">
        <v>0.13700000000000001</v>
      </c>
    </row>
    <row r="260" spans="1:6" ht="14.25" thickBot="1">
      <c r="A260" s="776" t="s">
        <v>530</v>
      </c>
      <c r="B260" s="770" t="s">
        <v>350</v>
      </c>
      <c r="C260" s="975">
        <v>0.15</v>
      </c>
      <c r="D260" s="975">
        <v>0.15</v>
      </c>
      <c r="E260" s="975">
        <v>0.15</v>
      </c>
      <c r="F260" s="976">
        <v>0.14199999999999999</v>
      </c>
    </row>
    <row r="261" spans="1:6" ht="14.25" thickBot="1">
      <c r="A261" s="776" t="s">
        <v>530</v>
      </c>
      <c r="B261" s="770" t="s">
        <v>360</v>
      </c>
      <c r="C261" s="975">
        <v>0.15</v>
      </c>
      <c r="D261" s="975">
        <v>0.15</v>
      </c>
      <c r="E261" s="975">
        <v>0.14899999999999999</v>
      </c>
      <c r="F261" s="976">
        <v>0.14799999999999999</v>
      </c>
    </row>
    <row r="262" spans="1:6" ht="14.25" thickBot="1">
      <c r="A262" s="776" t="s">
        <v>530</v>
      </c>
      <c r="B262" s="770" t="s">
        <v>370</v>
      </c>
      <c r="C262" s="975">
        <v>0.15</v>
      </c>
      <c r="D262" s="975">
        <v>0.15</v>
      </c>
      <c r="E262" s="975">
        <v>0.15</v>
      </c>
      <c r="F262" s="987"/>
    </row>
    <row r="263" spans="1:6" ht="14.25" thickBot="1">
      <c r="A263" s="776" t="s">
        <v>530</v>
      </c>
      <c r="B263" s="770" t="s">
        <v>941</v>
      </c>
      <c r="C263" s="975">
        <v>0.14899999999999999</v>
      </c>
      <c r="D263" s="975">
        <v>0.14899999999999999</v>
      </c>
      <c r="E263" s="975">
        <v>0.15</v>
      </c>
      <c r="F263" s="976">
        <v>0.13</v>
      </c>
    </row>
    <row r="264" spans="1:6" ht="14.25" thickBot="1">
      <c r="A264" s="776" t="s">
        <v>530</v>
      </c>
      <c r="B264" s="770" t="s">
        <v>389</v>
      </c>
      <c r="C264" s="975">
        <v>0.14799999999999999</v>
      </c>
      <c r="D264" s="975">
        <v>0.14699999999999999</v>
      </c>
      <c r="E264" s="975">
        <v>0.15</v>
      </c>
      <c r="F264" s="976">
        <v>7.8E-2</v>
      </c>
    </row>
    <row r="265" spans="1:6" ht="14.25" thickBot="1">
      <c r="A265" s="776" t="s">
        <v>530</v>
      </c>
      <c r="B265" s="770" t="s">
        <v>398</v>
      </c>
      <c r="C265" s="975">
        <v>0.15</v>
      </c>
      <c r="D265" s="975">
        <v>0.15</v>
      </c>
      <c r="E265" s="975">
        <v>0.15</v>
      </c>
      <c r="F265" s="976">
        <v>7.3999999999999996E-2</v>
      </c>
    </row>
    <row r="266" spans="1:6" ht="14.25" thickBot="1">
      <c r="A266" s="776" t="s">
        <v>530</v>
      </c>
      <c r="B266" s="770" t="s">
        <v>406</v>
      </c>
      <c r="C266" s="975">
        <v>0.14699999999999999</v>
      </c>
      <c r="D266" s="975">
        <v>0.14699999999999999</v>
      </c>
      <c r="E266" s="975">
        <v>0.15</v>
      </c>
      <c r="F266" s="976">
        <v>0.14299999999999999</v>
      </c>
    </row>
    <row r="267" spans="1:6" ht="14.25" thickBot="1">
      <c r="A267" s="776" t="s">
        <v>530</v>
      </c>
      <c r="B267" s="770" t="s">
        <v>413</v>
      </c>
      <c r="C267" s="975">
        <v>0.14199999999999999</v>
      </c>
      <c r="D267" s="975">
        <v>0.14299999999999999</v>
      </c>
      <c r="E267" s="975">
        <v>0.15</v>
      </c>
      <c r="F267" s="987"/>
    </row>
    <row r="268" spans="1:6" ht="14.25" thickBot="1">
      <c r="A268" s="776" t="s">
        <v>530</v>
      </c>
      <c r="B268" s="770" t="s">
        <v>942</v>
      </c>
      <c r="C268" s="975">
        <v>0.15</v>
      </c>
      <c r="D268" s="975">
        <v>0.15</v>
      </c>
      <c r="E268" s="975">
        <v>0.15</v>
      </c>
      <c r="F268" s="976">
        <v>0.13</v>
      </c>
    </row>
    <row r="269" spans="1:6" ht="14.25" thickBot="1">
      <c r="A269" s="776" t="s">
        <v>530</v>
      </c>
      <c r="B269" s="770" t="s">
        <v>427</v>
      </c>
      <c r="C269" s="975">
        <v>0.15</v>
      </c>
      <c r="D269" s="975">
        <v>0.15</v>
      </c>
      <c r="E269" s="975">
        <v>0.15</v>
      </c>
      <c r="F269" s="976">
        <v>0.14299999999999999</v>
      </c>
    </row>
    <row r="270" spans="1:6" ht="14.25" thickBot="1">
      <c r="A270" s="776" t="s">
        <v>530</v>
      </c>
      <c r="B270" s="770" t="s">
        <v>434</v>
      </c>
      <c r="C270" s="975">
        <v>0.14499999999999999</v>
      </c>
      <c r="D270" s="975">
        <v>0.14499999999999999</v>
      </c>
      <c r="E270" s="975">
        <v>0.15</v>
      </c>
      <c r="F270" s="976">
        <v>0.14699999999999999</v>
      </c>
    </row>
    <row r="271" spans="1:6" ht="14.25" thickBot="1">
      <c r="A271" s="776" t="s">
        <v>530</v>
      </c>
      <c r="B271" s="770" t="s">
        <v>441</v>
      </c>
      <c r="C271" s="975">
        <v>0.15</v>
      </c>
      <c r="D271" s="975">
        <v>0.15</v>
      </c>
      <c r="E271" s="975">
        <v>0.15</v>
      </c>
      <c r="F271" s="976">
        <v>0.13800000000000001</v>
      </c>
    </row>
    <row r="272" spans="1:6" ht="14.25" thickBot="1">
      <c r="A272" s="776" t="s">
        <v>530</v>
      </c>
      <c r="B272" s="770" t="s">
        <v>448</v>
      </c>
      <c r="C272" s="988"/>
      <c r="D272" s="988"/>
      <c r="E272" s="988"/>
      <c r="F272" s="976">
        <v>0.14000000000000001</v>
      </c>
    </row>
    <row r="273" spans="1:6" ht="14.25" thickBot="1">
      <c r="A273" s="776" t="s">
        <v>530</v>
      </c>
      <c r="B273" s="770" t="s">
        <v>943</v>
      </c>
      <c r="C273" s="975">
        <v>0.14199999999999999</v>
      </c>
      <c r="D273" s="975">
        <v>0.14299999999999999</v>
      </c>
      <c r="E273" s="975">
        <v>0.15</v>
      </c>
      <c r="F273" s="976">
        <v>0.1</v>
      </c>
    </row>
    <row r="274" spans="1:6" ht="14.25" thickBot="1">
      <c r="A274" s="776" t="s">
        <v>530</v>
      </c>
      <c r="B274" s="770" t="s">
        <v>944</v>
      </c>
      <c r="C274" s="975">
        <v>0.14799999999999999</v>
      </c>
      <c r="D274" s="975">
        <v>0.14799999999999999</v>
      </c>
      <c r="E274" s="975">
        <v>0.15</v>
      </c>
      <c r="F274" s="976">
        <v>6.7000000000000004E-2</v>
      </c>
    </row>
    <row r="275" spans="1:6" ht="14.25" thickBot="1">
      <c r="A275" s="776" t="s">
        <v>530</v>
      </c>
      <c r="B275" s="770" t="s">
        <v>945</v>
      </c>
      <c r="C275" s="975">
        <v>0.15</v>
      </c>
      <c r="D275" s="975">
        <v>0.15</v>
      </c>
      <c r="E275" s="975">
        <v>0.15</v>
      </c>
      <c r="F275" s="976">
        <v>0.15</v>
      </c>
    </row>
    <row r="276" spans="1:6" ht="14.25" thickBot="1">
      <c r="A276" s="776" t="s">
        <v>530</v>
      </c>
      <c r="B276" s="770" t="s">
        <v>946</v>
      </c>
      <c r="C276" s="975">
        <v>0.14499999999999999</v>
      </c>
      <c r="D276" s="975">
        <v>0.14299999999999999</v>
      </c>
      <c r="E276" s="975">
        <v>0.15</v>
      </c>
      <c r="F276" s="976">
        <v>5.8999999999999997E-2</v>
      </c>
    </row>
    <row r="277" spans="1:6" ht="14.25" thickBot="1">
      <c r="A277" s="776" t="s">
        <v>530</v>
      </c>
      <c r="B277" s="770" t="s">
        <v>947</v>
      </c>
      <c r="C277" s="975">
        <v>0.15</v>
      </c>
      <c r="D277" s="975">
        <v>0.15</v>
      </c>
      <c r="E277" s="975">
        <v>0.15</v>
      </c>
      <c r="F277" s="976">
        <v>0.121</v>
      </c>
    </row>
    <row r="278" spans="1:6" ht="14.25" thickBot="1">
      <c r="A278" s="776" t="s">
        <v>530</v>
      </c>
      <c r="B278" s="770" t="s">
        <v>948</v>
      </c>
      <c r="C278" s="975">
        <v>0.15</v>
      </c>
      <c r="D278" s="975">
        <v>0.15</v>
      </c>
      <c r="E278" s="975">
        <v>0.15</v>
      </c>
      <c r="F278" s="976">
        <v>0.13800000000000001</v>
      </c>
    </row>
    <row r="279" spans="1:6" ht="24.75" thickBot="1">
      <c r="A279" s="776" t="s">
        <v>530</v>
      </c>
      <c r="B279" s="770" t="s">
        <v>949</v>
      </c>
      <c r="C279" s="988"/>
      <c r="D279" s="988"/>
      <c r="E279" s="988"/>
      <c r="F279" s="976">
        <v>0.05</v>
      </c>
    </row>
    <row r="280" spans="1:6" ht="24.75" thickBot="1">
      <c r="A280" s="776" t="s">
        <v>530</v>
      </c>
      <c r="B280" s="770" t="s">
        <v>950</v>
      </c>
      <c r="C280" s="988"/>
      <c r="D280" s="988"/>
      <c r="E280" s="988"/>
      <c r="F280" s="976">
        <v>0.05</v>
      </c>
    </row>
    <row r="281" spans="1:6" ht="24.75" thickBot="1">
      <c r="A281" s="776" t="s">
        <v>530</v>
      </c>
      <c r="B281" s="770" t="s">
        <v>951</v>
      </c>
      <c r="C281" s="988"/>
      <c r="D281" s="988"/>
      <c r="E281" s="988"/>
      <c r="F281" s="976">
        <v>0.05</v>
      </c>
    </row>
    <row r="282" spans="1:6" ht="24.75" thickBot="1">
      <c r="A282" s="776" t="s">
        <v>530</v>
      </c>
      <c r="B282" s="770" t="s">
        <v>952</v>
      </c>
      <c r="C282" s="988"/>
      <c r="D282" s="988"/>
      <c r="E282" s="988"/>
      <c r="F282" s="976">
        <v>0.05</v>
      </c>
    </row>
    <row r="283" spans="1:6" ht="24.75" thickBot="1">
      <c r="A283" s="776" t="s">
        <v>530</v>
      </c>
      <c r="B283" s="770" t="s">
        <v>953</v>
      </c>
      <c r="C283" s="988"/>
      <c r="D283" s="988"/>
      <c r="E283" s="988"/>
      <c r="F283" s="976">
        <v>0.05</v>
      </c>
    </row>
    <row r="284" spans="1:6" ht="24.75" thickBot="1">
      <c r="A284" s="776" t="s">
        <v>530</v>
      </c>
      <c r="B284" s="770" t="s">
        <v>954</v>
      </c>
      <c r="C284" s="988"/>
      <c r="D284" s="988"/>
      <c r="E284" s="988"/>
      <c r="F284" s="976">
        <v>0.05</v>
      </c>
    </row>
    <row r="285" spans="1:6" ht="24.75" thickBot="1">
      <c r="A285" s="776" t="s">
        <v>530</v>
      </c>
      <c r="B285" s="770" t="s">
        <v>955</v>
      </c>
      <c r="C285" s="988"/>
      <c r="D285" s="988"/>
      <c r="E285" s="988"/>
      <c r="F285" s="976">
        <v>0.05</v>
      </c>
    </row>
    <row r="286" spans="1:6" ht="24.75" thickBot="1">
      <c r="A286" s="776" t="s">
        <v>530</v>
      </c>
      <c r="B286" s="770" t="s">
        <v>956</v>
      </c>
      <c r="C286" s="988"/>
      <c r="D286" s="988"/>
      <c r="E286" s="988"/>
      <c r="F286" s="976">
        <v>0.05</v>
      </c>
    </row>
    <row r="287" spans="1:6" ht="24.75" thickBot="1">
      <c r="A287" s="776" t="s">
        <v>530</v>
      </c>
      <c r="B287" s="770" t="s">
        <v>957</v>
      </c>
      <c r="C287" s="988"/>
      <c r="D287" s="988"/>
      <c r="E287" s="988"/>
      <c r="F287" s="976">
        <v>0.05</v>
      </c>
    </row>
    <row r="288" spans="1:6" ht="24.75" thickBot="1">
      <c r="A288" s="776" t="s">
        <v>530</v>
      </c>
      <c r="B288" s="770" t="s">
        <v>958</v>
      </c>
      <c r="C288" s="988"/>
      <c r="D288" s="988"/>
      <c r="E288" s="988"/>
      <c r="F288" s="976">
        <v>0.05</v>
      </c>
    </row>
    <row r="289" spans="1:6" ht="24.75" thickBot="1">
      <c r="A289" s="786" t="s">
        <v>530</v>
      </c>
      <c r="B289" s="782" t="s">
        <v>959</v>
      </c>
      <c r="C289" s="985"/>
      <c r="D289" s="985"/>
      <c r="E289" s="985"/>
      <c r="F289" s="978">
        <v>0.05</v>
      </c>
    </row>
    <row r="290" spans="1:6" ht="14.25" thickBot="1">
      <c r="A290" s="776" t="s">
        <v>534</v>
      </c>
      <c r="B290" s="777" t="s">
        <v>960</v>
      </c>
      <c r="C290" s="973">
        <v>0.15</v>
      </c>
      <c r="D290" s="973">
        <v>0.15</v>
      </c>
      <c r="E290" s="973">
        <v>0.15</v>
      </c>
      <c r="F290" s="990"/>
    </row>
    <row r="291" spans="1:6" ht="14.25" thickBot="1">
      <c r="A291" s="776" t="s">
        <v>534</v>
      </c>
      <c r="B291" s="770" t="s">
        <v>196</v>
      </c>
      <c r="C291" s="975">
        <v>0.15</v>
      </c>
      <c r="D291" s="975">
        <v>0.15</v>
      </c>
      <c r="E291" s="975">
        <v>0.15</v>
      </c>
      <c r="F291" s="987"/>
    </row>
    <row r="292" spans="1:6" ht="14.25" thickBot="1">
      <c r="A292" s="776" t="s">
        <v>534</v>
      </c>
      <c r="B292" s="770" t="s">
        <v>961</v>
      </c>
      <c r="C292" s="975">
        <v>0.15</v>
      </c>
      <c r="D292" s="975">
        <v>0.15</v>
      </c>
      <c r="E292" s="975">
        <v>0.15</v>
      </c>
      <c r="F292" s="976">
        <v>0.14699999999999999</v>
      </c>
    </row>
    <row r="293" spans="1:6" ht="14.25" thickBot="1">
      <c r="A293" s="776" t="s">
        <v>534</v>
      </c>
      <c r="B293" s="770" t="s">
        <v>962</v>
      </c>
      <c r="C293" s="988"/>
      <c r="D293" s="988"/>
      <c r="E293" s="988"/>
      <c r="F293" s="976">
        <v>0.1</v>
      </c>
    </row>
    <row r="294" spans="1:6" ht="14.25" thickBot="1">
      <c r="A294" s="776" t="s">
        <v>534</v>
      </c>
      <c r="B294" s="770" t="s">
        <v>963</v>
      </c>
      <c r="C294" s="975">
        <v>0.15</v>
      </c>
      <c r="D294" s="975">
        <v>0.15</v>
      </c>
      <c r="E294" s="975">
        <v>0.15</v>
      </c>
      <c r="F294" s="976">
        <v>0.15</v>
      </c>
    </row>
    <row r="295" spans="1:6" ht="14.25" thickBot="1">
      <c r="A295" s="776" t="s">
        <v>534</v>
      </c>
      <c r="B295" s="770" t="s">
        <v>234</v>
      </c>
      <c r="C295" s="975">
        <v>0.15</v>
      </c>
      <c r="D295" s="975">
        <v>0.15</v>
      </c>
      <c r="E295" s="975">
        <v>0.15</v>
      </c>
      <c r="F295" s="976">
        <v>0.15</v>
      </c>
    </row>
    <row r="296" spans="1:6" ht="14.25" thickBot="1">
      <c r="A296" s="776" t="s">
        <v>534</v>
      </c>
      <c r="B296" s="770" t="s">
        <v>964</v>
      </c>
      <c r="C296" s="975">
        <v>0.15</v>
      </c>
      <c r="D296" s="975">
        <v>0.15</v>
      </c>
      <c r="E296" s="975">
        <v>0.15</v>
      </c>
      <c r="F296" s="976">
        <v>0.15</v>
      </c>
    </row>
    <row r="297" spans="1:6" ht="14.25" thickBot="1">
      <c r="A297" s="776" t="s">
        <v>534</v>
      </c>
      <c r="B297" s="770" t="s">
        <v>965</v>
      </c>
      <c r="C297" s="975">
        <v>0.14799999999999999</v>
      </c>
      <c r="D297" s="975">
        <v>0.14899999999999999</v>
      </c>
      <c r="E297" s="975">
        <v>0.15</v>
      </c>
      <c r="F297" s="976">
        <v>0.13700000000000001</v>
      </c>
    </row>
    <row r="298" spans="1:6" ht="14.25" thickBot="1">
      <c r="A298" s="776" t="s">
        <v>534</v>
      </c>
      <c r="B298" s="770" t="s">
        <v>267</v>
      </c>
      <c r="C298" s="975">
        <v>0.13400000000000001</v>
      </c>
      <c r="D298" s="975">
        <v>0.13400000000000001</v>
      </c>
      <c r="E298" s="975">
        <v>0.14499999999999999</v>
      </c>
      <c r="F298" s="976">
        <v>0.14799999999999999</v>
      </c>
    </row>
    <row r="299" spans="1:6" ht="14.25" thickBot="1">
      <c r="A299" s="776" t="s">
        <v>534</v>
      </c>
      <c r="B299" s="770" t="s">
        <v>279</v>
      </c>
      <c r="C299" s="975">
        <v>0.15</v>
      </c>
      <c r="D299" s="975">
        <v>0.15</v>
      </c>
      <c r="E299" s="975">
        <v>0.15</v>
      </c>
      <c r="F299" s="987"/>
    </row>
    <row r="300" spans="1:6" ht="14.25" thickBot="1">
      <c r="A300" s="776" t="s">
        <v>534</v>
      </c>
      <c r="B300" s="770" t="s">
        <v>966</v>
      </c>
      <c r="C300" s="975">
        <v>0.15</v>
      </c>
      <c r="D300" s="975">
        <v>0.15</v>
      </c>
      <c r="E300" s="975">
        <v>0.15</v>
      </c>
      <c r="F300" s="976">
        <v>0.15</v>
      </c>
    </row>
    <row r="301" spans="1:6" ht="14.25" thickBot="1">
      <c r="A301" s="776" t="s">
        <v>534</v>
      </c>
      <c r="B301" s="770" t="s">
        <v>299</v>
      </c>
      <c r="C301" s="975">
        <v>0.15</v>
      </c>
      <c r="D301" s="975">
        <v>0.15</v>
      </c>
      <c r="E301" s="975">
        <v>0.15</v>
      </c>
      <c r="F301" s="987"/>
    </row>
    <row r="302" spans="1:6" ht="14.25" thickBot="1">
      <c r="A302" s="776" t="s">
        <v>534</v>
      </c>
      <c r="B302" s="770" t="s">
        <v>967</v>
      </c>
      <c r="C302" s="975">
        <v>0.15</v>
      </c>
      <c r="D302" s="975">
        <v>0.15</v>
      </c>
      <c r="E302" s="975">
        <v>0.15</v>
      </c>
      <c r="F302" s="976">
        <v>0.15</v>
      </c>
    </row>
    <row r="303" spans="1:6" ht="14.25" thickBot="1">
      <c r="A303" s="776" t="s">
        <v>534</v>
      </c>
      <c r="B303" s="770" t="s">
        <v>319</v>
      </c>
      <c r="C303" s="975">
        <v>0.15</v>
      </c>
      <c r="D303" s="975">
        <v>0.15</v>
      </c>
      <c r="E303" s="975">
        <v>0.15</v>
      </c>
      <c r="F303" s="976">
        <v>0.15</v>
      </c>
    </row>
    <row r="304" spans="1:6" ht="14.25" thickBot="1">
      <c r="A304" s="776" t="s">
        <v>534</v>
      </c>
      <c r="B304" s="770" t="s">
        <v>330</v>
      </c>
      <c r="C304" s="975">
        <v>0.15</v>
      </c>
      <c r="D304" s="975">
        <v>0.15</v>
      </c>
      <c r="E304" s="975">
        <v>0.15</v>
      </c>
      <c r="F304" s="987"/>
    </row>
    <row r="305" spans="1:6" ht="14.25" thickBot="1">
      <c r="A305" s="776" t="s">
        <v>534</v>
      </c>
      <c r="B305" s="770" t="s">
        <v>968</v>
      </c>
      <c r="C305" s="975">
        <v>0.15</v>
      </c>
      <c r="D305" s="975">
        <v>0.15</v>
      </c>
      <c r="E305" s="975">
        <v>0.15</v>
      </c>
      <c r="F305" s="976">
        <v>0.14000000000000001</v>
      </c>
    </row>
    <row r="306" spans="1:6" ht="14.25" thickBot="1">
      <c r="A306" s="776" t="s">
        <v>534</v>
      </c>
      <c r="B306" s="770" t="s">
        <v>351</v>
      </c>
      <c r="C306" s="975">
        <v>0.15</v>
      </c>
      <c r="D306" s="975">
        <v>0.15</v>
      </c>
      <c r="E306" s="975">
        <v>0.15</v>
      </c>
      <c r="F306" s="987"/>
    </row>
    <row r="307" spans="1:6" ht="14.25" thickBot="1">
      <c r="A307" s="776" t="s">
        <v>534</v>
      </c>
      <c r="B307" s="770" t="s">
        <v>969</v>
      </c>
      <c r="C307" s="975">
        <v>0.15</v>
      </c>
      <c r="D307" s="975">
        <v>0.15</v>
      </c>
      <c r="E307" s="975">
        <v>0.15</v>
      </c>
      <c r="F307" s="976">
        <v>0.14299999999999999</v>
      </c>
    </row>
    <row r="308" spans="1:6" ht="14.25" thickBot="1">
      <c r="A308" s="776" t="s">
        <v>534</v>
      </c>
      <c r="B308" s="770" t="s">
        <v>371</v>
      </c>
      <c r="C308" s="975">
        <v>0.15</v>
      </c>
      <c r="D308" s="975">
        <v>0.15</v>
      </c>
      <c r="E308" s="975">
        <v>0.15</v>
      </c>
      <c r="F308" s="976">
        <v>0.15</v>
      </c>
    </row>
    <row r="309" spans="1:6" ht="14.25" thickBot="1">
      <c r="A309" s="776" t="s">
        <v>534</v>
      </c>
      <c r="B309" s="770" t="s">
        <v>381</v>
      </c>
      <c r="C309" s="975">
        <v>0.15</v>
      </c>
      <c r="D309" s="975">
        <v>0.15</v>
      </c>
      <c r="E309" s="975">
        <v>0.15</v>
      </c>
      <c r="F309" s="987"/>
    </row>
    <row r="310" spans="1:6" ht="14.25" thickBot="1">
      <c r="A310" s="776" t="s">
        <v>534</v>
      </c>
      <c r="B310" s="770" t="s">
        <v>970</v>
      </c>
      <c r="C310" s="975">
        <v>0.15</v>
      </c>
      <c r="D310" s="975">
        <v>0.15</v>
      </c>
      <c r="E310" s="975">
        <v>0.15</v>
      </c>
      <c r="F310" s="976">
        <v>0.13700000000000001</v>
      </c>
    </row>
    <row r="311" spans="1:6" ht="14.25" thickBot="1">
      <c r="A311" s="776" t="s">
        <v>534</v>
      </c>
      <c r="B311" s="770" t="s">
        <v>971</v>
      </c>
      <c r="C311" s="975">
        <v>0.15</v>
      </c>
      <c r="D311" s="975">
        <v>0.15</v>
      </c>
      <c r="E311" s="975">
        <v>0.15</v>
      </c>
      <c r="F311" s="976">
        <v>0.15</v>
      </c>
    </row>
    <row r="312" spans="1:6" ht="14.25" thickBot="1">
      <c r="A312" s="776" t="s">
        <v>534</v>
      </c>
      <c r="B312" s="770" t="s">
        <v>407</v>
      </c>
      <c r="C312" s="975">
        <v>0.15</v>
      </c>
      <c r="D312" s="975">
        <v>0.15</v>
      </c>
      <c r="E312" s="975">
        <v>0.15</v>
      </c>
      <c r="F312" s="976">
        <v>0.1</v>
      </c>
    </row>
    <row r="313" spans="1:6" ht="14.25" thickBot="1">
      <c r="A313" s="776" t="s">
        <v>534</v>
      </c>
      <c r="B313" s="770" t="s">
        <v>972</v>
      </c>
      <c r="C313" s="975">
        <v>0.15</v>
      </c>
      <c r="D313" s="975">
        <v>0.15</v>
      </c>
      <c r="E313" s="975">
        <v>0.15</v>
      </c>
      <c r="F313" s="976">
        <v>0.15</v>
      </c>
    </row>
    <row r="314" spans="1:6" ht="24.75" thickBot="1">
      <c r="A314" s="776" t="s">
        <v>534</v>
      </c>
      <c r="B314" s="770" t="s">
        <v>973</v>
      </c>
      <c r="C314" s="988"/>
      <c r="D314" s="988"/>
      <c r="E314" s="988"/>
      <c r="F314" s="976">
        <v>0.05</v>
      </c>
    </row>
    <row r="315" spans="1:6" ht="24.75" thickBot="1">
      <c r="A315" s="776" t="s">
        <v>534</v>
      </c>
      <c r="B315" s="770" t="s">
        <v>974</v>
      </c>
      <c r="C315" s="988"/>
      <c r="D315" s="988"/>
      <c r="E315" s="988"/>
      <c r="F315" s="976">
        <v>0.05</v>
      </c>
    </row>
    <row r="316" spans="1:6" ht="24.75" thickBot="1">
      <c r="A316" s="786" t="s">
        <v>534</v>
      </c>
      <c r="B316" s="782" t="s">
        <v>975</v>
      </c>
      <c r="C316" s="985"/>
      <c r="D316" s="985"/>
      <c r="E316" s="985"/>
      <c r="F316" s="978">
        <v>0.05</v>
      </c>
    </row>
    <row r="317" spans="1:6" ht="14.25" thickBot="1">
      <c r="A317" s="776" t="s">
        <v>976</v>
      </c>
      <c r="B317" s="777" t="s">
        <v>977</v>
      </c>
      <c r="C317" s="973">
        <v>0.15</v>
      </c>
      <c r="D317" s="973">
        <v>0.15</v>
      </c>
      <c r="E317" s="973">
        <v>0.15</v>
      </c>
      <c r="F317" s="974">
        <v>0.15</v>
      </c>
    </row>
    <row r="318" spans="1:6" ht="14.25" thickBot="1">
      <c r="A318" s="776" t="s">
        <v>976</v>
      </c>
      <c r="B318" s="770" t="s">
        <v>978</v>
      </c>
      <c r="C318" s="975">
        <v>0.107</v>
      </c>
      <c r="D318" s="975">
        <v>0.11</v>
      </c>
      <c r="E318" s="975">
        <v>0.112</v>
      </c>
      <c r="F318" s="987"/>
    </row>
    <row r="319" spans="1:6" ht="14.25" thickBot="1">
      <c r="A319" s="776" t="s">
        <v>976</v>
      </c>
      <c r="B319" s="770" t="s">
        <v>979</v>
      </c>
      <c r="C319" s="975">
        <v>0.15</v>
      </c>
      <c r="D319" s="975">
        <v>0.15</v>
      </c>
      <c r="E319" s="975">
        <v>0.15</v>
      </c>
      <c r="F319" s="976">
        <v>0.15</v>
      </c>
    </row>
    <row r="320" spans="1:6" ht="14.25" thickBot="1">
      <c r="A320" s="776" t="s">
        <v>976</v>
      </c>
      <c r="B320" s="770" t="s">
        <v>223</v>
      </c>
      <c r="C320" s="975">
        <v>0.15</v>
      </c>
      <c r="D320" s="975">
        <v>0.15</v>
      </c>
      <c r="E320" s="975">
        <v>0.15</v>
      </c>
      <c r="F320" s="987"/>
    </row>
    <row r="321" spans="1:6" ht="14.25" thickBot="1">
      <c r="A321" s="776" t="s">
        <v>976</v>
      </c>
      <c r="B321" s="770" t="s">
        <v>980</v>
      </c>
      <c r="C321" s="975">
        <v>0.15</v>
      </c>
      <c r="D321" s="975">
        <v>0.15</v>
      </c>
      <c r="E321" s="975">
        <v>0.15</v>
      </c>
      <c r="F321" s="987"/>
    </row>
    <row r="322" spans="1:6" ht="14.25" thickBot="1">
      <c r="A322" s="776" t="s">
        <v>976</v>
      </c>
      <c r="B322" s="770" t="s">
        <v>981</v>
      </c>
      <c r="C322" s="975">
        <v>0.15</v>
      </c>
      <c r="D322" s="975">
        <v>0.15</v>
      </c>
      <c r="E322" s="975">
        <v>0.15</v>
      </c>
      <c r="F322" s="976">
        <v>0.15</v>
      </c>
    </row>
    <row r="323" spans="1:6" ht="14.25" thickBot="1">
      <c r="A323" s="776" t="s">
        <v>976</v>
      </c>
      <c r="B323" s="770" t="s">
        <v>982</v>
      </c>
      <c r="C323" s="975">
        <v>0.15</v>
      </c>
      <c r="D323" s="975">
        <v>0.15</v>
      </c>
      <c r="E323" s="975">
        <v>0.15</v>
      </c>
      <c r="F323" s="987"/>
    </row>
    <row r="324" spans="1:6" ht="14.25" thickBot="1">
      <c r="A324" s="776" t="s">
        <v>976</v>
      </c>
      <c r="B324" s="770" t="s">
        <v>983</v>
      </c>
      <c r="C324" s="975">
        <v>0.15</v>
      </c>
      <c r="D324" s="975">
        <v>0.15</v>
      </c>
      <c r="E324" s="975">
        <v>0.15</v>
      </c>
      <c r="F324" s="987"/>
    </row>
    <row r="325" spans="1:6" ht="14.25" thickBot="1">
      <c r="A325" s="776" t="s">
        <v>976</v>
      </c>
      <c r="B325" s="770" t="s">
        <v>984</v>
      </c>
      <c r="C325" s="975">
        <v>0.15</v>
      </c>
      <c r="D325" s="975">
        <v>0.15</v>
      </c>
      <c r="E325" s="975">
        <v>0.15</v>
      </c>
      <c r="F325" s="976">
        <v>0.14699999999999999</v>
      </c>
    </row>
    <row r="326" spans="1:6" ht="14.25" thickBot="1">
      <c r="A326" s="776" t="s">
        <v>976</v>
      </c>
      <c r="B326" s="770" t="s">
        <v>290</v>
      </c>
      <c r="C326" s="975">
        <v>0.15</v>
      </c>
      <c r="D326" s="975">
        <v>0.15</v>
      </c>
      <c r="E326" s="975">
        <v>0.15</v>
      </c>
      <c r="F326" s="987"/>
    </row>
    <row r="327" spans="1:6" ht="14.25" thickBot="1">
      <c r="A327" s="776" t="s">
        <v>976</v>
      </c>
      <c r="B327" s="770" t="s">
        <v>985</v>
      </c>
      <c r="C327" s="975">
        <v>0.15</v>
      </c>
      <c r="D327" s="975">
        <v>0.15</v>
      </c>
      <c r="E327" s="975">
        <v>0.15</v>
      </c>
      <c r="F327" s="976">
        <v>0.15</v>
      </c>
    </row>
    <row r="328" spans="1:6" ht="14.25" thickBot="1">
      <c r="A328" s="776" t="s">
        <v>976</v>
      </c>
      <c r="B328" s="770" t="s">
        <v>310</v>
      </c>
      <c r="C328" s="975">
        <v>0.15</v>
      </c>
      <c r="D328" s="975">
        <v>0.15</v>
      </c>
      <c r="E328" s="975">
        <v>0.15</v>
      </c>
      <c r="F328" s="976">
        <v>0.14099999999999999</v>
      </c>
    </row>
    <row r="329" spans="1:6" ht="14.25" thickBot="1">
      <c r="A329" s="776" t="s">
        <v>976</v>
      </c>
      <c r="B329" s="770" t="s">
        <v>320</v>
      </c>
      <c r="C329" s="975">
        <v>0.15</v>
      </c>
      <c r="D329" s="975">
        <v>0.15</v>
      </c>
      <c r="E329" s="975">
        <v>0.15</v>
      </c>
      <c r="F329" s="976">
        <v>0.15</v>
      </c>
    </row>
    <row r="330" spans="1:6" ht="14.25" thickBot="1">
      <c r="A330" s="776" t="s">
        <v>976</v>
      </c>
      <c r="B330" s="770" t="s">
        <v>331</v>
      </c>
      <c r="C330" s="975">
        <v>0.15</v>
      </c>
      <c r="D330" s="975">
        <v>0.15</v>
      </c>
      <c r="E330" s="975">
        <v>0.15</v>
      </c>
      <c r="F330" s="987"/>
    </row>
    <row r="331" spans="1:6" ht="14.25" thickBot="1">
      <c r="A331" s="776" t="s">
        <v>976</v>
      </c>
      <c r="B331" s="770" t="s">
        <v>986</v>
      </c>
      <c r="C331" s="975">
        <v>0.15</v>
      </c>
      <c r="D331" s="975">
        <v>0.15</v>
      </c>
      <c r="E331" s="975">
        <v>0.15</v>
      </c>
      <c r="F331" s="976">
        <v>0.15</v>
      </c>
    </row>
    <row r="332" spans="1:6" ht="14.25" thickBot="1">
      <c r="A332" s="776" t="s">
        <v>976</v>
      </c>
      <c r="B332" s="770" t="s">
        <v>352</v>
      </c>
      <c r="C332" s="975">
        <v>0.15</v>
      </c>
      <c r="D332" s="975">
        <v>0.15</v>
      </c>
      <c r="E332" s="975">
        <v>0.15</v>
      </c>
      <c r="F332" s="976">
        <v>0.15</v>
      </c>
    </row>
    <row r="333" spans="1:6" ht="14.25" thickBot="1">
      <c r="A333" s="776" t="s">
        <v>976</v>
      </c>
      <c r="B333" s="770" t="s">
        <v>987</v>
      </c>
      <c r="C333" s="975">
        <v>0.15</v>
      </c>
      <c r="D333" s="975">
        <v>0.15</v>
      </c>
      <c r="E333" s="975">
        <v>0.15</v>
      </c>
      <c r="F333" s="976">
        <v>0.14099999999999999</v>
      </c>
    </row>
    <row r="334" spans="1:6" ht="14.25" thickBot="1">
      <c r="A334" s="776" t="s">
        <v>976</v>
      </c>
      <c r="B334" s="770" t="s">
        <v>372</v>
      </c>
      <c r="C334" s="975">
        <v>0.15</v>
      </c>
      <c r="D334" s="975">
        <v>0.15</v>
      </c>
      <c r="E334" s="975">
        <v>0.15</v>
      </c>
      <c r="F334" s="976">
        <v>0.15</v>
      </c>
    </row>
    <row r="335" spans="1:6" ht="14.25" thickBot="1">
      <c r="A335" s="776" t="s">
        <v>976</v>
      </c>
      <c r="B335" s="770" t="s">
        <v>382</v>
      </c>
      <c r="C335" s="975">
        <v>0.15</v>
      </c>
      <c r="D335" s="975">
        <v>0.15</v>
      </c>
      <c r="E335" s="975">
        <v>0.15</v>
      </c>
      <c r="F335" s="987"/>
    </row>
    <row r="336" spans="1:6" ht="14.25" thickBot="1">
      <c r="A336" s="776" t="s">
        <v>976</v>
      </c>
      <c r="B336" s="770" t="s">
        <v>988</v>
      </c>
      <c r="C336" s="975">
        <v>0.15</v>
      </c>
      <c r="D336" s="975">
        <v>0.15</v>
      </c>
      <c r="E336" s="975">
        <v>0.15</v>
      </c>
      <c r="F336" s="976">
        <v>0.11799999999999999</v>
      </c>
    </row>
    <row r="337" spans="1:6" ht="14.25" thickBot="1">
      <c r="A337" s="786" t="s">
        <v>976</v>
      </c>
      <c r="B337" s="782" t="s">
        <v>400</v>
      </c>
      <c r="C337" s="985"/>
      <c r="D337" s="985"/>
      <c r="E337" s="985"/>
      <c r="F337" s="978">
        <v>0.14299999999999999</v>
      </c>
    </row>
    <row r="338" spans="1:6" ht="14.25" thickBot="1">
      <c r="A338" s="776" t="s">
        <v>989</v>
      </c>
      <c r="B338" s="777" t="s">
        <v>990</v>
      </c>
      <c r="C338" s="973">
        <v>0.15</v>
      </c>
      <c r="D338" s="973">
        <v>0.15</v>
      </c>
      <c r="E338" s="973">
        <v>0.15</v>
      </c>
      <c r="F338" s="990"/>
    </row>
    <row r="339" spans="1:6" ht="14.25" thickBot="1">
      <c r="A339" s="776" t="s">
        <v>989</v>
      </c>
      <c r="B339" s="770" t="s">
        <v>991</v>
      </c>
      <c r="C339" s="975">
        <v>0.15</v>
      </c>
      <c r="D339" s="975">
        <v>0.15</v>
      </c>
      <c r="E339" s="975">
        <v>0.15</v>
      </c>
      <c r="F339" s="987"/>
    </row>
    <row r="340" spans="1:6" ht="14.25" thickBot="1">
      <c r="A340" s="776" t="s">
        <v>989</v>
      </c>
      <c r="B340" s="770" t="s">
        <v>992</v>
      </c>
      <c r="C340" s="975">
        <v>0.15</v>
      </c>
      <c r="D340" s="975">
        <v>0.15</v>
      </c>
      <c r="E340" s="975">
        <v>0.15</v>
      </c>
      <c r="F340" s="987"/>
    </row>
    <row r="341" spans="1:6" ht="14.25" thickBot="1">
      <c r="A341" s="776" t="s">
        <v>989</v>
      </c>
      <c r="B341" s="770" t="s">
        <v>993</v>
      </c>
      <c r="C341" s="975">
        <v>0.15</v>
      </c>
      <c r="D341" s="975">
        <v>0.15</v>
      </c>
      <c r="E341" s="975">
        <v>0.15</v>
      </c>
      <c r="F341" s="976">
        <v>0.15</v>
      </c>
    </row>
    <row r="342" spans="1:6" ht="14.25" thickBot="1">
      <c r="A342" s="776" t="s">
        <v>989</v>
      </c>
      <c r="B342" s="770" t="s">
        <v>994</v>
      </c>
      <c r="C342" s="975">
        <v>0.15</v>
      </c>
      <c r="D342" s="975">
        <v>0.15</v>
      </c>
      <c r="E342" s="975">
        <v>0.15</v>
      </c>
      <c r="F342" s="976">
        <v>0.15</v>
      </c>
    </row>
    <row r="343" spans="1:6" ht="14.25" thickBot="1">
      <c r="A343" s="776" t="s">
        <v>989</v>
      </c>
      <c r="B343" s="770" t="s">
        <v>995</v>
      </c>
      <c r="C343" s="975">
        <v>0.15</v>
      </c>
      <c r="D343" s="975">
        <v>0.15</v>
      </c>
      <c r="E343" s="975">
        <v>0.15</v>
      </c>
      <c r="F343" s="976">
        <v>0.15</v>
      </c>
    </row>
    <row r="344" spans="1:6" ht="14.25" thickBot="1">
      <c r="A344" s="786" t="s">
        <v>989</v>
      </c>
      <c r="B344" s="782" t="s">
        <v>996</v>
      </c>
      <c r="C344" s="977">
        <v>0.15</v>
      </c>
      <c r="D344" s="977">
        <v>0.15</v>
      </c>
      <c r="E344" s="977">
        <v>0.15</v>
      </c>
      <c r="F344" s="978">
        <v>0.15</v>
      </c>
    </row>
  </sheetData>
  <sheetProtection password="C66D" sheet="1" objects="1" scenarios="1"/>
  <mergeCells count="1">
    <mergeCell ref="A1:B1"/>
  </mergeCells>
  <phoneticPr fontId="96" type="noConversion"/>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I1" sqref="I1"/>
    </sheetView>
  </sheetViews>
  <sheetFormatPr defaultRowHeight="13.5"/>
  <cols>
    <col min="1" max="1" width="4.875" style="1398" customWidth="1"/>
    <col min="2" max="2" width="13.25" style="1404" customWidth="1"/>
    <col min="3" max="3" width="15.625" style="1404" customWidth="1"/>
    <col min="4" max="4" width="9.375" style="1404" bestFit="1" customWidth="1"/>
    <col min="5" max="5" width="13.5" style="1404" customWidth="1"/>
    <col min="6" max="6" width="9" style="1404"/>
    <col min="7" max="7" width="9.375" style="1404" bestFit="1" customWidth="1"/>
    <col min="8" max="8" width="12.25" style="1404" customWidth="1"/>
    <col min="9" max="9" width="9" style="1404"/>
    <col min="10" max="10" width="9.375" style="1404" bestFit="1" customWidth="1"/>
    <col min="11" max="11" width="4" style="1398" customWidth="1"/>
    <col min="12" max="12" width="5.125" style="1404" customWidth="1"/>
    <col min="13" max="13" width="13.75" style="1404" customWidth="1"/>
    <col min="14" max="256" width="9" style="1404"/>
    <col min="257" max="257" width="4.875" style="1395" customWidth="1"/>
    <col min="258" max="258" width="13.25" style="1395" customWidth="1"/>
    <col min="259" max="259" width="15.625" style="1395" customWidth="1"/>
    <col min="260" max="260" width="9.375" style="1395" bestFit="1" customWidth="1"/>
    <col min="261" max="261" width="13.5" style="1395" customWidth="1"/>
    <col min="262" max="262" width="9" style="1395"/>
    <col min="263" max="263" width="9.375" style="1395" bestFit="1" customWidth="1"/>
    <col min="264" max="265" width="9" style="1395"/>
    <col min="266" max="266" width="9.375" style="1395" bestFit="1" customWidth="1"/>
    <col min="267" max="267" width="4" style="1395" customWidth="1"/>
    <col min="268" max="268" width="5.125" style="1395" customWidth="1"/>
    <col min="269" max="269" width="13.75" style="1395" customWidth="1"/>
    <col min="270" max="512" width="9" style="1395"/>
    <col min="513" max="513" width="4.875" style="1395" customWidth="1"/>
    <col min="514" max="514" width="13.25" style="1395" customWidth="1"/>
    <col min="515" max="515" width="15.625" style="1395" customWidth="1"/>
    <col min="516" max="516" width="9.375" style="1395" bestFit="1" customWidth="1"/>
    <col min="517" max="517" width="13.5" style="1395" customWidth="1"/>
    <col min="518" max="518" width="9" style="1395"/>
    <col min="519" max="519" width="9.375" style="1395" bestFit="1" customWidth="1"/>
    <col min="520" max="521" width="9" style="1395"/>
    <col min="522" max="522" width="9.375" style="1395" bestFit="1" customWidth="1"/>
    <col min="523" max="523" width="4" style="1395" customWidth="1"/>
    <col min="524" max="524" width="5.125" style="1395" customWidth="1"/>
    <col min="525" max="525" width="13.75" style="1395" customWidth="1"/>
    <col min="526" max="768" width="9" style="1395"/>
    <col min="769" max="769" width="4.875" style="1395" customWidth="1"/>
    <col min="770" max="770" width="13.25" style="1395" customWidth="1"/>
    <col min="771" max="771" width="15.625" style="1395" customWidth="1"/>
    <col min="772" max="772" width="9.375" style="1395" bestFit="1" customWidth="1"/>
    <col min="773" max="773" width="13.5" style="1395" customWidth="1"/>
    <col min="774" max="774" width="9" style="1395"/>
    <col min="775" max="775" width="9.375" style="1395" bestFit="1" customWidth="1"/>
    <col min="776" max="777" width="9" style="1395"/>
    <col min="778" max="778" width="9.375" style="1395" bestFit="1" customWidth="1"/>
    <col min="779" max="779" width="4" style="1395" customWidth="1"/>
    <col min="780" max="780" width="5.125" style="1395" customWidth="1"/>
    <col min="781" max="781" width="13.75" style="1395" customWidth="1"/>
    <col min="782" max="1024" width="9" style="1395"/>
    <col min="1025" max="1025" width="4.875" style="1395" customWidth="1"/>
    <col min="1026" max="1026" width="13.25" style="1395" customWidth="1"/>
    <col min="1027" max="1027" width="15.625" style="1395" customWidth="1"/>
    <col min="1028" max="1028" width="9.375" style="1395" bestFit="1" customWidth="1"/>
    <col min="1029" max="1029" width="13.5" style="1395" customWidth="1"/>
    <col min="1030" max="1030" width="9" style="1395"/>
    <col min="1031" max="1031" width="9.375" style="1395" bestFit="1" customWidth="1"/>
    <col min="1032" max="1033" width="9" style="1395"/>
    <col min="1034" max="1034" width="9.375" style="1395" bestFit="1" customWidth="1"/>
    <col min="1035" max="1035" width="4" style="1395" customWidth="1"/>
    <col min="1036" max="1036" width="5.125" style="1395" customWidth="1"/>
    <col min="1037" max="1037" width="13.75" style="1395" customWidth="1"/>
    <col min="1038" max="1280" width="9" style="1395"/>
    <col min="1281" max="1281" width="4.875" style="1395" customWidth="1"/>
    <col min="1282" max="1282" width="13.25" style="1395" customWidth="1"/>
    <col min="1283" max="1283" width="15.625" style="1395" customWidth="1"/>
    <col min="1284" max="1284" width="9.375" style="1395" bestFit="1" customWidth="1"/>
    <col min="1285" max="1285" width="13.5" style="1395" customWidth="1"/>
    <col min="1286" max="1286" width="9" style="1395"/>
    <col min="1287" max="1287" width="9.375" style="1395" bestFit="1" customWidth="1"/>
    <col min="1288" max="1289" width="9" style="1395"/>
    <col min="1290" max="1290" width="9.375" style="1395" bestFit="1" customWidth="1"/>
    <col min="1291" max="1291" width="4" style="1395" customWidth="1"/>
    <col min="1292" max="1292" width="5.125" style="1395" customWidth="1"/>
    <col min="1293" max="1293" width="13.75" style="1395" customWidth="1"/>
    <col min="1294" max="1536" width="9" style="1395"/>
    <col min="1537" max="1537" width="4.875" style="1395" customWidth="1"/>
    <col min="1538" max="1538" width="13.25" style="1395" customWidth="1"/>
    <col min="1539" max="1539" width="15.625" style="1395" customWidth="1"/>
    <col min="1540" max="1540" width="9.375" style="1395" bestFit="1" customWidth="1"/>
    <col min="1541" max="1541" width="13.5" style="1395" customWidth="1"/>
    <col min="1542" max="1542" width="9" style="1395"/>
    <col min="1543" max="1543" width="9.375" style="1395" bestFit="1" customWidth="1"/>
    <col min="1544" max="1545" width="9" style="1395"/>
    <col min="1546" max="1546" width="9.375" style="1395" bestFit="1" customWidth="1"/>
    <col min="1547" max="1547" width="4" style="1395" customWidth="1"/>
    <col min="1548" max="1548" width="5.125" style="1395" customWidth="1"/>
    <col min="1549" max="1549" width="13.75" style="1395" customWidth="1"/>
    <col min="1550" max="1792" width="9" style="1395"/>
    <col min="1793" max="1793" width="4.875" style="1395" customWidth="1"/>
    <col min="1794" max="1794" width="13.25" style="1395" customWidth="1"/>
    <col min="1795" max="1795" width="15.625" style="1395" customWidth="1"/>
    <col min="1796" max="1796" width="9.375" style="1395" bestFit="1" customWidth="1"/>
    <col min="1797" max="1797" width="13.5" style="1395" customWidth="1"/>
    <col min="1798" max="1798" width="9" style="1395"/>
    <col min="1799" max="1799" width="9.375" style="1395" bestFit="1" customWidth="1"/>
    <col min="1800" max="1801" width="9" style="1395"/>
    <col min="1802" max="1802" width="9.375" style="1395" bestFit="1" customWidth="1"/>
    <col min="1803" max="1803" width="4" style="1395" customWidth="1"/>
    <col min="1804" max="1804" width="5.125" style="1395" customWidth="1"/>
    <col min="1805" max="1805" width="13.75" style="1395" customWidth="1"/>
    <col min="1806" max="2048" width="9" style="1395"/>
    <col min="2049" max="2049" width="4.875" style="1395" customWidth="1"/>
    <col min="2050" max="2050" width="13.25" style="1395" customWidth="1"/>
    <col min="2051" max="2051" width="15.625" style="1395" customWidth="1"/>
    <col min="2052" max="2052" width="9.375" style="1395" bestFit="1" customWidth="1"/>
    <col min="2053" max="2053" width="13.5" style="1395" customWidth="1"/>
    <col min="2054" max="2054" width="9" style="1395"/>
    <col min="2055" max="2055" width="9.375" style="1395" bestFit="1" customWidth="1"/>
    <col min="2056" max="2057" width="9" style="1395"/>
    <col min="2058" max="2058" width="9.375" style="1395" bestFit="1" customWidth="1"/>
    <col min="2059" max="2059" width="4" style="1395" customWidth="1"/>
    <col min="2060" max="2060" width="5.125" style="1395" customWidth="1"/>
    <col min="2061" max="2061" width="13.75" style="1395" customWidth="1"/>
    <col min="2062" max="2304" width="9" style="1395"/>
    <col min="2305" max="2305" width="4.875" style="1395" customWidth="1"/>
    <col min="2306" max="2306" width="13.25" style="1395" customWidth="1"/>
    <col min="2307" max="2307" width="15.625" style="1395" customWidth="1"/>
    <col min="2308" max="2308" width="9.375" style="1395" bestFit="1" customWidth="1"/>
    <col min="2309" max="2309" width="13.5" style="1395" customWidth="1"/>
    <col min="2310" max="2310" width="9" style="1395"/>
    <col min="2311" max="2311" width="9.375" style="1395" bestFit="1" customWidth="1"/>
    <col min="2312" max="2313" width="9" style="1395"/>
    <col min="2314" max="2314" width="9.375" style="1395" bestFit="1" customWidth="1"/>
    <col min="2315" max="2315" width="4" style="1395" customWidth="1"/>
    <col min="2316" max="2316" width="5.125" style="1395" customWidth="1"/>
    <col min="2317" max="2317" width="13.75" style="1395" customWidth="1"/>
    <col min="2318" max="2560" width="9" style="1395"/>
    <col min="2561" max="2561" width="4.875" style="1395" customWidth="1"/>
    <col min="2562" max="2562" width="13.25" style="1395" customWidth="1"/>
    <col min="2563" max="2563" width="15.625" style="1395" customWidth="1"/>
    <col min="2564" max="2564" width="9.375" style="1395" bestFit="1" customWidth="1"/>
    <col min="2565" max="2565" width="13.5" style="1395" customWidth="1"/>
    <col min="2566" max="2566" width="9" style="1395"/>
    <col min="2567" max="2567" width="9.375" style="1395" bestFit="1" customWidth="1"/>
    <col min="2568" max="2569" width="9" style="1395"/>
    <col min="2570" max="2570" width="9.375" style="1395" bestFit="1" customWidth="1"/>
    <col min="2571" max="2571" width="4" style="1395" customWidth="1"/>
    <col min="2572" max="2572" width="5.125" style="1395" customWidth="1"/>
    <col min="2573" max="2573" width="13.75" style="1395" customWidth="1"/>
    <col min="2574" max="2816" width="9" style="1395"/>
    <col min="2817" max="2817" width="4.875" style="1395" customWidth="1"/>
    <col min="2818" max="2818" width="13.25" style="1395" customWidth="1"/>
    <col min="2819" max="2819" width="15.625" style="1395" customWidth="1"/>
    <col min="2820" max="2820" width="9.375" style="1395" bestFit="1" customWidth="1"/>
    <col min="2821" max="2821" width="13.5" style="1395" customWidth="1"/>
    <col min="2822" max="2822" width="9" style="1395"/>
    <col min="2823" max="2823" width="9.375" style="1395" bestFit="1" customWidth="1"/>
    <col min="2824" max="2825" width="9" style="1395"/>
    <col min="2826" max="2826" width="9.375" style="1395" bestFit="1" customWidth="1"/>
    <col min="2827" max="2827" width="4" style="1395" customWidth="1"/>
    <col min="2828" max="2828" width="5.125" style="1395" customWidth="1"/>
    <col min="2829" max="2829" width="13.75" style="1395" customWidth="1"/>
    <col min="2830" max="3072" width="9" style="1395"/>
    <col min="3073" max="3073" width="4.875" style="1395" customWidth="1"/>
    <col min="3074" max="3074" width="13.25" style="1395" customWidth="1"/>
    <col min="3075" max="3075" width="15.625" style="1395" customWidth="1"/>
    <col min="3076" max="3076" width="9.375" style="1395" bestFit="1" customWidth="1"/>
    <col min="3077" max="3077" width="13.5" style="1395" customWidth="1"/>
    <col min="3078" max="3078" width="9" style="1395"/>
    <col min="3079" max="3079" width="9.375" style="1395" bestFit="1" customWidth="1"/>
    <col min="3080" max="3081" width="9" style="1395"/>
    <col min="3082" max="3082" width="9.375" style="1395" bestFit="1" customWidth="1"/>
    <col min="3083" max="3083" width="4" style="1395" customWidth="1"/>
    <col min="3084" max="3084" width="5.125" style="1395" customWidth="1"/>
    <col min="3085" max="3085" width="13.75" style="1395" customWidth="1"/>
    <col min="3086" max="3328" width="9" style="1395"/>
    <col min="3329" max="3329" width="4.875" style="1395" customWidth="1"/>
    <col min="3330" max="3330" width="13.25" style="1395" customWidth="1"/>
    <col min="3331" max="3331" width="15.625" style="1395" customWidth="1"/>
    <col min="3332" max="3332" width="9.375" style="1395" bestFit="1" customWidth="1"/>
    <col min="3333" max="3333" width="13.5" style="1395" customWidth="1"/>
    <col min="3334" max="3334" width="9" style="1395"/>
    <col min="3335" max="3335" width="9.375" style="1395" bestFit="1" customWidth="1"/>
    <col min="3336" max="3337" width="9" style="1395"/>
    <col min="3338" max="3338" width="9.375" style="1395" bestFit="1" customWidth="1"/>
    <col min="3339" max="3339" width="4" style="1395" customWidth="1"/>
    <col min="3340" max="3340" width="5.125" style="1395" customWidth="1"/>
    <col min="3341" max="3341" width="13.75" style="1395" customWidth="1"/>
    <col min="3342" max="3584" width="9" style="1395"/>
    <col min="3585" max="3585" width="4.875" style="1395" customWidth="1"/>
    <col min="3586" max="3586" width="13.25" style="1395" customWidth="1"/>
    <col min="3587" max="3587" width="15.625" style="1395" customWidth="1"/>
    <col min="3588" max="3588" width="9.375" style="1395" bestFit="1" customWidth="1"/>
    <col min="3589" max="3589" width="13.5" style="1395" customWidth="1"/>
    <col min="3590" max="3590" width="9" style="1395"/>
    <col min="3591" max="3591" width="9.375" style="1395" bestFit="1" customWidth="1"/>
    <col min="3592" max="3593" width="9" style="1395"/>
    <col min="3594" max="3594" width="9.375" style="1395" bestFit="1" customWidth="1"/>
    <col min="3595" max="3595" width="4" style="1395" customWidth="1"/>
    <col min="3596" max="3596" width="5.125" style="1395" customWidth="1"/>
    <col min="3597" max="3597" width="13.75" style="1395" customWidth="1"/>
    <col min="3598" max="3840" width="9" style="1395"/>
    <col min="3841" max="3841" width="4.875" style="1395" customWidth="1"/>
    <col min="3842" max="3842" width="13.25" style="1395" customWidth="1"/>
    <col min="3843" max="3843" width="15.625" style="1395" customWidth="1"/>
    <col min="3844" max="3844" width="9.375" style="1395" bestFit="1" customWidth="1"/>
    <col min="3845" max="3845" width="13.5" style="1395" customWidth="1"/>
    <col min="3846" max="3846" width="9" style="1395"/>
    <col min="3847" max="3847" width="9.375" style="1395" bestFit="1" customWidth="1"/>
    <col min="3848" max="3849" width="9" style="1395"/>
    <col min="3850" max="3850" width="9.375" style="1395" bestFit="1" customWidth="1"/>
    <col min="3851" max="3851" width="4" style="1395" customWidth="1"/>
    <col min="3852" max="3852" width="5.125" style="1395" customWidth="1"/>
    <col min="3853" max="3853" width="13.75" style="1395" customWidth="1"/>
    <col min="3854" max="4096" width="9" style="1395"/>
    <col min="4097" max="4097" width="4.875" style="1395" customWidth="1"/>
    <col min="4098" max="4098" width="13.25" style="1395" customWidth="1"/>
    <col min="4099" max="4099" width="15.625" style="1395" customWidth="1"/>
    <col min="4100" max="4100" width="9.375" style="1395" bestFit="1" customWidth="1"/>
    <col min="4101" max="4101" width="13.5" style="1395" customWidth="1"/>
    <col min="4102" max="4102" width="9" style="1395"/>
    <col min="4103" max="4103" width="9.375" style="1395" bestFit="1" customWidth="1"/>
    <col min="4104" max="4105" width="9" style="1395"/>
    <col min="4106" max="4106" width="9.375" style="1395" bestFit="1" customWidth="1"/>
    <col min="4107" max="4107" width="4" style="1395" customWidth="1"/>
    <col min="4108" max="4108" width="5.125" style="1395" customWidth="1"/>
    <col min="4109" max="4109" width="13.75" style="1395" customWidth="1"/>
    <col min="4110" max="4352" width="9" style="1395"/>
    <col min="4353" max="4353" width="4.875" style="1395" customWidth="1"/>
    <col min="4354" max="4354" width="13.25" style="1395" customWidth="1"/>
    <col min="4355" max="4355" width="15.625" style="1395" customWidth="1"/>
    <col min="4356" max="4356" width="9.375" style="1395" bestFit="1" customWidth="1"/>
    <col min="4357" max="4357" width="13.5" style="1395" customWidth="1"/>
    <col min="4358" max="4358" width="9" style="1395"/>
    <col min="4359" max="4359" width="9.375" style="1395" bestFit="1" customWidth="1"/>
    <col min="4360" max="4361" width="9" style="1395"/>
    <col min="4362" max="4362" width="9.375" style="1395" bestFit="1" customWidth="1"/>
    <col min="4363" max="4363" width="4" style="1395" customWidth="1"/>
    <col min="4364" max="4364" width="5.125" style="1395" customWidth="1"/>
    <col min="4365" max="4365" width="13.75" style="1395" customWidth="1"/>
    <col min="4366" max="4608" width="9" style="1395"/>
    <col min="4609" max="4609" width="4.875" style="1395" customWidth="1"/>
    <col min="4610" max="4610" width="13.25" style="1395" customWidth="1"/>
    <col min="4611" max="4611" width="15.625" style="1395" customWidth="1"/>
    <col min="4612" max="4612" width="9.375" style="1395" bestFit="1" customWidth="1"/>
    <col min="4613" max="4613" width="13.5" style="1395" customWidth="1"/>
    <col min="4614" max="4614" width="9" style="1395"/>
    <col min="4615" max="4615" width="9.375" style="1395" bestFit="1" customWidth="1"/>
    <col min="4616" max="4617" width="9" style="1395"/>
    <col min="4618" max="4618" width="9.375" style="1395" bestFit="1" customWidth="1"/>
    <col min="4619" max="4619" width="4" style="1395" customWidth="1"/>
    <col min="4620" max="4620" width="5.125" style="1395" customWidth="1"/>
    <col min="4621" max="4621" width="13.75" style="1395" customWidth="1"/>
    <col min="4622" max="4864" width="9" style="1395"/>
    <col min="4865" max="4865" width="4.875" style="1395" customWidth="1"/>
    <col min="4866" max="4866" width="13.25" style="1395" customWidth="1"/>
    <col min="4867" max="4867" width="15.625" style="1395" customWidth="1"/>
    <col min="4868" max="4868" width="9.375" style="1395" bestFit="1" customWidth="1"/>
    <col min="4869" max="4869" width="13.5" style="1395" customWidth="1"/>
    <col min="4870" max="4870" width="9" style="1395"/>
    <col min="4871" max="4871" width="9.375" style="1395" bestFit="1" customWidth="1"/>
    <col min="4872" max="4873" width="9" style="1395"/>
    <col min="4874" max="4874" width="9.375" style="1395" bestFit="1" customWidth="1"/>
    <col min="4875" max="4875" width="4" style="1395" customWidth="1"/>
    <col min="4876" max="4876" width="5.125" style="1395" customWidth="1"/>
    <col min="4877" max="4877" width="13.75" style="1395" customWidth="1"/>
    <col min="4878" max="5120" width="9" style="1395"/>
    <col min="5121" max="5121" width="4.875" style="1395" customWidth="1"/>
    <col min="5122" max="5122" width="13.25" style="1395" customWidth="1"/>
    <col min="5123" max="5123" width="15.625" style="1395" customWidth="1"/>
    <col min="5124" max="5124" width="9.375" style="1395" bestFit="1" customWidth="1"/>
    <col min="5125" max="5125" width="13.5" style="1395" customWidth="1"/>
    <col min="5126" max="5126" width="9" style="1395"/>
    <col min="5127" max="5127" width="9.375" style="1395" bestFit="1" customWidth="1"/>
    <col min="5128" max="5129" width="9" style="1395"/>
    <col min="5130" max="5130" width="9.375" style="1395" bestFit="1" customWidth="1"/>
    <col min="5131" max="5131" width="4" style="1395" customWidth="1"/>
    <col min="5132" max="5132" width="5.125" style="1395" customWidth="1"/>
    <col min="5133" max="5133" width="13.75" style="1395" customWidth="1"/>
    <col min="5134" max="5376" width="9" style="1395"/>
    <col min="5377" max="5377" width="4.875" style="1395" customWidth="1"/>
    <col min="5378" max="5378" width="13.25" style="1395" customWidth="1"/>
    <col min="5379" max="5379" width="15.625" style="1395" customWidth="1"/>
    <col min="5380" max="5380" width="9.375" style="1395" bestFit="1" customWidth="1"/>
    <col min="5381" max="5381" width="13.5" style="1395" customWidth="1"/>
    <col min="5382" max="5382" width="9" style="1395"/>
    <col min="5383" max="5383" width="9.375" style="1395" bestFit="1" customWidth="1"/>
    <col min="5384" max="5385" width="9" style="1395"/>
    <col min="5386" max="5386" width="9.375" style="1395" bestFit="1" customWidth="1"/>
    <col min="5387" max="5387" width="4" style="1395" customWidth="1"/>
    <col min="5388" max="5388" width="5.125" style="1395" customWidth="1"/>
    <col min="5389" max="5389" width="13.75" style="1395" customWidth="1"/>
    <col min="5390" max="5632" width="9" style="1395"/>
    <col min="5633" max="5633" width="4.875" style="1395" customWidth="1"/>
    <col min="5634" max="5634" width="13.25" style="1395" customWidth="1"/>
    <col min="5635" max="5635" width="15.625" style="1395" customWidth="1"/>
    <col min="5636" max="5636" width="9.375" style="1395" bestFit="1" customWidth="1"/>
    <col min="5637" max="5637" width="13.5" style="1395" customWidth="1"/>
    <col min="5638" max="5638" width="9" style="1395"/>
    <col min="5639" max="5639" width="9.375" style="1395" bestFit="1" customWidth="1"/>
    <col min="5640" max="5641" width="9" style="1395"/>
    <col min="5642" max="5642" width="9.375" style="1395" bestFit="1" customWidth="1"/>
    <col min="5643" max="5643" width="4" style="1395" customWidth="1"/>
    <col min="5644" max="5644" width="5.125" style="1395" customWidth="1"/>
    <col min="5645" max="5645" width="13.75" style="1395" customWidth="1"/>
    <col min="5646" max="5888" width="9" style="1395"/>
    <col min="5889" max="5889" width="4.875" style="1395" customWidth="1"/>
    <col min="5890" max="5890" width="13.25" style="1395" customWidth="1"/>
    <col min="5891" max="5891" width="15.625" style="1395" customWidth="1"/>
    <col min="5892" max="5892" width="9.375" style="1395" bestFit="1" customWidth="1"/>
    <col min="5893" max="5893" width="13.5" style="1395" customWidth="1"/>
    <col min="5894" max="5894" width="9" style="1395"/>
    <col min="5895" max="5895" width="9.375" style="1395" bestFit="1" customWidth="1"/>
    <col min="5896" max="5897" width="9" style="1395"/>
    <col min="5898" max="5898" width="9.375" style="1395" bestFit="1" customWidth="1"/>
    <col min="5899" max="5899" width="4" style="1395" customWidth="1"/>
    <col min="5900" max="5900" width="5.125" style="1395" customWidth="1"/>
    <col min="5901" max="5901" width="13.75" style="1395" customWidth="1"/>
    <col min="5902" max="6144" width="9" style="1395"/>
    <col min="6145" max="6145" width="4.875" style="1395" customWidth="1"/>
    <col min="6146" max="6146" width="13.25" style="1395" customWidth="1"/>
    <col min="6147" max="6147" width="15.625" style="1395" customWidth="1"/>
    <col min="6148" max="6148" width="9.375" style="1395" bestFit="1" customWidth="1"/>
    <col min="6149" max="6149" width="13.5" style="1395" customWidth="1"/>
    <col min="6150" max="6150" width="9" style="1395"/>
    <col min="6151" max="6151" width="9.375" style="1395" bestFit="1" customWidth="1"/>
    <col min="6152" max="6153" width="9" style="1395"/>
    <col min="6154" max="6154" width="9.375" style="1395" bestFit="1" customWidth="1"/>
    <col min="6155" max="6155" width="4" style="1395" customWidth="1"/>
    <col min="6156" max="6156" width="5.125" style="1395" customWidth="1"/>
    <col min="6157" max="6157" width="13.75" style="1395" customWidth="1"/>
    <col min="6158" max="6400" width="9" style="1395"/>
    <col min="6401" max="6401" width="4.875" style="1395" customWidth="1"/>
    <col min="6402" max="6402" width="13.25" style="1395" customWidth="1"/>
    <col min="6403" max="6403" width="15.625" style="1395" customWidth="1"/>
    <col min="6404" max="6404" width="9.375" style="1395" bestFit="1" customWidth="1"/>
    <col min="6405" max="6405" width="13.5" style="1395" customWidth="1"/>
    <col min="6406" max="6406" width="9" style="1395"/>
    <col min="6407" max="6407" width="9.375" style="1395" bestFit="1" customWidth="1"/>
    <col min="6408" max="6409" width="9" style="1395"/>
    <col min="6410" max="6410" width="9.375" style="1395" bestFit="1" customWidth="1"/>
    <col min="6411" max="6411" width="4" style="1395" customWidth="1"/>
    <col min="6412" max="6412" width="5.125" style="1395" customWidth="1"/>
    <col min="6413" max="6413" width="13.75" style="1395" customWidth="1"/>
    <col min="6414" max="6656" width="9" style="1395"/>
    <col min="6657" max="6657" width="4.875" style="1395" customWidth="1"/>
    <col min="6658" max="6658" width="13.25" style="1395" customWidth="1"/>
    <col min="6659" max="6659" width="15.625" style="1395" customWidth="1"/>
    <col min="6660" max="6660" width="9.375" style="1395" bestFit="1" customWidth="1"/>
    <col min="6661" max="6661" width="13.5" style="1395" customWidth="1"/>
    <col min="6662" max="6662" width="9" style="1395"/>
    <col min="6663" max="6663" width="9.375" style="1395" bestFit="1" customWidth="1"/>
    <col min="6664" max="6665" width="9" style="1395"/>
    <col min="6666" max="6666" width="9.375" style="1395" bestFit="1" customWidth="1"/>
    <col min="6667" max="6667" width="4" style="1395" customWidth="1"/>
    <col min="6668" max="6668" width="5.125" style="1395" customWidth="1"/>
    <col min="6669" max="6669" width="13.75" style="1395" customWidth="1"/>
    <col min="6670" max="6912" width="9" style="1395"/>
    <col min="6913" max="6913" width="4.875" style="1395" customWidth="1"/>
    <col min="6914" max="6914" width="13.25" style="1395" customWidth="1"/>
    <col min="6915" max="6915" width="15.625" style="1395" customWidth="1"/>
    <col min="6916" max="6916" width="9.375" style="1395" bestFit="1" customWidth="1"/>
    <col min="6917" max="6917" width="13.5" style="1395" customWidth="1"/>
    <col min="6918" max="6918" width="9" style="1395"/>
    <col min="6919" max="6919" width="9.375" style="1395" bestFit="1" customWidth="1"/>
    <col min="6920" max="6921" width="9" style="1395"/>
    <col min="6922" max="6922" width="9.375" style="1395" bestFit="1" customWidth="1"/>
    <col min="6923" max="6923" width="4" style="1395" customWidth="1"/>
    <col min="6924" max="6924" width="5.125" style="1395" customWidth="1"/>
    <col min="6925" max="6925" width="13.75" style="1395" customWidth="1"/>
    <col min="6926" max="7168" width="9" style="1395"/>
    <col min="7169" max="7169" width="4.875" style="1395" customWidth="1"/>
    <col min="7170" max="7170" width="13.25" style="1395" customWidth="1"/>
    <col min="7171" max="7171" width="15.625" style="1395" customWidth="1"/>
    <col min="7172" max="7172" width="9.375" style="1395" bestFit="1" customWidth="1"/>
    <col min="7173" max="7173" width="13.5" style="1395" customWidth="1"/>
    <col min="7174" max="7174" width="9" style="1395"/>
    <col min="7175" max="7175" width="9.375" style="1395" bestFit="1" customWidth="1"/>
    <col min="7176" max="7177" width="9" style="1395"/>
    <col min="7178" max="7178" width="9.375" style="1395" bestFit="1" customWidth="1"/>
    <col min="7179" max="7179" width="4" style="1395" customWidth="1"/>
    <col min="7180" max="7180" width="5.125" style="1395" customWidth="1"/>
    <col min="7181" max="7181" width="13.75" style="1395" customWidth="1"/>
    <col min="7182" max="7424" width="9" style="1395"/>
    <col min="7425" max="7425" width="4.875" style="1395" customWidth="1"/>
    <col min="7426" max="7426" width="13.25" style="1395" customWidth="1"/>
    <col min="7427" max="7427" width="15.625" style="1395" customWidth="1"/>
    <col min="7428" max="7428" width="9.375" style="1395" bestFit="1" customWidth="1"/>
    <col min="7429" max="7429" width="13.5" style="1395" customWidth="1"/>
    <col min="7430" max="7430" width="9" style="1395"/>
    <col min="7431" max="7431" width="9.375" style="1395" bestFit="1" customWidth="1"/>
    <col min="7432" max="7433" width="9" style="1395"/>
    <col min="7434" max="7434" width="9.375" style="1395" bestFit="1" customWidth="1"/>
    <col min="7435" max="7435" width="4" style="1395" customWidth="1"/>
    <col min="7436" max="7436" width="5.125" style="1395" customWidth="1"/>
    <col min="7437" max="7437" width="13.75" style="1395" customWidth="1"/>
    <col min="7438" max="7680" width="9" style="1395"/>
    <col min="7681" max="7681" width="4.875" style="1395" customWidth="1"/>
    <col min="7682" max="7682" width="13.25" style="1395" customWidth="1"/>
    <col min="7683" max="7683" width="15.625" style="1395" customWidth="1"/>
    <col min="7684" max="7684" width="9.375" style="1395" bestFit="1" customWidth="1"/>
    <col min="7685" max="7685" width="13.5" style="1395" customWidth="1"/>
    <col min="7686" max="7686" width="9" style="1395"/>
    <col min="7687" max="7687" width="9.375" style="1395" bestFit="1" customWidth="1"/>
    <col min="7688" max="7689" width="9" style="1395"/>
    <col min="7690" max="7690" width="9.375" style="1395" bestFit="1" customWidth="1"/>
    <col min="7691" max="7691" width="4" style="1395" customWidth="1"/>
    <col min="7692" max="7692" width="5.125" style="1395" customWidth="1"/>
    <col min="7693" max="7693" width="13.75" style="1395" customWidth="1"/>
    <col min="7694" max="7936" width="9" style="1395"/>
    <col min="7937" max="7937" width="4.875" style="1395" customWidth="1"/>
    <col min="7938" max="7938" width="13.25" style="1395" customWidth="1"/>
    <col min="7939" max="7939" width="15.625" style="1395" customWidth="1"/>
    <col min="7940" max="7940" width="9.375" style="1395" bestFit="1" customWidth="1"/>
    <col min="7941" max="7941" width="13.5" style="1395" customWidth="1"/>
    <col min="7942" max="7942" width="9" style="1395"/>
    <col min="7943" max="7943" width="9.375" style="1395" bestFit="1" customWidth="1"/>
    <col min="7944" max="7945" width="9" style="1395"/>
    <col min="7946" max="7946" width="9.375" style="1395" bestFit="1" customWidth="1"/>
    <col min="7947" max="7947" width="4" style="1395" customWidth="1"/>
    <col min="7948" max="7948" width="5.125" style="1395" customWidth="1"/>
    <col min="7949" max="7949" width="13.75" style="1395" customWidth="1"/>
    <col min="7950" max="8192" width="9" style="1395"/>
    <col min="8193" max="8193" width="4.875" style="1395" customWidth="1"/>
    <col min="8194" max="8194" width="13.25" style="1395" customWidth="1"/>
    <col min="8195" max="8195" width="15.625" style="1395" customWidth="1"/>
    <col min="8196" max="8196" width="9.375" style="1395" bestFit="1" customWidth="1"/>
    <col min="8197" max="8197" width="13.5" style="1395" customWidth="1"/>
    <col min="8198" max="8198" width="9" style="1395"/>
    <col min="8199" max="8199" width="9.375" style="1395" bestFit="1" customWidth="1"/>
    <col min="8200" max="8201" width="9" style="1395"/>
    <col min="8202" max="8202" width="9.375" style="1395" bestFit="1" customWidth="1"/>
    <col min="8203" max="8203" width="4" style="1395" customWidth="1"/>
    <col min="8204" max="8204" width="5.125" style="1395" customWidth="1"/>
    <col min="8205" max="8205" width="13.75" style="1395" customWidth="1"/>
    <col min="8206" max="8448" width="9" style="1395"/>
    <col min="8449" max="8449" width="4.875" style="1395" customWidth="1"/>
    <col min="8450" max="8450" width="13.25" style="1395" customWidth="1"/>
    <col min="8451" max="8451" width="15.625" style="1395" customWidth="1"/>
    <col min="8452" max="8452" width="9.375" style="1395" bestFit="1" customWidth="1"/>
    <col min="8453" max="8453" width="13.5" style="1395" customWidth="1"/>
    <col min="8454" max="8454" width="9" style="1395"/>
    <col min="8455" max="8455" width="9.375" style="1395" bestFit="1" customWidth="1"/>
    <col min="8456" max="8457" width="9" style="1395"/>
    <col min="8458" max="8458" width="9.375" style="1395" bestFit="1" customWidth="1"/>
    <col min="8459" max="8459" width="4" style="1395" customWidth="1"/>
    <col min="8460" max="8460" width="5.125" style="1395" customWidth="1"/>
    <col min="8461" max="8461" width="13.75" style="1395" customWidth="1"/>
    <col min="8462" max="8704" width="9" style="1395"/>
    <col min="8705" max="8705" width="4.875" style="1395" customWidth="1"/>
    <col min="8706" max="8706" width="13.25" style="1395" customWidth="1"/>
    <col min="8707" max="8707" width="15.625" style="1395" customWidth="1"/>
    <col min="8708" max="8708" width="9.375" style="1395" bestFit="1" customWidth="1"/>
    <col min="8709" max="8709" width="13.5" style="1395" customWidth="1"/>
    <col min="8710" max="8710" width="9" style="1395"/>
    <col min="8711" max="8711" width="9.375" style="1395" bestFit="1" customWidth="1"/>
    <col min="8712" max="8713" width="9" style="1395"/>
    <col min="8714" max="8714" width="9.375" style="1395" bestFit="1" customWidth="1"/>
    <col min="8715" max="8715" width="4" style="1395" customWidth="1"/>
    <col min="8716" max="8716" width="5.125" style="1395" customWidth="1"/>
    <col min="8717" max="8717" width="13.75" style="1395" customWidth="1"/>
    <col min="8718" max="8960" width="9" style="1395"/>
    <col min="8961" max="8961" width="4.875" style="1395" customWidth="1"/>
    <col min="8962" max="8962" width="13.25" style="1395" customWidth="1"/>
    <col min="8963" max="8963" width="15.625" style="1395" customWidth="1"/>
    <col min="8964" max="8964" width="9.375" style="1395" bestFit="1" customWidth="1"/>
    <col min="8965" max="8965" width="13.5" style="1395" customWidth="1"/>
    <col min="8966" max="8966" width="9" style="1395"/>
    <col min="8967" max="8967" width="9.375" style="1395" bestFit="1" customWidth="1"/>
    <col min="8968" max="8969" width="9" style="1395"/>
    <col min="8970" max="8970" width="9.375" style="1395" bestFit="1" customWidth="1"/>
    <col min="8971" max="8971" width="4" style="1395" customWidth="1"/>
    <col min="8972" max="8972" width="5.125" style="1395" customWidth="1"/>
    <col min="8973" max="8973" width="13.75" style="1395" customWidth="1"/>
    <col min="8974" max="9216" width="9" style="1395"/>
    <col min="9217" max="9217" width="4.875" style="1395" customWidth="1"/>
    <col min="9218" max="9218" width="13.25" style="1395" customWidth="1"/>
    <col min="9219" max="9219" width="15.625" style="1395" customWidth="1"/>
    <col min="9220" max="9220" width="9.375" style="1395" bestFit="1" customWidth="1"/>
    <col min="9221" max="9221" width="13.5" style="1395" customWidth="1"/>
    <col min="9222" max="9222" width="9" style="1395"/>
    <col min="9223" max="9223" width="9.375" style="1395" bestFit="1" customWidth="1"/>
    <col min="9224" max="9225" width="9" style="1395"/>
    <col min="9226" max="9226" width="9.375" style="1395" bestFit="1" customWidth="1"/>
    <col min="9227" max="9227" width="4" style="1395" customWidth="1"/>
    <col min="9228" max="9228" width="5.125" style="1395" customWidth="1"/>
    <col min="9229" max="9229" width="13.75" style="1395" customWidth="1"/>
    <col min="9230" max="9472" width="9" style="1395"/>
    <col min="9473" max="9473" width="4.875" style="1395" customWidth="1"/>
    <col min="9474" max="9474" width="13.25" style="1395" customWidth="1"/>
    <col min="9475" max="9475" width="15.625" style="1395" customWidth="1"/>
    <col min="9476" max="9476" width="9.375" style="1395" bestFit="1" customWidth="1"/>
    <col min="9477" max="9477" width="13.5" style="1395" customWidth="1"/>
    <col min="9478" max="9478" width="9" style="1395"/>
    <col min="9479" max="9479" width="9.375" style="1395" bestFit="1" customWidth="1"/>
    <col min="9480" max="9481" width="9" style="1395"/>
    <col min="9482" max="9482" width="9.375" style="1395" bestFit="1" customWidth="1"/>
    <col min="9483" max="9483" width="4" style="1395" customWidth="1"/>
    <col min="9484" max="9484" width="5.125" style="1395" customWidth="1"/>
    <col min="9485" max="9485" width="13.75" style="1395" customWidth="1"/>
    <col min="9486" max="9728" width="9" style="1395"/>
    <col min="9729" max="9729" width="4.875" style="1395" customWidth="1"/>
    <col min="9730" max="9730" width="13.25" style="1395" customWidth="1"/>
    <col min="9731" max="9731" width="15.625" style="1395" customWidth="1"/>
    <col min="9732" max="9732" width="9.375" style="1395" bestFit="1" customWidth="1"/>
    <col min="9733" max="9733" width="13.5" style="1395" customWidth="1"/>
    <col min="9734" max="9734" width="9" style="1395"/>
    <col min="9735" max="9735" width="9.375" style="1395" bestFit="1" customWidth="1"/>
    <col min="9736" max="9737" width="9" style="1395"/>
    <col min="9738" max="9738" width="9.375" style="1395" bestFit="1" customWidth="1"/>
    <col min="9739" max="9739" width="4" style="1395" customWidth="1"/>
    <col min="9740" max="9740" width="5.125" style="1395" customWidth="1"/>
    <col min="9741" max="9741" width="13.75" style="1395" customWidth="1"/>
    <col min="9742" max="9984" width="9" style="1395"/>
    <col min="9985" max="9985" width="4.875" style="1395" customWidth="1"/>
    <col min="9986" max="9986" width="13.25" style="1395" customWidth="1"/>
    <col min="9987" max="9987" width="15.625" style="1395" customWidth="1"/>
    <col min="9988" max="9988" width="9.375" style="1395" bestFit="1" customWidth="1"/>
    <col min="9989" max="9989" width="13.5" style="1395" customWidth="1"/>
    <col min="9990" max="9990" width="9" style="1395"/>
    <col min="9991" max="9991" width="9.375" style="1395" bestFit="1" customWidth="1"/>
    <col min="9992" max="9993" width="9" style="1395"/>
    <col min="9994" max="9994" width="9.375" style="1395" bestFit="1" customWidth="1"/>
    <col min="9995" max="9995" width="4" style="1395" customWidth="1"/>
    <col min="9996" max="9996" width="5.125" style="1395" customWidth="1"/>
    <col min="9997" max="9997" width="13.75" style="1395" customWidth="1"/>
    <col min="9998" max="10240" width="9" style="1395"/>
    <col min="10241" max="10241" width="4.875" style="1395" customWidth="1"/>
    <col min="10242" max="10242" width="13.25" style="1395" customWidth="1"/>
    <col min="10243" max="10243" width="15.625" style="1395" customWidth="1"/>
    <col min="10244" max="10244" width="9.375" style="1395" bestFit="1" customWidth="1"/>
    <col min="10245" max="10245" width="13.5" style="1395" customWidth="1"/>
    <col min="10246" max="10246" width="9" style="1395"/>
    <col min="10247" max="10247" width="9.375" style="1395" bestFit="1" customWidth="1"/>
    <col min="10248" max="10249" width="9" style="1395"/>
    <col min="10250" max="10250" width="9.375" style="1395" bestFit="1" customWidth="1"/>
    <col min="10251" max="10251" width="4" style="1395" customWidth="1"/>
    <col min="10252" max="10252" width="5.125" style="1395" customWidth="1"/>
    <col min="10253" max="10253" width="13.75" style="1395" customWidth="1"/>
    <col min="10254" max="10496" width="9" style="1395"/>
    <col min="10497" max="10497" width="4.875" style="1395" customWidth="1"/>
    <col min="10498" max="10498" width="13.25" style="1395" customWidth="1"/>
    <col min="10499" max="10499" width="15.625" style="1395" customWidth="1"/>
    <col min="10500" max="10500" width="9.375" style="1395" bestFit="1" customWidth="1"/>
    <col min="10501" max="10501" width="13.5" style="1395" customWidth="1"/>
    <col min="10502" max="10502" width="9" style="1395"/>
    <col min="10503" max="10503" width="9.375" style="1395" bestFit="1" customWidth="1"/>
    <col min="10504" max="10505" width="9" style="1395"/>
    <col min="10506" max="10506" width="9.375" style="1395" bestFit="1" customWidth="1"/>
    <col min="10507" max="10507" width="4" style="1395" customWidth="1"/>
    <col min="10508" max="10508" width="5.125" style="1395" customWidth="1"/>
    <col min="10509" max="10509" width="13.75" style="1395" customWidth="1"/>
    <col min="10510" max="10752" width="9" style="1395"/>
    <col min="10753" max="10753" width="4.875" style="1395" customWidth="1"/>
    <col min="10754" max="10754" width="13.25" style="1395" customWidth="1"/>
    <col min="10755" max="10755" width="15.625" style="1395" customWidth="1"/>
    <col min="10756" max="10756" width="9.375" style="1395" bestFit="1" customWidth="1"/>
    <col min="10757" max="10757" width="13.5" style="1395" customWidth="1"/>
    <col min="10758" max="10758" width="9" style="1395"/>
    <col min="10759" max="10759" width="9.375" style="1395" bestFit="1" customWidth="1"/>
    <col min="10760" max="10761" width="9" style="1395"/>
    <col min="10762" max="10762" width="9.375" style="1395" bestFit="1" customWidth="1"/>
    <col min="10763" max="10763" width="4" style="1395" customWidth="1"/>
    <col min="10764" max="10764" width="5.125" style="1395" customWidth="1"/>
    <col min="10765" max="10765" width="13.75" style="1395" customWidth="1"/>
    <col min="10766" max="11008" width="9" style="1395"/>
    <col min="11009" max="11009" width="4.875" style="1395" customWidth="1"/>
    <col min="11010" max="11010" width="13.25" style="1395" customWidth="1"/>
    <col min="11011" max="11011" width="15.625" style="1395" customWidth="1"/>
    <col min="11012" max="11012" width="9.375" style="1395" bestFit="1" customWidth="1"/>
    <col min="11013" max="11013" width="13.5" style="1395" customWidth="1"/>
    <col min="11014" max="11014" width="9" style="1395"/>
    <col min="11015" max="11015" width="9.375" style="1395" bestFit="1" customWidth="1"/>
    <col min="11016" max="11017" width="9" style="1395"/>
    <col min="11018" max="11018" width="9.375" style="1395" bestFit="1" customWidth="1"/>
    <col min="11019" max="11019" width="4" style="1395" customWidth="1"/>
    <col min="11020" max="11020" width="5.125" style="1395" customWidth="1"/>
    <col min="11021" max="11021" width="13.75" style="1395" customWidth="1"/>
    <col min="11022" max="11264" width="9" style="1395"/>
    <col min="11265" max="11265" width="4.875" style="1395" customWidth="1"/>
    <col min="11266" max="11266" width="13.25" style="1395" customWidth="1"/>
    <col min="11267" max="11267" width="15.625" style="1395" customWidth="1"/>
    <col min="11268" max="11268" width="9.375" style="1395" bestFit="1" customWidth="1"/>
    <col min="11269" max="11269" width="13.5" style="1395" customWidth="1"/>
    <col min="11270" max="11270" width="9" style="1395"/>
    <col min="11271" max="11271" width="9.375" style="1395" bestFit="1" customWidth="1"/>
    <col min="11272" max="11273" width="9" style="1395"/>
    <col min="11274" max="11274" width="9.375" style="1395" bestFit="1" customWidth="1"/>
    <col min="11275" max="11275" width="4" style="1395" customWidth="1"/>
    <col min="11276" max="11276" width="5.125" style="1395" customWidth="1"/>
    <col min="11277" max="11277" width="13.75" style="1395" customWidth="1"/>
    <col min="11278" max="11520" width="9" style="1395"/>
    <col min="11521" max="11521" width="4.875" style="1395" customWidth="1"/>
    <col min="11522" max="11522" width="13.25" style="1395" customWidth="1"/>
    <col min="11523" max="11523" width="15.625" style="1395" customWidth="1"/>
    <col min="11524" max="11524" width="9.375" style="1395" bestFit="1" customWidth="1"/>
    <col min="11525" max="11525" width="13.5" style="1395" customWidth="1"/>
    <col min="11526" max="11526" width="9" style="1395"/>
    <col min="11527" max="11527" width="9.375" style="1395" bestFit="1" customWidth="1"/>
    <col min="11528" max="11529" width="9" style="1395"/>
    <col min="11530" max="11530" width="9.375" style="1395" bestFit="1" customWidth="1"/>
    <col min="11531" max="11531" width="4" style="1395" customWidth="1"/>
    <col min="11532" max="11532" width="5.125" style="1395" customWidth="1"/>
    <col min="11533" max="11533" width="13.75" style="1395" customWidth="1"/>
    <col min="11534" max="11776" width="9" style="1395"/>
    <col min="11777" max="11777" width="4.875" style="1395" customWidth="1"/>
    <col min="11778" max="11778" width="13.25" style="1395" customWidth="1"/>
    <col min="11779" max="11779" width="15.625" style="1395" customWidth="1"/>
    <col min="11780" max="11780" width="9.375" style="1395" bestFit="1" customWidth="1"/>
    <col min="11781" max="11781" width="13.5" style="1395" customWidth="1"/>
    <col min="11782" max="11782" width="9" style="1395"/>
    <col min="11783" max="11783" width="9.375" style="1395" bestFit="1" customWidth="1"/>
    <col min="11784" max="11785" width="9" style="1395"/>
    <col min="11786" max="11786" width="9.375" style="1395" bestFit="1" customWidth="1"/>
    <col min="11787" max="11787" width="4" style="1395" customWidth="1"/>
    <col min="11788" max="11788" width="5.125" style="1395" customWidth="1"/>
    <col min="11789" max="11789" width="13.75" style="1395" customWidth="1"/>
    <col min="11790" max="12032" width="9" style="1395"/>
    <col min="12033" max="12033" width="4.875" style="1395" customWidth="1"/>
    <col min="12034" max="12034" width="13.25" style="1395" customWidth="1"/>
    <col min="12035" max="12035" width="15.625" style="1395" customWidth="1"/>
    <col min="12036" max="12036" width="9.375" style="1395" bestFit="1" customWidth="1"/>
    <col min="12037" max="12037" width="13.5" style="1395" customWidth="1"/>
    <col min="12038" max="12038" width="9" style="1395"/>
    <col min="12039" max="12039" width="9.375" style="1395" bestFit="1" customWidth="1"/>
    <col min="12040" max="12041" width="9" style="1395"/>
    <col min="12042" max="12042" width="9.375" style="1395" bestFit="1" customWidth="1"/>
    <col min="12043" max="12043" width="4" style="1395" customWidth="1"/>
    <col min="12044" max="12044" width="5.125" style="1395" customWidth="1"/>
    <col min="12045" max="12045" width="13.75" style="1395" customWidth="1"/>
    <col min="12046" max="12288" width="9" style="1395"/>
    <col min="12289" max="12289" width="4.875" style="1395" customWidth="1"/>
    <col min="12290" max="12290" width="13.25" style="1395" customWidth="1"/>
    <col min="12291" max="12291" width="15.625" style="1395" customWidth="1"/>
    <col min="12292" max="12292" width="9.375" style="1395" bestFit="1" customWidth="1"/>
    <col min="12293" max="12293" width="13.5" style="1395" customWidth="1"/>
    <col min="12294" max="12294" width="9" style="1395"/>
    <col min="12295" max="12295" width="9.375" style="1395" bestFit="1" customWidth="1"/>
    <col min="12296" max="12297" width="9" style="1395"/>
    <col min="12298" max="12298" width="9.375" style="1395" bestFit="1" customWidth="1"/>
    <col min="12299" max="12299" width="4" style="1395" customWidth="1"/>
    <col min="12300" max="12300" width="5.125" style="1395" customWidth="1"/>
    <col min="12301" max="12301" width="13.75" style="1395" customWidth="1"/>
    <col min="12302" max="12544" width="9" style="1395"/>
    <col min="12545" max="12545" width="4.875" style="1395" customWidth="1"/>
    <col min="12546" max="12546" width="13.25" style="1395" customWidth="1"/>
    <col min="12547" max="12547" width="15.625" style="1395" customWidth="1"/>
    <col min="12548" max="12548" width="9.375" style="1395" bestFit="1" customWidth="1"/>
    <col min="12549" max="12549" width="13.5" style="1395" customWidth="1"/>
    <col min="12550" max="12550" width="9" style="1395"/>
    <col min="12551" max="12551" width="9.375" style="1395" bestFit="1" customWidth="1"/>
    <col min="12552" max="12553" width="9" style="1395"/>
    <col min="12554" max="12554" width="9.375" style="1395" bestFit="1" customWidth="1"/>
    <col min="12555" max="12555" width="4" style="1395" customWidth="1"/>
    <col min="12556" max="12556" width="5.125" style="1395" customWidth="1"/>
    <col min="12557" max="12557" width="13.75" style="1395" customWidth="1"/>
    <col min="12558" max="12800" width="9" style="1395"/>
    <col min="12801" max="12801" width="4.875" style="1395" customWidth="1"/>
    <col min="12802" max="12802" width="13.25" style="1395" customWidth="1"/>
    <col min="12803" max="12803" width="15.625" style="1395" customWidth="1"/>
    <col min="12804" max="12804" width="9.375" style="1395" bestFit="1" customWidth="1"/>
    <col min="12805" max="12805" width="13.5" style="1395" customWidth="1"/>
    <col min="12806" max="12806" width="9" style="1395"/>
    <col min="12807" max="12807" width="9.375" style="1395" bestFit="1" customWidth="1"/>
    <col min="12808" max="12809" width="9" style="1395"/>
    <col min="12810" max="12810" width="9.375" style="1395" bestFit="1" customWidth="1"/>
    <col min="12811" max="12811" width="4" style="1395" customWidth="1"/>
    <col min="12812" max="12812" width="5.125" style="1395" customWidth="1"/>
    <col min="12813" max="12813" width="13.75" style="1395" customWidth="1"/>
    <col min="12814" max="13056" width="9" style="1395"/>
    <col min="13057" max="13057" width="4.875" style="1395" customWidth="1"/>
    <col min="13058" max="13058" width="13.25" style="1395" customWidth="1"/>
    <col min="13059" max="13059" width="15.625" style="1395" customWidth="1"/>
    <col min="13060" max="13060" width="9.375" style="1395" bestFit="1" customWidth="1"/>
    <col min="13061" max="13061" width="13.5" style="1395" customWidth="1"/>
    <col min="13062" max="13062" width="9" style="1395"/>
    <col min="13063" max="13063" width="9.375" style="1395" bestFit="1" customWidth="1"/>
    <col min="13064" max="13065" width="9" style="1395"/>
    <col min="13066" max="13066" width="9.375" style="1395" bestFit="1" customWidth="1"/>
    <col min="13067" max="13067" width="4" style="1395" customWidth="1"/>
    <col min="13068" max="13068" width="5.125" style="1395" customWidth="1"/>
    <col min="13069" max="13069" width="13.75" style="1395" customWidth="1"/>
    <col min="13070" max="13312" width="9" style="1395"/>
    <col min="13313" max="13313" width="4.875" style="1395" customWidth="1"/>
    <col min="13314" max="13314" width="13.25" style="1395" customWidth="1"/>
    <col min="13315" max="13315" width="15.625" style="1395" customWidth="1"/>
    <col min="13316" max="13316" width="9.375" style="1395" bestFit="1" customWidth="1"/>
    <col min="13317" max="13317" width="13.5" style="1395" customWidth="1"/>
    <col min="13318" max="13318" width="9" style="1395"/>
    <col min="13319" max="13319" width="9.375" style="1395" bestFit="1" customWidth="1"/>
    <col min="13320" max="13321" width="9" style="1395"/>
    <col min="13322" max="13322" width="9.375" style="1395" bestFit="1" customWidth="1"/>
    <col min="13323" max="13323" width="4" style="1395" customWidth="1"/>
    <col min="13324" max="13324" width="5.125" style="1395" customWidth="1"/>
    <col min="13325" max="13325" width="13.75" style="1395" customWidth="1"/>
    <col min="13326" max="13568" width="9" style="1395"/>
    <col min="13569" max="13569" width="4.875" style="1395" customWidth="1"/>
    <col min="13570" max="13570" width="13.25" style="1395" customWidth="1"/>
    <col min="13571" max="13571" width="15.625" style="1395" customWidth="1"/>
    <col min="13572" max="13572" width="9.375" style="1395" bestFit="1" customWidth="1"/>
    <col min="13573" max="13573" width="13.5" style="1395" customWidth="1"/>
    <col min="13574" max="13574" width="9" style="1395"/>
    <col min="13575" max="13575" width="9.375" style="1395" bestFit="1" customWidth="1"/>
    <col min="13576" max="13577" width="9" style="1395"/>
    <col min="13578" max="13578" width="9.375" style="1395" bestFit="1" customWidth="1"/>
    <col min="13579" max="13579" width="4" style="1395" customWidth="1"/>
    <col min="13580" max="13580" width="5.125" style="1395" customWidth="1"/>
    <col min="13581" max="13581" width="13.75" style="1395" customWidth="1"/>
    <col min="13582" max="13824" width="9" style="1395"/>
    <col min="13825" max="13825" width="4.875" style="1395" customWidth="1"/>
    <col min="13826" max="13826" width="13.25" style="1395" customWidth="1"/>
    <col min="13827" max="13827" width="15.625" style="1395" customWidth="1"/>
    <col min="13828" max="13828" width="9.375" style="1395" bestFit="1" customWidth="1"/>
    <col min="13829" max="13829" width="13.5" style="1395" customWidth="1"/>
    <col min="13830" max="13830" width="9" style="1395"/>
    <col min="13831" max="13831" width="9.375" style="1395" bestFit="1" customWidth="1"/>
    <col min="13832" max="13833" width="9" style="1395"/>
    <col min="13834" max="13834" width="9.375" style="1395" bestFit="1" customWidth="1"/>
    <col min="13835" max="13835" width="4" style="1395" customWidth="1"/>
    <col min="13836" max="13836" width="5.125" style="1395" customWidth="1"/>
    <col min="13837" max="13837" width="13.75" style="1395" customWidth="1"/>
    <col min="13838" max="14080" width="9" style="1395"/>
    <col min="14081" max="14081" width="4.875" style="1395" customWidth="1"/>
    <col min="14082" max="14082" width="13.25" style="1395" customWidth="1"/>
    <col min="14083" max="14083" width="15.625" style="1395" customWidth="1"/>
    <col min="14084" max="14084" width="9.375" style="1395" bestFit="1" customWidth="1"/>
    <col min="14085" max="14085" width="13.5" style="1395" customWidth="1"/>
    <col min="14086" max="14086" width="9" style="1395"/>
    <col min="14087" max="14087" width="9.375" style="1395" bestFit="1" customWidth="1"/>
    <col min="14088" max="14089" width="9" style="1395"/>
    <col min="14090" max="14090" width="9.375" style="1395" bestFit="1" customWidth="1"/>
    <col min="14091" max="14091" width="4" style="1395" customWidth="1"/>
    <col min="14092" max="14092" width="5.125" style="1395" customWidth="1"/>
    <col min="14093" max="14093" width="13.75" style="1395" customWidth="1"/>
    <col min="14094" max="14336" width="9" style="1395"/>
    <col min="14337" max="14337" width="4.875" style="1395" customWidth="1"/>
    <col min="14338" max="14338" width="13.25" style="1395" customWidth="1"/>
    <col min="14339" max="14339" width="15.625" style="1395" customWidth="1"/>
    <col min="14340" max="14340" width="9.375" style="1395" bestFit="1" customWidth="1"/>
    <col min="14341" max="14341" width="13.5" style="1395" customWidth="1"/>
    <col min="14342" max="14342" width="9" style="1395"/>
    <col min="14343" max="14343" width="9.375" style="1395" bestFit="1" customWidth="1"/>
    <col min="14344" max="14345" width="9" style="1395"/>
    <col min="14346" max="14346" width="9.375" style="1395" bestFit="1" customWidth="1"/>
    <col min="14347" max="14347" width="4" style="1395" customWidth="1"/>
    <col min="14348" max="14348" width="5.125" style="1395" customWidth="1"/>
    <col min="14349" max="14349" width="13.75" style="1395" customWidth="1"/>
    <col min="14350" max="14592" width="9" style="1395"/>
    <col min="14593" max="14593" width="4.875" style="1395" customWidth="1"/>
    <col min="14594" max="14594" width="13.25" style="1395" customWidth="1"/>
    <col min="14595" max="14595" width="15.625" style="1395" customWidth="1"/>
    <col min="14596" max="14596" width="9.375" style="1395" bestFit="1" customWidth="1"/>
    <col min="14597" max="14597" width="13.5" style="1395" customWidth="1"/>
    <col min="14598" max="14598" width="9" style="1395"/>
    <col min="14599" max="14599" width="9.375" style="1395" bestFit="1" customWidth="1"/>
    <col min="14600" max="14601" width="9" style="1395"/>
    <col min="14602" max="14602" width="9.375" style="1395" bestFit="1" customWidth="1"/>
    <col min="14603" max="14603" width="4" style="1395" customWidth="1"/>
    <col min="14604" max="14604" width="5.125" style="1395" customWidth="1"/>
    <col min="14605" max="14605" width="13.75" style="1395" customWidth="1"/>
    <col min="14606" max="14848" width="9" style="1395"/>
    <col min="14849" max="14849" width="4.875" style="1395" customWidth="1"/>
    <col min="14850" max="14850" width="13.25" style="1395" customWidth="1"/>
    <col min="14851" max="14851" width="15.625" style="1395" customWidth="1"/>
    <col min="14852" max="14852" width="9.375" style="1395" bestFit="1" customWidth="1"/>
    <col min="14853" max="14853" width="13.5" style="1395" customWidth="1"/>
    <col min="14854" max="14854" width="9" style="1395"/>
    <col min="14855" max="14855" width="9.375" style="1395" bestFit="1" customWidth="1"/>
    <col min="14856" max="14857" width="9" style="1395"/>
    <col min="14858" max="14858" width="9.375" style="1395" bestFit="1" customWidth="1"/>
    <col min="14859" max="14859" width="4" style="1395" customWidth="1"/>
    <col min="14860" max="14860" width="5.125" style="1395" customWidth="1"/>
    <col min="14861" max="14861" width="13.75" style="1395" customWidth="1"/>
    <col min="14862" max="15104" width="9" style="1395"/>
    <col min="15105" max="15105" width="4.875" style="1395" customWidth="1"/>
    <col min="15106" max="15106" width="13.25" style="1395" customWidth="1"/>
    <col min="15107" max="15107" width="15.625" style="1395" customWidth="1"/>
    <col min="15108" max="15108" width="9.375" style="1395" bestFit="1" customWidth="1"/>
    <col min="15109" max="15109" width="13.5" style="1395" customWidth="1"/>
    <col min="15110" max="15110" width="9" style="1395"/>
    <col min="15111" max="15111" width="9.375" style="1395" bestFit="1" customWidth="1"/>
    <col min="15112" max="15113" width="9" style="1395"/>
    <col min="15114" max="15114" width="9.375" style="1395" bestFit="1" customWidth="1"/>
    <col min="15115" max="15115" width="4" style="1395" customWidth="1"/>
    <col min="15116" max="15116" width="5.125" style="1395" customWidth="1"/>
    <col min="15117" max="15117" width="13.75" style="1395" customWidth="1"/>
    <col min="15118" max="15360" width="9" style="1395"/>
    <col min="15361" max="15361" width="4.875" style="1395" customWidth="1"/>
    <col min="15362" max="15362" width="13.25" style="1395" customWidth="1"/>
    <col min="15363" max="15363" width="15.625" style="1395" customWidth="1"/>
    <col min="15364" max="15364" width="9.375" style="1395" bestFit="1" customWidth="1"/>
    <col min="15365" max="15365" width="13.5" style="1395" customWidth="1"/>
    <col min="15366" max="15366" width="9" style="1395"/>
    <col min="15367" max="15367" width="9.375" style="1395" bestFit="1" customWidth="1"/>
    <col min="15368" max="15369" width="9" style="1395"/>
    <col min="15370" max="15370" width="9.375" style="1395" bestFit="1" customWidth="1"/>
    <col min="15371" max="15371" width="4" style="1395" customWidth="1"/>
    <col min="15372" max="15372" width="5.125" style="1395" customWidth="1"/>
    <col min="15373" max="15373" width="13.75" style="1395" customWidth="1"/>
    <col min="15374" max="15616" width="9" style="1395"/>
    <col min="15617" max="15617" width="4.875" style="1395" customWidth="1"/>
    <col min="15618" max="15618" width="13.25" style="1395" customWidth="1"/>
    <col min="15619" max="15619" width="15.625" style="1395" customWidth="1"/>
    <col min="15620" max="15620" width="9.375" style="1395" bestFit="1" customWidth="1"/>
    <col min="15621" max="15621" width="13.5" style="1395" customWidth="1"/>
    <col min="15622" max="15622" width="9" style="1395"/>
    <col min="15623" max="15623" width="9.375" style="1395" bestFit="1" customWidth="1"/>
    <col min="15624" max="15625" width="9" style="1395"/>
    <col min="15626" max="15626" width="9.375" style="1395" bestFit="1" customWidth="1"/>
    <col min="15627" max="15627" width="4" style="1395" customWidth="1"/>
    <col min="15628" max="15628" width="5.125" style="1395" customWidth="1"/>
    <col min="15629" max="15629" width="13.75" style="1395" customWidth="1"/>
    <col min="15630" max="15872" width="9" style="1395"/>
    <col min="15873" max="15873" width="4.875" style="1395" customWidth="1"/>
    <col min="15874" max="15874" width="13.25" style="1395" customWidth="1"/>
    <col min="15875" max="15875" width="15.625" style="1395" customWidth="1"/>
    <col min="15876" max="15876" width="9.375" style="1395" bestFit="1" customWidth="1"/>
    <col min="15877" max="15877" width="13.5" style="1395" customWidth="1"/>
    <col min="15878" max="15878" width="9" style="1395"/>
    <col min="15879" max="15879" width="9.375" style="1395" bestFit="1" customWidth="1"/>
    <col min="15880" max="15881" width="9" style="1395"/>
    <col min="15882" max="15882" width="9.375" style="1395" bestFit="1" customWidth="1"/>
    <col min="15883" max="15883" width="4" style="1395" customWidth="1"/>
    <col min="15884" max="15884" width="5.125" style="1395" customWidth="1"/>
    <col min="15885" max="15885" width="13.75" style="1395" customWidth="1"/>
    <col min="15886" max="16128" width="9" style="1395"/>
    <col min="16129" max="16129" width="4.875" style="1395" customWidth="1"/>
    <col min="16130" max="16130" width="13.25" style="1395" customWidth="1"/>
    <col min="16131" max="16131" width="15.625" style="1395" customWidth="1"/>
    <col min="16132" max="16132" width="9.375" style="1395" bestFit="1" customWidth="1"/>
    <col min="16133" max="16133" width="13.5" style="1395" customWidth="1"/>
    <col min="16134" max="16134" width="9" style="1395"/>
    <col min="16135" max="16135" width="9.375" style="1395" bestFit="1" customWidth="1"/>
    <col min="16136" max="16137" width="9" style="1395"/>
    <col min="16138" max="16138" width="9.375" style="1395" bestFit="1" customWidth="1"/>
    <col min="16139" max="16139" width="4" style="1395" customWidth="1"/>
    <col min="16140" max="16140" width="5.125" style="1395" customWidth="1"/>
    <col min="16141" max="16141" width="13.75" style="1395" customWidth="1"/>
    <col min="16142" max="16384" width="9" style="1395"/>
  </cols>
  <sheetData>
    <row r="1" spans="1:257" s="1459" customFormat="1" ht="14.25" thickBot="1">
      <c r="A1" s="1453"/>
      <c r="B1" s="1460" t="s">
        <v>1267</v>
      </c>
      <c r="C1" s="1454">
        <f>项目基本情况!D3</f>
        <v>44280</v>
      </c>
      <c r="D1" s="1460" t="s">
        <v>1268</v>
      </c>
      <c r="E1" s="1455">
        <f>'数据-取费表'!B22</f>
        <v>3</v>
      </c>
      <c r="F1" s="1460" t="s">
        <v>1269</v>
      </c>
      <c r="G1" s="1456">
        <f ca="1">INDIRECT("d"&amp;$K$1)/100</f>
        <v>4.7500000000000001E-2</v>
      </c>
      <c r="H1" s="1460" t="s">
        <v>1299</v>
      </c>
      <c r="I1" s="1456">
        <f ca="1">F4/100</f>
        <v>1.4999999999999999E-2</v>
      </c>
      <c r="J1" s="1461">
        <f>IF(C1&gt;C13,0,MATCH(C1,C$13:C$100,-1))+IF(SUMIF(C13:C100,C1,D13:D100)=0,13,12)</f>
        <v>13</v>
      </c>
      <c r="K1" s="1461">
        <f ca="1">MATCH(E1,C3:C7,1)+IF(SUMIF(C3:C7,E1,D3:D7)=0,2,1)</f>
        <v>5</v>
      </c>
      <c r="L1" s="1461">
        <f>IF(C1&gt;M13,0,MATCH(C1,M$13:M$100,-1))+IF(SUMIF(M13:M100,C1,N13:N100)=0,13,12)</f>
        <v>13</v>
      </c>
      <c r="M1" s="1453"/>
      <c r="N1" s="1453"/>
      <c r="O1" s="1453"/>
      <c r="P1" s="1453"/>
      <c r="Q1" s="1453"/>
      <c r="R1" s="1453"/>
      <c r="S1" s="1453"/>
      <c r="T1" s="1453"/>
      <c r="U1" s="1453"/>
      <c r="V1" s="1453"/>
      <c r="W1" s="1453"/>
      <c r="X1" s="1453"/>
      <c r="Y1" s="1453"/>
      <c r="Z1" s="1453"/>
      <c r="AA1" s="1457"/>
      <c r="AB1" s="1457"/>
      <c r="AC1" s="1457"/>
      <c r="AD1" s="1457"/>
      <c r="AE1" s="1457"/>
      <c r="AF1" s="1457"/>
      <c r="AG1" s="1457"/>
      <c r="AH1" s="1457"/>
      <c r="AI1" s="1457"/>
      <c r="AJ1" s="1457"/>
      <c r="AK1" s="1457"/>
      <c r="AL1" s="1457"/>
      <c r="AM1" s="1457"/>
      <c r="AN1" s="1457"/>
      <c r="AO1" s="1457"/>
      <c r="AP1" s="1457"/>
      <c r="AQ1" s="1457"/>
      <c r="AR1" s="1457"/>
      <c r="AS1" s="1457"/>
      <c r="AT1" s="1457"/>
      <c r="AU1" s="1457"/>
      <c r="AV1" s="1457"/>
      <c r="AW1" s="1457"/>
      <c r="AX1" s="1457"/>
      <c r="AY1" s="1457"/>
      <c r="AZ1" s="1457"/>
      <c r="BA1" s="1457"/>
      <c r="BB1" s="1457"/>
      <c r="BC1" s="1457"/>
      <c r="BD1" s="1457"/>
      <c r="BE1" s="1457"/>
      <c r="BF1" s="1457"/>
      <c r="BG1" s="1457"/>
      <c r="BH1" s="1457"/>
      <c r="BI1" s="1457"/>
      <c r="BJ1" s="1457"/>
      <c r="BK1" s="1457"/>
      <c r="BL1" s="1457"/>
      <c r="BM1" s="1457"/>
      <c r="BN1" s="1457"/>
      <c r="BO1" s="1457"/>
      <c r="BP1" s="1457"/>
      <c r="BQ1" s="1457"/>
      <c r="BR1" s="1457"/>
      <c r="BS1" s="1457"/>
      <c r="BT1" s="1457"/>
      <c r="BU1" s="1457"/>
      <c r="BV1" s="1457"/>
      <c r="BW1" s="1457"/>
      <c r="BX1" s="1457"/>
      <c r="BY1" s="1457"/>
      <c r="BZ1" s="1457"/>
      <c r="CA1" s="1457"/>
      <c r="CB1" s="1457"/>
      <c r="CC1" s="1457"/>
      <c r="CD1" s="1457"/>
      <c r="CE1" s="1457"/>
      <c r="CF1" s="1457"/>
      <c r="CG1" s="1457"/>
      <c r="CH1" s="1457"/>
      <c r="CI1" s="1457"/>
      <c r="CJ1" s="1457"/>
      <c r="CK1" s="1457"/>
      <c r="CL1" s="1457"/>
      <c r="CM1" s="1457"/>
      <c r="CN1" s="1457"/>
      <c r="CO1" s="1457"/>
      <c r="CP1" s="1457"/>
      <c r="CQ1" s="1457"/>
      <c r="CR1" s="1457"/>
      <c r="CS1" s="1457"/>
      <c r="CT1" s="1457"/>
      <c r="CU1" s="1457"/>
      <c r="CV1" s="1457"/>
      <c r="CW1" s="1457"/>
      <c r="CX1" s="1457"/>
      <c r="CY1" s="1457"/>
      <c r="CZ1" s="1457"/>
      <c r="DA1" s="1457"/>
      <c r="DB1" s="1457"/>
      <c r="DC1" s="1457"/>
      <c r="DD1" s="1457"/>
      <c r="DE1" s="1457"/>
      <c r="DF1" s="1457"/>
      <c r="DG1" s="1457"/>
      <c r="DH1" s="1457"/>
      <c r="DI1" s="1457"/>
      <c r="DJ1" s="1457"/>
      <c r="DK1" s="1457"/>
      <c r="DL1" s="1457"/>
      <c r="DM1" s="1457"/>
      <c r="DN1" s="1457"/>
      <c r="DO1" s="1457"/>
      <c r="DP1" s="1457"/>
      <c r="DQ1" s="1457"/>
      <c r="DR1" s="1457"/>
      <c r="DS1" s="1457"/>
      <c r="DT1" s="1457"/>
      <c r="DU1" s="1457"/>
      <c r="DV1" s="1457"/>
      <c r="DW1" s="1457"/>
      <c r="DX1" s="1457"/>
      <c r="DY1" s="1457"/>
      <c r="DZ1" s="1457"/>
      <c r="EA1" s="1457"/>
      <c r="EB1" s="1457"/>
      <c r="EC1" s="1457"/>
      <c r="ED1" s="1457"/>
      <c r="EE1" s="1457"/>
      <c r="EF1" s="1457"/>
      <c r="EG1" s="1457"/>
      <c r="EH1" s="1457"/>
      <c r="EI1" s="1457"/>
      <c r="EJ1" s="1457"/>
      <c r="EK1" s="1457"/>
      <c r="EL1" s="1457"/>
      <c r="EM1" s="1457"/>
      <c r="EN1" s="1457"/>
      <c r="EO1" s="1457"/>
      <c r="EP1" s="1457"/>
      <c r="EQ1" s="1457"/>
      <c r="ER1" s="1457"/>
      <c r="ES1" s="1457"/>
      <c r="ET1" s="1457"/>
      <c r="EU1" s="1457"/>
      <c r="EV1" s="1457"/>
      <c r="EW1" s="1457"/>
      <c r="EX1" s="1457"/>
      <c r="EY1" s="1457"/>
      <c r="EZ1" s="1457"/>
      <c r="FA1" s="1457"/>
      <c r="FB1" s="1457"/>
      <c r="FC1" s="1457"/>
      <c r="FD1" s="1457"/>
      <c r="FE1" s="1457"/>
      <c r="FF1" s="1457"/>
      <c r="FG1" s="1457"/>
      <c r="FH1" s="1457"/>
      <c r="FI1" s="1457"/>
      <c r="FJ1" s="1457"/>
      <c r="FK1" s="1457"/>
      <c r="FL1" s="1457"/>
      <c r="FM1" s="1457"/>
      <c r="FN1" s="1457"/>
      <c r="FO1" s="1457"/>
      <c r="FP1" s="1457"/>
      <c r="FQ1" s="1457"/>
      <c r="FR1" s="1457"/>
      <c r="FS1" s="1457"/>
      <c r="FT1" s="1457"/>
      <c r="FU1" s="1457"/>
      <c r="FV1" s="1457"/>
      <c r="FW1" s="1457"/>
      <c r="FX1" s="1457"/>
      <c r="FY1" s="1457"/>
      <c r="FZ1" s="1457"/>
      <c r="GA1" s="1457"/>
      <c r="GB1" s="1457"/>
      <c r="GC1" s="1457"/>
      <c r="GD1" s="1457"/>
      <c r="GE1" s="1457"/>
      <c r="GF1" s="1457"/>
      <c r="GG1" s="1457"/>
      <c r="GH1" s="1457"/>
      <c r="GI1" s="1457"/>
      <c r="GJ1" s="1457"/>
      <c r="GK1" s="1457"/>
      <c r="GL1" s="1457"/>
      <c r="GM1" s="1457"/>
      <c r="GN1" s="1457"/>
      <c r="GO1" s="1457"/>
      <c r="GP1" s="1457"/>
      <c r="GQ1" s="1457"/>
      <c r="GR1" s="1457"/>
      <c r="GS1" s="1457"/>
      <c r="GT1" s="1457"/>
      <c r="GU1" s="1457"/>
      <c r="GV1" s="1457"/>
      <c r="GW1" s="1457"/>
      <c r="GX1" s="1457"/>
      <c r="GY1" s="1457"/>
      <c r="GZ1" s="1457"/>
      <c r="HA1" s="1457"/>
      <c r="HB1" s="1457"/>
      <c r="HC1" s="1457"/>
      <c r="HD1" s="1457"/>
      <c r="HE1" s="1457"/>
      <c r="HF1" s="1457"/>
      <c r="HG1" s="1457"/>
      <c r="HH1" s="1457"/>
      <c r="HI1" s="1457"/>
      <c r="HJ1" s="1457"/>
      <c r="HK1" s="1457"/>
      <c r="HL1" s="1457"/>
      <c r="HM1" s="1457"/>
      <c r="HN1" s="1457"/>
      <c r="HO1" s="1457"/>
      <c r="HP1" s="1457"/>
      <c r="HQ1" s="1457"/>
      <c r="HR1" s="1457"/>
      <c r="HS1" s="1457"/>
      <c r="HT1" s="1457"/>
      <c r="HU1" s="1457"/>
      <c r="HV1" s="1457"/>
      <c r="HW1" s="1457"/>
      <c r="HX1" s="1457"/>
      <c r="HY1" s="1457"/>
      <c r="HZ1" s="1457"/>
      <c r="IA1" s="1457"/>
      <c r="IB1" s="1457"/>
      <c r="IC1" s="1457"/>
      <c r="ID1" s="1457"/>
      <c r="IE1" s="1457"/>
      <c r="IF1" s="1457"/>
      <c r="IG1" s="1457"/>
      <c r="IH1" s="1457"/>
      <c r="II1" s="1457"/>
      <c r="IJ1" s="1457"/>
      <c r="IK1" s="1457"/>
      <c r="IL1" s="1457"/>
      <c r="IM1" s="1457"/>
      <c r="IN1" s="1457"/>
      <c r="IO1" s="1457"/>
      <c r="IP1" s="1457"/>
      <c r="IQ1" s="1457"/>
      <c r="IR1" s="1457"/>
      <c r="IS1" s="1457"/>
      <c r="IT1" s="1457"/>
      <c r="IU1" s="1457"/>
      <c r="IV1" s="1457"/>
      <c r="IW1" s="1458"/>
    </row>
    <row r="2" spans="1:257" ht="15" thickTop="1" thickBot="1">
      <c r="A2" s="1396"/>
      <c r="B2" s="1396"/>
      <c r="C2" s="1396"/>
      <c r="D2" s="1396" t="s">
        <v>1270</v>
      </c>
      <c r="E2" s="1396"/>
      <c r="F2" s="1396" t="s">
        <v>1271</v>
      </c>
      <c r="G2" s="1397"/>
      <c r="H2" s="1396"/>
      <c r="I2" s="1396"/>
      <c r="J2" s="1396"/>
      <c r="K2" s="1396"/>
      <c r="L2" s="1396"/>
      <c r="M2" s="1396"/>
      <c r="N2" s="1396"/>
      <c r="O2" s="1396"/>
      <c r="P2" s="1396"/>
      <c r="Q2" s="1396"/>
      <c r="R2" s="1396"/>
      <c r="S2" s="1396"/>
      <c r="T2" s="1396"/>
      <c r="U2" s="1396"/>
      <c r="V2" s="1396"/>
      <c r="W2" s="1396"/>
      <c r="X2" s="1396"/>
      <c r="Y2" s="1396"/>
      <c r="Z2" s="1396"/>
      <c r="AA2" s="1396"/>
      <c r="AB2" s="1396"/>
      <c r="AC2" s="1396"/>
      <c r="AD2" s="1396"/>
      <c r="AE2" s="1396"/>
      <c r="AF2" s="1396"/>
      <c r="AG2" s="1396"/>
      <c r="AH2" s="1396"/>
      <c r="AI2" s="1396"/>
      <c r="AJ2" s="1396"/>
      <c r="AK2" s="1396"/>
      <c r="AL2" s="1396"/>
      <c r="AM2" s="1396"/>
      <c r="AN2" s="1396"/>
      <c r="AO2" s="1396"/>
      <c r="AP2" s="1396"/>
      <c r="AQ2" s="1396"/>
      <c r="AR2" s="1396"/>
      <c r="AS2" s="1396"/>
      <c r="AT2" s="1396"/>
      <c r="AU2" s="1396"/>
      <c r="AV2" s="1396"/>
      <c r="AW2" s="1396"/>
      <c r="AX2" s="1396"/>
      <c r="AY2" s="1396"/>
      <c r="AZ2" s="1396"/>
      <c r="BA2" s="1396"/>
      <c r="BB2" s="1396"/>
      <c r="BC2" s="1396"/>
      <c r="BD2" s="1396"/>
      <c r="BE2" s="1396"/>
      <c r="BF2" s="1396"/>
      <c r="BG2" s="1396"/>
      <c r="BH2" s="1396"/>
      <c r="BI2" s="1396"/>
      <c r="BJ2" s="1396"/>
      <c r="BK2" s="1396"/>
      <c r="BL2" s="1396"/>
      <c r="BM2" s="1396"/>
      <c r="BN2" s="1396"/>
      <c r="BO2" s="1396"/>
      <c r="BP2" s="1396"/>
      <c r="BQ2" s="1396"/>
      <c r="BR2" s="1396"/>
      <c r="BS2" s="1396"/>
      <c r="BT2" s="1396"/>
      <c r="BU2" s="1396"/>
      <c r="BV2" s="1396"/>
      <c r="BW2" s="1396"/>
      <c r="BX2" s="1396"/>
      <c r="BY2" s="1396"/>
      <c r="BZ2" s="1396"/>
      <c r="CA2" s="1396"/>
      <c r="CB2" s="1396"/>
      <c r="CC2" s="1396"/>
      <c r="CD2" s="1396"/>
      <c r="CE2" s="1396"/>
      <c r="CF2" s="1396"/>
      <c r="CG2" s="1396"/>
      <c r="CH2" s="1396"/>
      <c r="CI2" s="1396"/>
      <c r="CJ2" s="1396"/>
      <c r="CK2" s="1396"/>
      <c r="CL2" s="1396"/>
      <c r="CM2" s="1396"/>
      <c r="CN2" s="1396"/>
      <c r="CO2" s="1396"/>
      <c r="CP2" s="1396"/>
      <c r="CQ2" s="1396"/>
      <c r="CR2" s="1396"/>
      <c r="CS2" s="1396"/>
      <c r="CT2" s="1396"/>
      <c r="CU2" s="1396"/>
      <c r="CV2" s="1396"/>
      <c r="CW2" s="1396"/>
      <c r="CX2" s="1396"/>
      <c r="CY2" s="1396"/>
      <c r="CZ2" s="1396"/>
      <c r="DA2" s="1396"/>
      <c r="DB2" s="1396"/>
      <c r="DC2" s="1396"/>
      <c r="DD2" s="1396"/>
      <c r="DE2" s="1396"/>
      <c r="DF2" s="1396"/>
      <c r="DG2" s="1396"/>
      <c r="DH2" s="1396"/>
      <c r="DI2" s="1396"/>
      <c r="DJ2" s="1396"/>
      <c r="DK2" s="1396"/>
      <c r="DL2" s="1396"/>
      <c r="DM2" s="1396"/>
      <c r="DN2" s="1396"/>
      <c r="DO2" s="1396"/>
      <c r="DP2" s="1396"/>
      <c r="DQ2" s="1396"/>
      <c r="DR2" s="1396"/>
      <c r="DS2" s="1396"/>
      <c r="DT2" s="1396"/>
      <c r="DU2" s="1396"/>
      <c r="DV2" s="1396"/>
      <c r="DW2" s="1396"/>
      <c r="DX2" s="1396"/>
      <c r="DY2" s="1396"/>
      <c r="DZ2" s="1396"/>
      <c r="EA2" s="1396"/>
      <c r="EB2" s="1396"/>
      <c r="EC2" s="1396"/>
      <c r="ED2" s="1396"/>
      <c r="EE2" s="1396"/>
      <c r="EF2" s="1396"/>
      <c r="EG2" s="1396"/>
      <c r="EH2" s="1396"/>
      <c r="EI2" s="1396"/>
      <c r="EJ2" s="1396"/>
      <c r="EK2" s="1396"/>
      <c r="EL2" s="1396"/>
      <c r="EM2" s="1396"/>
      <c r="EN2" s="1396"/>
      <c r="EO2" s="1396"/>
      <c r="EP2" s="1396"/>
      <c r="EQ2" s="1396"/>
      <c r="ER2" s="1396"/>
      <c r="ES2" s="1396"/>
      <c r="ET2" s="1396"/>
      <c r="EU2" s="1396"/>
      <c r="EV2" s="1396"/>
      <c r="EW2" s="1396"/>
      <c r="EX2" s="1396"/>
      <c r="EY2" s="1396"/>
      <c r="EZ2" s="1396"/>
      <c r="FA2" s="1396"/>
      <c r="FB2" s="1396"/>
      <c r="FC2" s="1396"/>
      <c r="FD2" s="1396"/>
      <c r="FE2" s="1396"/>
      <c r="FF2" s="1396"/>
      <c r="FG2" s="1396"/>
      <c r="FH2" s="1396"/>
      <c r="FI2" s="1396"/>
      <c r="FJ2" s="1396"/>
      <c r="FK2" s="1396"/>
      <c r="FL2" s="1396"/>
      <c r="FM2" s="1396"/>
      <c r="FN2" s="1396"/>
      <c r="FO2" s="1396"/>
      <c r="FP2" s="1396"/>
      <c r="FQ2" s="1396"/>
      <c r="FR2" s="1396"/>
      <c r="FS2" s="1396"/>
      <c r="FT2" s="1396"/>
      <c r="FU2" s="1396"/>
      <c r="FV2" s="1396"/>
      <c r="FW2" s="1396"/>
      <c r="FX2" s="1396"/>
      <c r="FY2" s="1396"/>
      <c r="FZ2" s="1396"/>
      <c r="GA2" s="1396"/>
      <c r="GB2" s="1396"/>
      <c r="GC2" s="1396"/>
      <c r="GD2" s="1396"/>
      <c r="GE2" s="1396"/>
      <c r="GF2" s="1396"/>
      <c r="GG2" s="1396"/>
      <c r="GH2" s="1396"/>
      <c r="GI2" s="1396"/>
      <c r="GJ2" s="1396"/>
      <c r="GK2" s="1396"/>
      <c r="GL2" s="1396"/>
      <c r="GM2" s="1396"/>
      <c r="GN2" s="1396"/>
      <c r="GO2" s="1396"/>
      <c r="GP2" s="1396"/>
      <c r="GQ2" s="1396"/>
      <c r="GR2" s="1396"/>
      <c r="GS2" s="1396"/>
      <c r="GT2" s="1396"/>
      <c r="GU2" s="1396"/>
      <c r="GV2" s="1396"/>
      <c r="GW2" s="1396"/>
      <c r="GX2" s="1396"/>
      <c r="GY2" s="1396"/>
      <c r="GZ2" s="1396"/>
      <c r="HA2" s="1396"/>
      <c r="HB2" s="1396"/>
      <c r="HC2" s="1396"/>
      <c r="HD2" s="1396"/>
      <c r="HE2" s="1396"/>
      <c r="HF2" s="1396"/>
      <c r="HG2" s="1396"/>
      <c r="HH2" s="1396"/>
      <c r="HI2" s="1396"/>
      <c r="HJ2" s="1396"/>
      <c r="HK2" s="1396"/>
      <c r="HL2" s="1396"/>
      <c r="HM2" s="1396"/>
      <c r="HN2" s="1396"/>
      <c r="HO2" s="1396"/>
      <c r="HP2" s="1396"/>
      <c r="HQ2" s="1396"/>
      <c r="HR2" s="1396"/>
      <c r="HS2" s="1396"/>
      <c r="HT2" s="1396"/>
      <c r="HU2" s="1396"/>
      <c r="HV2" s="1396"/>
      <c r="HW2" s="1396"/>
      <c r="HX2" s="1396"/>
      <c r="HY2" s="1396"/>
      <c r="HZ2" s="1396"/>
      <c r="IA2" s="1396"/>
      <c r="IB2" s="1396"/>
      <c r="IC2" s="1396"/>
      <c r="ID2" s="1396"/>
      <c r="IE2" s="1396"/>
      <c r="IF2" s="1396"/>
      <c r="IG2" s="1396"/>
      <c r="IH2" s="1396"/>
      <c r="II2" s="1396"/>
      <c r="IJ2" s="1396"/>
      <c r="IK2" s="1396"/>
      <c r="IL2" s="1396"/>
      <c r="IM2" s="1396"/>
      <c r="IN2" s="1396"/>
      <c r="IO2" s="1396"/>
      <c r="IP2" s="1396"/>
      <c r="IQ2" s="1396"/>
      <c r="IR2" s="1396"/>
      <c r="IS2" s="1396"/>
      <c r="IT2" s="1396"/>
      <c r="IU2" s="1396"/>
      <c r="IV2" s="1396"/>
      <c r="IW2" s="1396"/>
    </row>
    <row r="3" spans="1:257">
      <c r="B3" s="1399" t="s">
        <v>1272</v>
      </c>
      <c r="C3" s="1400">
        <v>0</v>
      </c>
      <c r="D3" s="1401">
        <f ca="1">INDIRECT("d"&amp;$J$1)</f>
        <v>4.3499999999999996</v>
      </c>
      <c r="E3" s="1402">
        <v>0.5</v>
      </c>
      <c r="F3" s="1403">
        <f ca="1">INDIRECT("p"&amp;$L$1)</f>
        <v>1.3</v>
      </c>
      <c r="G3" s="1398"/>
      <c r="H3" s="1398"/>
      <c r="I3" s="1398"/>
      <c r="J3" s="1398"/>
      <c r="L3" s="1398"/>
      <c r="M3" s="1398"/>
      <c r="N3" s="1398"/>
      <c r="O3" s="1398"/>
      <c r="P3" s="1398"/>
      <c r="Q3" s="1398"/>
      <c r="R3" s="1398"/>
      <c r="S3" s="1398"/>
      <c r="T3" s="1398"/>
      <c r="U3" s="1398"/>
      <c r="V3" s="1398"/>
      <c r="W3" s="1398"/>
      <c r="X3" s="1398"/>
      <c r="Y3" s="1398"/>
      <c r="Z3" s="1398"/>
    </row>
    <row r="4" spans="1:257">
      <c r="B4" s="1405" t="s">
        <v>1273</v>
      </c>
      <c r="C4" s="1406">
        <v>0.5</v>
      </c>
      <c r="D4" s="1407">
        <f ca="1">INDIRECT("e"&amp;$J$1)</f>
        <v>4.3499999999999996</v>
      </c>
      <c r="E4" s="1408">
        <v>1</v>
      </c>
      <c r="F4" s="1409">
        <f ca="1">INDIRECT("q"&amp;$L$1)</f>
        <v>1.5</v>
      </c>
      <c r="G4" s="1398"/>
      <c r="H4" s="1398"/>
      <c r="I4" s="1398"/>
      <c r="J4" s="1398"/>
      <c r="L4" s="1398"/>
      <c r="M4" s="1398"/>
      <c r="N4" s="1398"/>
      <c r="O4" s="1398"/>
      <c r="P4" s="1398"/>
      <c r="Q4" s="1398"/>
      <c r="R4" s="1398"/>
      <c r="S4" s="1398"/>
      <c r="T4" s="1398"/>
      <c r="U4" s="1398"/>
      <c r="V4" s="1398"/>
      <c r="W4" s="1398"/>
      <c r="X4" s="1398"/>
      <c r="Y4" s="1398"/>
      <c r="Z4" s="1398"/>
    </row>
    <row r="5" spans="1:257">
      <c r="B5" s="1405" t="s">
        <v>1274</v>
      </c>
      <c r="C5" s="1406">
        <v>1</v>
      </c>
      <c r="D5" s="1407">
        <f ca="1">INDIRECT("f"&amp;$J$1)</f>
        <v>4.75</v>
      </c>
      <c r="E5" s="1408">
        <v>2</v>
      </c>
      <c r="F5" s="1409">
        <f ca="1">INDIRECT("r"&amp;$L$1)</f>
        <v>2.1</v>
      </c>
      <c r="G5" s="1398"/>
      <c r="H5" s="1398"/>
      <c r="I5" s="1398"/>
      <c r="J5" s="1398"/>
      <c r="L5" s="1398"/>
      <c r="M5" s="1398"/>
      <c r="N5" s="1398"/>
      <c r="O5" s="1398"/>
      <c r="P5" s="1398"/>
      <c r="Q5" s="1398"/>
      <c r="R5" s="1398"/>
      <c r="S5" s="1398"/>
      <c r="T5" s="1398"/>
      <c r="U5" s="1398"/>
      <c r="V5" s="1398"/>
      <c r="W5" s="1398"/>
      <c r="X5" s="1398"/>
      <c r="Y5" s="1398"/>
      <c r="Z5" s="1398"/>
    </row>
    <row r="6" spans="1:257">
      <c r="B6" s="1405" t="s">
        <v>1275</v>
      </c>
      <c r="C6" s="1406">
        <v>3</v>
      </c>
      <c r="D6" s="1407">
        <f ca="1">INDIRECT("g"&amp;$J$1)</f>
        <v>4.75</v>
      </c>
      <c r="E6" s="1408">
        <v>3</v>
      </c>
      <c r="F6" s="1409">
        <f ca="1">INDIRECT("s"&amp;$L$1)</f>
        <v>2.75</v>
      </c>
      <c r="G6" s="1398"/>
      <c r="H6" s="1398"/>
      <c r="I6" s="1398"/>
      <c r="J6" s="1398"/>
      <c r="L6" s="1398"/>
      <c r="M6" s="1398"/>
      <c r="N6" s="1398"/>
      <c r="O6" s="1398"/>
      <c r="P6" s="1398"/>
      <c r="Q6" s="1398"/>
      <c r="R6" s="1398"/>
      <c r="S6" s="1398"/>
      <c r="T6" s="1398"/>
      <c r="U6" s="1398"/>
      <c r="V6" s="1398"/>
      <c r="W6" s="1398"/>
      <c r="X6" s="1398"/>
      <c r="Y6" s="1398"/>
      <c r="Z6" s="1398"/>
    </row>
    <row r="7" spans="1:257" ht="14.25" thickBot="1">
      <c r="B7" s="1410" t="s">
        <v>1276</v>
      </c>
      <c r="C7" s="1411">
        <v>5</v>
      </c>
      <c r="D7" s="1412">
        <f ca="1">INDIRECT("h"&amp;$J$1)</f>
        <v>4.9000000000000004</v>
      </c>
      <c r="E7" s="1413">
        <v>5</v>
      </c>
      <c r="F7" s="1414">
        <f ca="1">INDIRECT("t"&amp;$L$1)</f>
        <v>0</v>
      </c>
      <c r="G7" s="1398"/>
      <c r="H7" s="1398"/>
      <c r="I7" s="1398"/>
      <c r="J7" s="1398"/>
      <c r="L7" s="1398"/>
      <c r="M7" s="1398"/>
      <c r="N7" s="1398"/>
      <c r="O7" s="1398"/>
      <c r="P7" s="1398"/>
      <c r="Q7" s="1398"/>
      <c r="R7" s="1398"/>
      <c r="S7" s="1398"/>
      <c r="T7" s="1398"/>
      <c r="U7" s="1398"/>
      <c r="V7" s="1398"/>
      <c r="W7" s="1398"/>
      <c r="X7" s="1398"/>
      <c r="Y7" s="1398"/>
      <c r="Z7" s="1398"/>
    </row>
    <row r="8" spans="1:257">
      <c r="A8" s="1415"/>
      <c r="B8" s="1416"/>
      <c r="C8" s="1417"/>
      <c r="D8" s="1398"/>
      <c r="E8" s="1398"/>
      <c r="F8" s="1398"/>
      <c r="G8" s="1398"/>
      <c r="H8" s="1398"/>
      <c r="I8" s="1398"/>
      <c r="J8" s="1398"/>
      <c r="L8" s="1398"/>
      <c r="M8" s="1398"/>
      <c r="N8" s="1398"/>
      <c r="O8" s="1398"/>
      <c r="P8" s="1398"/>
      <c r="Q8" s="1398"/>
      <c r="R8" s="1398"/>
      <c r="S8" s="1398"/>
      <c r="T8" s="1398"/>
      <c r="U8" s="1398"/>
      <c r="V8" s="1398"/>
      <c r="W8" s="1398"/>
      <c r="X8" s="1398"/>
      <c r="Y8" s="1398"/>
      <c r="Z8" s="1398"/>
    </row>
    <row r="9" spans="1:257" ht="20.25">
      <c r="A9" s="1418"/>
      <c r="B9" s="1419" t="s">
        <v>1277</v>
      </c>
      <c r="C9" s="1420"/>
      <c r="D9" s="1421"/>
      <c r="E9" s="1421"/>
      <c r="F9" s="1421"/>
      <c r="G9" s="1421"/>
      <c r="H9" s="1421"/>
      <c r="I9" s="1421"/>
      <c r="J9" s="1421"/>
      <c r="K9" s="1421"/>
      <c r="L9" s="1421"/>
      <c r="M9" s="1421"/>
      <c r="N9" s="1421"/>
      <c r="O9" s="1421"/>
      <c r="P9" s="1421"/>
      <c r="Q9" s="1421"/>
      <c r="R9" s="1421"/>
      <c r="S9" s="1421"/>
      <c r="T9" s="1421"/>
      <c r="U9" s="1421"/>
      <c r="V9" s="1421"/>
      <c r="W9" s="1421"/>
      <c r="X9" s="1421"/>
      <c r="Y9" s="1421"/>
      <c r="Z9" s="1421"/>
      <c r="AA9" s="1422"/>
      <c r="AB9" s="1422"/>
      <c r="AC9" s="1422"/>
      <c r="AD9" s="1422"/>
      <c r="AE9" s="1422"/>
      <c r="AF9" s="1422"/>
      <c r="AG9" s="1422"/>
      <c r="AH9" s="1422"/>
      <c r="AI9" s="1422"/>
      <c r="AJ9" s="1422"/>
      <c r="AK9" s="1422"/>
      <c r="AL9" s="1422"/>
      <c r="AM9" s="1422"/>
      <c r="AN9" s="1422"/>
      <c r="AO9" s="1422"/>
      <c r="AP9" s="1422"/>
      <c r="AQ9" s="1422"/>
      <c r="AR9" s="1422"/>
      <c r="AS9" s="1422"/>
      <c r="AT9" s="1422"/>
      <c r="AU9" s="1422"/>
      <c r="AV9" s="1422"/>
      <c r="AW9" s="1422"/>
      <c r="AX9" s="1422"/>
      <c r="AY9" s="1422"/>
      <c r="AZ9" s="1422"/>
      <c r="BA9" s="1422"/>
      <c r="BB9" s="1422"/>
      <c r="BC9" s="1422"/>
      <c r="BD9" s="1422"/>
      <c r="BE9" s="1422"/>
      <c r="BF9" s="1422"/>
      <c r="BG9" s="1422"/>
      <c r="BH9" s="1422"/>
      <c r="BI9" s="1422"/>
      <c r="BJ9" s="1422"/>
      <c r="BK9" s="1422"/>
      <c r="BL9" s="1422"/>
      <c r="BM9" s="1422"/>
      <c r="BN9" s="1422"/>
      <c r="BO9" s="1422"/>
      <c r="BP9" s="1422"/>
      <c r="BQ9" s="1422"/>
      <c r="BR9" s="1422"/>
      <c r="BS9" s="1422"/>
      <c r="BT9" s="1422"/>
      <c r="BU9" s="1422"/>
      <c r="BV9" s="1422"/>
      <c r="BW9" s="1422"/>
      <c r="BX9" s="1422"/>
      <c r="BY9" s="1422"/>
      <c r="BZ9" s="1422"/>
      <c r="CA9" s="1422"/>
      <c r="CB9" s="1422"/>
      <c r="CC9" s="1422"/>
      <c r="CD9" s="1422"/>
      <c r="CE9" s="1422"/>
      <c r="CF9" s="1422"/>
      <c r="CG9" s="1422"/>
      <c r="CH9" s="1422"/>
      <c r="CI9" s="1422"/>
      <c r="CJ9" s="1422"/>
      <c r="CK9" s="1422"/>
      <c r="CL9" s="1422"/>
      <c r="CM9" s="1422"/>
      <c r="CN9" s="1422"/>
      <c r="CO9" s="1422"/>
      <c r="CP9" s="1422"/>
      <c r="CQ9" s="1422"/>
      <c r="CR9" s="1422"/>
      <c r="CS9" s="1422"/>
      <c r="CT9" s="1422"/>
      <c r="CU9" s="1422"/>
      <c r="CV9" s="1422"/>
      <c r="CW9" s="1422"/>
      <c r="CX9" s="1422"/>
      <c r="CY9" s="1422"/>
      <c r="CZ9" s="1422"/>
      <c r="DA9" s="1422"/>
      <c r="DB9" s="1422"/>
      <c r="DC9" s="1422"/>
      <c r="DD9" s="1422"/>
      <c r="DE9" s="1422"/>
      <c r="DF9" s="1422"/>
      <c r="DG9" s="1422"/>
      <c r="DH9" s="1422"/>
      <c r="DI9" s="1422"/>
      <c r="DJ9" s="1422"/>
      <c r="DK9" s="1422"/>
      <c r="DL9" s="1422"/>
      <c r="DM9" s="1422"/>
      <c r="DN9" s="1422"/>
      <c r="DO9" s="1422"/>
      <c r="DP9" s="1422"/>
      <c r="DQ9" s="1422"/>
      <c r="DR9" s="1422"/>
      <c r="DS9" s="1422"/>
      <c r="DT9" s="1422"/>
      <c r="DU9" s="1422"/>
      <c r="DV9" s="1422"/>
      <c r="DW9" s="1422"/>
      <c r="DX9" s="1422"/>
      <c r="DY9" s="1422"/>
      <c r="DZ9" s="1422"/>
      <c r="EA9" s="1422"/>
      <c r="EB9" s="1422"/>
      <c r="EC9" s="1422"/>
      <c r="ED9" s="1422"/>
      <c r="EE9" s="1422"/>
      <c r="EF9" s="1422"/>
      <c r="EG9" s="1422"/>
      <c r="EH9" s="1422"/>
      <c r="EI9" s="1422"/>
      <c r="EJ9" s="1422"/>
      <c r="EK9" s="1422"/>
      <c r="EL9" s="1422"/>
      <c r="EM9" s="1422"/>
      <c r="EN9" s="1422"/>
      <c r="EO9" s="1422"/>
      <c r="EP9" s="1422"/>
      <c r="EQ9" s="1422"/>
      <c r="ER9" s="1422"/>
      <c r="ES9" s="1422"/>
      <c r="ET9" s="1422"/>
      <c r="EU9" s="1422"/>
      <c r="EV9" s="1422"/>
      <c r="EW9" s="1422"/>
      <c r="EX9" s="1422"/>
      <c r="EY9" s="1422"/>
      <c r="EZ9" s="1422"/>
      <c r="FA9" s="1422"/>
      <c r="FB9" s="1422"/>
      <c r="FC9" s="1422"/>
      <c r="FD9" s="1422"/>
      <c r="FE9" s="1422"/>
      <c r="FF9" s="1422"/>
      <c r="FG9" s="1422"/>
      <c r="FH9" s="1422"/>
      <c r="FI9" s="1422"/>
      <c r="FJ9" s="1422"/>
      <c r="FK9" s="1422"/>
      <c r="FL9" s="1422"/>
      <c r="FM9" s="1422"/>
      <c r="FN9" s="1422"/>
      <c r="FO9" s="1422"/>
      <c r="FP9" s="1422"/>
      <c r="FQ9" s="1422"/>
      <c r="FR9" s="1422"/>
      <c r="FS9" s="1422"/>
      <c r="FT9" s="1422"/>
      <c r="FU9" s="1422"/>
      <c r="FV9" s="1422"/>
      <c r="FW9" s="1422"/>
      <c r="FX9" s="1422"/>
      <c r="FY9" s="1422"/>
      <c r="FZ9" s="1422"/>
      <c r="GA9" s="1422"/>
      <c r="GB9" s="1422"/>
      <c r="GC9" s="1422"/>
      <c r="GD9" s="1422"/>
      <c r="GE9" s="1422"/>
      <c r="GF9" s="1422"/>
      <c r="GG9" s="1422"/>
      <c r="GH9" s="1422"/>
      <c r="GI9" s="1422"/>
      <c r="GJ9" s="1422"/>
      <c r="GK9" s="1422"/>
      <c r="GL9" s="1422"/>
      <c r="GM9" s="1422"/>
      <c r="GN9" s="1422"/>
      <c r="GO9" s="1422"/>
      <c r="GP9" s="1422"/>
      <c r="GQ9" s="1422"/>
      <c r="GR9" s="1422"/>
      <c r="GS9" s="1422"/>
      <c r="GT9" s="1422"/>
      <c r="GU9" s="1422"/>
      <c r="GV9" s="1422"/>
      <c r="GW9" s="1422"/>
      <c r="GX9" s="1422"/>
      <c r="GY9" s="1422"/>
      <c r="GZ9" s="1422"/>
      <c r="HA9" s="1422"/>
      <c r="HB9" s="1422"/>
      <c r="HC9" s="1422"/>
      <c r="HD9" s="1422"/>
      <c r="HE9" s="1422"/>
      <c r="HF9" s="1422"/>
      <c r="HG9" s="1422"/>
      <c r="HH9" s="1422"/>
      <c r="HI9" s="1422"/>
      <c r="HJ9" s="1422"/>
      <c r="HK9" s="1422"/>
      <c r="HL9" s="1422"/>
      <c r="HM9" s="1422"/>
      <c r="HN9" s="1422"/>
      <c r="HO9" s="1422"/>
      <c r="HP9" s="1422"/>
      <c r="HQ9" s="1422"/>
      <c r="HR9" s="1422"/>
      <c r="HS9" s="1422"/>
      <c r="HT9" s="1422"/>
      <c r="HU9" s="1422"/>
      <c r="HV9" s="1422"/>
      <c r="HW9" s="1422"/>
      <c r="HX9" s="1422"/>
      <c r="HY9" s="1422"/>
      <c r="HZ9" s="1422"/>
      <c r="IA9" s="1422"/>
      <c r="IB9" s="1422"/>
      <c r="IC9" s="1422"/>
      <c r="ID9" s="1422"/>
      <c r="IE9" s="1422"/>
      <c r="IF9" s="1422"/>
      <c r="IG9" s="1422"/>
      <c r="IH9" s="1422"/>
      <c r="II9" s="1422"/>
      <c r="IJ9" s="1422"/>
      <c r="IK9" s="1422"/>
      <c r="IL9" s="1422"/>
      <c r="IM9" s="1422"/>
      <c r="IN9" s="1422"/>
      <c r="IO9" s="1422"/>
      <c r="IP9" s="1422"/>
      <c r="IQ9" s="1422"/>
      <c r="IR9" s="1422"/>
      <c r="IS9" s="1422"/>
      <c r="IT9" s="1422"/>
      <c r="IU9" s="1422"/>
      <c r="IV9" s="1422"/>
      <c r="IW9" s="1423"/>
    </row>
    <row r="10" spans="1:257" ht="22.5">
      <c r="A10" s="1424"/>
      <c r="B10" s="1425" t="s">
        <v>1278</v>
      </c>
      <c r="C10" s="1424"/>
      <c r="D10" s="1424"/>
      <c r="E10" s="1424"/>
      <c r="F10" s="1424"/>
      <c r="G10" s="1424"/>
      <c r="H10" s="1424"/>
      <c r="I10" s="1398"/>
      <c r="J10" s="1398"/>
      <c r="K10" s="1424"/>
      <c r="L10" s="1425" t="s">
        <v>1279</v>
      </c>
      <c r="M10" s="1424"/>
      <c r="N10" s="1424"/>
      <c r="O10" s="1424"/>
      <c r="P10" s="1424"/>
      <c r="Q10" s="1424"/>
      <c r="R10" s="1424"/>
      <c r="S10" s="1424"/>
      <c r="T10" s="1424"/>
      <c r="U10" s="1424"/>
      <c r="V10" s="1424"/>
      <c r="W10" s="1424"/>
      <c r="X10" s="1424"/>
      <c r="Y10" s="1424"/>
      <c r="Z10" s="1424"/>
      <c r="AA10" s="1426"/>
      <c r="AB10" s="1426"/>
      <c r="AC10" s="1426"/>
      <c r="AD10" s="1426"/>
      <c r="AE10" s="1426"/>
      <c r="AF10" s="1426"/>
      <c r="AG10" s="1426"/>
      <c r="AH10" s="1426"/>
      <c r="AI10" s="1426"/>
      <c r="AJ10" s="1426"/>
      <c r="AK10" s="1426"/>
      <c r="AL10" s="1426"/>
      <c r="AM10" s="1426"/>
      <c r="AN10" s="1426"/>
      <c r="AO10" s="1426"/>
      <c r="AP10" s="1426"/>
      <c r="AQ10" s="1426"/>
      <c r="AR10" s="1426"/>
      <c r="AS10" s="1426"/>
      <c r="AT10" s="1426"/>
      <c r="AU10" s="1426"/>
      <c r="AV10" s="1426"/>
      <c r="AW10" s="1426"/>
      <c r="AX10" s="1426"/>
      <c r="AY10" s="1426"/>
      <c r="AZ10" s="1426"/>
      <c r="BA10" s="1426"/>
      <c r="BB10" s="1426"/>
      <c r="BC10" s="1426"/>
      <c r="BD10" s="1426"/>
      <c r="BE10" s="1426"/>
      <c r="BF10" s="1426"/>
      <c r="BG10" s="1426"/>
      <c r="BH10" s="1426"/>
      <c r="BI10" s="1426"/>
      <c r="BJ10" s="1426"/>
      <c r="BK10" s="1426"/>
      <c r="BL10" s="1426"/>
      <c r="BM10" s="1426"/>
      <c r="BN10" s="1426"/>
      <c r="BO10" s="1426"/>
      <c r="BP10" s="1426"/>
      <c r="BQ10" s="1426"/>
      <c r="BR10" s="1426"/>
      <c r="BS10" s="1426"/>
      <c r="BT10" s="1426"/>
      <c r="BU10" s="1426"/>
      <c r="BV10" s="1426"/>
      <c r="BW10" s="1426"/>
      <c r="BX10" s="1426"/>
      <c r="BY10" s="1426"/>
      <c r="BZ10" s="1426"/>
      <c r="CA10" s="1426"/>
      <c r="CB10" s="1426"/>
      <c r="CC10" s="1426"/>
      <c r="CD10" s="1426"/>
      <c r="CE10" s="1426"/>
      <c r="CF10" s="1426"/>
      <c r="CG10" s="1426"/>
      <c r="CH10" s="1426"/>
      <c r="CI10" s="1426"/>
      <c r="CJ10" s="1426"/>
      <c r="CK10" s="1426"/>
      <c r="CL10" s="1426"/>
      <c r="CM10" s="1426"/>
      <c r="CN10" s="1426"/>
      <c r="CO10" s="1426"/>
      <c r="CP10" s="1426"/>
      <c r="CQ10" s="1426"/>
      <c r="CR10" s="1426"/>
      <c r="CS10" s="1426"/>
      <c r="CT10" s="1426"/>
      <c r="CU10" s="1426"/>
      <c r="CV10" s="1426"/>
      <c r="CW10" s="1426"/>
      <c r="CX10" s="1426"/>
      <c r="CY10" s="1426"/>
      <c r="CZ10" s="1426"/>
      <c r="DA10" s="1426"/>
      <c r="DB10" s="1426"/>
      <c r="DC10" s="1426"/>
      <c r="DD10" s="1426"/>
      <c r="DE10" s="1426"/>
      <c r="DF10" s="1426"/>
      <c r="DG10" s="1426"/>
      <c r="DH10" s="1426"/>
      <c r="DI10" s="1426"/>
      <c r="DJ10" s="1426"/>
      <c r="DK10" s="1426"/>
      <c r="DL10" s="1426"/>
      <c r="DM10" s="1426"/>
      <c r="DN10" s="1426"/>
      <c r="DO10" s="1426"/>
      <c r="DP10" s="1426"/>
      <c r="DQ10" s="1426"/>
      <c r="DR10" s="1426"/>
      <c r="DS10" s="1426"/>
      <c r="DT10" s="1426"/>
      <c r="DU10" s="1426"/>
      <c r="DV10" s="1426"/>
      <c r="DW10" s="1426"/>
      <c r="DX10" s="1426"/>
      <c r="DY10" s="1426"/>
      <c r="DZ10" s="1426"/>
      <c r="EA10" s="1426"/>
      <c r="EB10" s="1426"/>
      <c r="EC10" s="1426"/>
      <c r="ED10" s="1426"/>
      <c r="EE10" s="1426"/>
      <c r="EF10" s="1426"/>
      <c r="EG10" s="1426"/>
      <c r="EH10" s="1426"/>
      <c r="EI10" s="1426"/>
      <c r="EJ10" s="1426"/>
      <c r="EK10" s="1426"/>
      <c r="EL10" s="1426"/>
      <c r="EM10" s="1426"/>
      <c r="EN10" s="1426"/>
      <c r="EO10" s="1426"/>
      <c r="EP10" s="1426"/>
      <c r="EQ10" s="1426"/>
      <c r="ER10" s="1426"/>
      <c r="ES10" s="1426"/>
      <c r="ET10" s="1426"/>
      <c r="EU10" s="1426"/>
      <c r="EV10" s="1426"/>
      <c r="EW10" s="1426"/>
      <c r="EX10" s="1426"/>
      <c r="EY10" s="1426"/>
      <c r="EZ10" s="1426"/>
      <c r="FA10" s="1426"/>
      <c r="FB10" s="1426"/>
      <c r="FC10" s="1426"/>
      <c r="FD10" s="1426"/>
      <c r="FE10" s="1426"/>
      <c r="FF10" s="1426"/>
      <c r="FG10" s="1426"/>
      <c r="FH10" s="1426"/>
      <c r="FI10" s="1426"/>
      <c r="FJ10" s="1426"/>
      <c r="FK10" s="1426"/>
      <c r="FL10" s="1426"/>
      <c r="FM10" s="1426"/>
      <c r="FN10" s="1426"/>
      <c r="FO10" s="1426"/>
      <c r="FP10" s="1426"/>
      <c r="FQ10" s="1426"/>
      <c r="FR10" s="1426"/>
      <c r="FS10" s="1426"/>
      <c r="FT10" s="1426"/>
      <c r="FU10" s="1426"/>
      <c r="FV10" s="1426"/>
      <c r="FW10" s="1426"/>
      <c r="FX10" s="1426"/>
      <c r="FY10" s="1426"/>
      <c r="FZ10" s="1426"/>
      <c r="GA10" s="1426"/>
      <c r="GB10" s="1426"/>
      <c r="GC10" s="1426"/>
      <c r="GD10" s="1426"/>
      <c r="GE10" s="1426"/>
      <c r="GF10" s="1426"/>
      <c r="GG10" s="1426"/>
      <c r="GH10" s="1426"/>
      <c r="GI10" s="1426"/>
      <c r="GJ10" s="1426"/>
      <c r="GK10" s="1426"/>
      <c r="GL10" s="1426"/>
      <c r="GM10" s="1426"/>
      <c r="GN10" s="1426"/>
      <c r="GO10" s="1426"/>
      <c r="GP10" s="1426"/>
      <c r="GQ10" s="1426"/>
      <c r="GR10" s="1426"/>
      <c r="GS10" s="1426"/>
      <c r="GT10" s="1426"/>
      <c r="GU10" s="1426"/>
      <c r="GV10" s="1426"/>
      <c r="GW10" s="1426"/>
      <c r="GX10" s="1426"/>
      <c r="GY10" s="1426"/>
      <c r="GZ10" s="1426"/>
      <c r="HA10" s="1426"/>
      <c r="HB10" s="1426"/>
      <c r="HC10" s="1426"/>
      <c r="HD10" s="1426"/>
      <c r="HE10" s="1426"/>
      <c r="HF10" s="1426"/>
      <c r="HG10" s="1426"/>
      <c r="HH10" s="1426"/>
      <c r="HI10" s="1426"/>
      <c r="HJ10" s="1426"/>
      <c r="HK10" s="1426"/>
      <c r="HL10" s="1426"/>
      <c r="HM10" s="1426"/>
      <c r="HN10" s="1426"/>
      <c r="HO10" s="1426"/>
      <c r="HP10" s="1426"/>
      <c r="HQ10" s="1426"/>
      <c r="HR10" s="1426"/>
      <c r="HS10" s="1426"/>
      <c r="HT10" s="1426"/>
      <c r="HU10" s="1426"/>
      <c r="HV10" s="1426"/>
      <c r="HW10" s="1426"/>
      <c r="HX10" s="1426"/>
      <c r="HY10" s="1426"/>
      <c r="HZ10" s="1426"/>
      <c r="IA10" s="1426"/>
      <c r="IB10" s="1426"/>
      <c r="IC10" s="1426"/>
      <c r="ID10" s="1426"/>
      <c r="IE10" s="1426"/>
      <c r="IF10" s="1426"/>
      <c r="IG10" s="1426"/>
      <c r="IH10" s="1426"/>
      <c r="II10" s="1426"/>
      <c r="IJ10" s="1426"/>
      <c r="IK10" s="1426"/>
      <c r="IL10" s="1426"/>
      <c r="IM10" s="1426"/>
      <c r="IN10" s="1426"/>
      <c r="IO10" s="1426"/>
      <c r="IP10" s="1426"/>
      <c r="IQ10" s="1426"/>
      <c r="IR10" s="1426"/>
      <c r="IS10" s="1426"/>
      <c r="IT10" s="1426"/>
      <c r="IU10" s="1426"/>
      <c r="IV10" s="1426"/>
    </row>
    <row r="11" spans="1:257">
      <c r="A11" s="1427"/>
      <c r="B11" s="1428" t="s">
        <v>1280</v>
      </c>
      <c r="C11" s="1429" t="s">
        <v>1281</v>
      </c>
      <c r="D11" s="1430" t="s">
        <v>1282</v>
      </c>
      <c r="E11" s="1431"/>
      <c r="F11" s="1430" t="s">
        <v>1283</v>
      </c>
      <c r="G11" s="1432"/>
      <c r="H11" s="1431"/>
      <c r="I11" s="1430" t="s">
        <v>1284</v>
      </c>
      <c r="J11" s="1431"/>
      <c r="K11" s="1427"/>
      <c r="L11" s="1428" t="s">
        <v>1280</v>
      </c>
      <c r="M11" s="1429" t="s">
        <v>1281</v>
      </c>
      <c r="N11" s="1428" t="s">
        <v>1285</v>
      </c>
      <c r="O11" s="1430" t="s">
        <v>1286</v>
      </c>
      <c r="P11" s="1432"/>
      <c r="Q11" s="1432"/>
      <c r="R11" s="1432"/>
      <c r="S11" s="1432"/>
      <c r="T11" s="1431"/>
      <c r="U11" s="1430" t="s">
        <v>1287</v>
      </c>
      <c r="V11" s="1432"/>
      <c r="W11" s="1431"/>
      <c r="X11" s="1428" t="s">
        <v>1288</v>
      </c>
      <c r="Y11" s="1428" t="s">
        <v>1289</v>
      </c>
      <c r="Z11" s="1428" t="s">
        <v>1290</v>
      </c>
      <c r="AA11" s="1433"/>
      <c r="AB11" s="1433"/>
      <c r="AC11" s="1433"/>
      <c r="AD11" s="1433"/>
      <c r="AE11" s="1433"/>
      <c r="AF11" s="1433"/>
      <c r="AG11" s="1433"/>
      <c r="AH11" s="1433"/>
      <c r="AI11" s="1433"/>
      <c r="AJ11" s="1433"/>
      <c r="AK11" s="1433"/>
      <c r="AL11" s="1433"/>
      <c r="AM11" s="1433"/>
      <c r="AN11" s="1433"/>
      <c r="AO11" s="1433"/>
      <c r="AP11" s="1433"/>
      <c r="AQ11" s="1433"/>
      <c r="AR11" s="1433"/>
      <c r="AS11" s="1433"/>
      <c r="AT11" s="1433"/>
      <c r="AU11" s="1433"/>
      <c r="AV11" s="1433"/>
      <c r="AW11" s="1433"/>
      <c r="AX11" s="1433"/>
      <c r="AY11" s="1433"/>
      <c r="AZ11" s="1433"/>
      <c r="BA11" s="1433"/>
      <c r="BB11" s="1433"/>
      <c r="BC11" s="1433"/>
      <c r="BD11" s="1433"/>
      <c r="BE11" s="1433"/>
      <c r="BF11" s="1433"/>
      <c r="BG11" s="1433"/>
      <c r="BH11" s="1433"/>
      <c r="BI11" s="1433"/>
      <c r="BJ11" s="1433"/>
      <c r="BK11" s="1433"/>
      <c r="BL11" s="1433"/>
      <c r="BM11" s="1433"/>
      <c r="BN11" s="1433"/>
      <c r="BO11" s="1433"/>
      <c r="BP11" s="1433"/>
      <c r="BQ11" s="1433"/>
      <c r="BR11" s="1433"/>
      <c r="BS11" s="1433"/>
      <c r="BT11" s="1433"/>
      <c r="BU11" s="1433"/>
      <c r="BV11" s="1433"/>
      <c r="BW11" s="1433"/>
      <c r="BX11" s="1433"/>
      <c r="BY11" s="1433"/>
      <c r="BZ11" s="1433"/>
      <c r="CA11" s="1433"/>
      <c r="CB11" s="1433"/>
      <c r="CC11" s="1433"/>
      <c r="CD11" s="1433"/>
      <c r="CE11" s="1433"/>
      <c r="CF11" s="1433"/>
      <c r="CG11" s="1433"/>
      <c r="CH11" s="1433"/>
      <c r="CI11" s="1433"/>
      <c r="CJ11" s="1433"/>
      <c r="CK11" s="1433"/>
      <c r="CL11" s="1433"/>
      <c r="CM11" s="1433"/>
      <c r="CN11" s="1433"/>
      <c r="CO11" s="1433"/>
      <c r="CP11" s="1433"/>
      <c r="CQ11" s="1433"/>
      <c r="CR11" s="1433"/>
      <c r="CS11" s="1433"/>
      <c r="CT11" s="1433"/>
      <c r="CU11" s="1433"/>
      <c r="CV11" s="1433"/>
      <c r="CW11" s="1433"/>
      <c r="CX11" s="1433"/>
      <c r="CY11" s="1433"/>
      <c r="CZ11" s="1433"/>
      <c r="DA11" s="1433"/>
      <c r="DB11" s="1433"/>
      <c r="DC11" s="1433"/>
      <c r="DD11" s="1433"/>
      <c r="DE11" s="1433"/>
      <c r="DF11" s="1433"/>
      <c r="DG11" s="1433"/>
      <c r="DH11" s="1433"/>
      <c r="DI11" s="1433"/>
      <c r="DJ11" s="1433"/>
      <c r="DK11" s="1433"/>
      <c r="DL11" s="1433"/>
      <c r="DM11" s="1433"/>
      <c r="DN11" s="1433"/>
      <c r="DO11" s="1433"/>
      <c r="DP11" s="1433"/>
      <c r="DQ11" s="1433"/>
      <c r="DR11" s="1433"/>
      <c r="DS11" s="1433"/>
      <c r="DT11" s="1433"/>
      <c r="DU11" s="1433"/>
      <c r="DV11" s="1433"/>
      <c r="DW11" s="1433"/>
      <c r="DX11" s="1433"/>
      <c r="DY11" s="1433"/>
      <c r="DZ11" s="1433"/>
      <c r="EA11" s="1433"/>
      <c r="EB11" s="1433"/>
      <c r="EC11" s="1433"/>
      <c r="ED11" s="1433"/>
      <c r="EE11" s="1433"/>
      <c r="EF11" s="1433"/>
      <c r="EG11" s="1433"/>
      <c r="EH11" s="1433"/>
      <c r="EI11" s="1433"/>
      <c r="EJ11" s="1433"/>
      <c r="EK11" s="1433"/>
      <c r="EL11" s="1433"/>
      <c r="EM11" s="1433"/>
      <c r="EN11" s="1433"/>
      <c r="EO11" s="1433"/>
      <c r="EP11" s="1433"/>
      <c r="EQ11" s="1433"/>
      <c r="ER11" s="1433"/>
      <c r="ES11" s="1433"/>
      <c r="ET11" s="1433"/>
      <c r="EU11" s="1433"/>
      <c r="EV11" s="1433"/>
      <c r="EW11" s="1433"/>
      <c r="EX11" s="1433"/>
      <c r="EY11" s="1433"/>
      <c r="EZ11" s="1433"/>
      <c r="FA11" s="1433"/>
      <c r="FB11" s="1433"/>
      <c r="FC11" s="1433"/>
      <c r="FD11" s="1433"/>
      <c r="FE11" s="1433"/>
      <c r="FF11" s="1433"/>
      <c r="FG11" s="1433"/>
      <c r="FH11" s="1433"/>
      <c r="FI11" s="1433"/>
      <c r="FJ11" s="1433"/>
      <c r="FK11" s="1433"/>
      <c r="FL11" s="1433"/>
      <c r="FM11" s="1433"/>
      <c r="FN11" s="1433"/>
      <c r="FO11" s="1433"/>
      <c r="FP11" s="1433"/>
      <c r="FQ11" s="1433"/>
      <c r="FR11" s="1433"/>
      <c r="FS11" s="1433"/>
      <c r="FT11" s="1433"/>
      <c r="FU11" s="1433"/>
      <c r="FV11" s="1433"/>
      <c r="FW11" s="1433"/>
      <c r="FX11" s="1433"/>
      <c r="FY11" s="1433"/>
      <c r="FZ11" s="1433"/>
      <c r="GA11" s="1433"/>
      <c r="GB11" s="1433"/>
      <c r="GC11" s="1433"/>
      <c r="GD11" s="1433"/>
      <c r="GE11" s="1433"/>
      <c r="GF11" s="1433"/>
      <c r="GG11" s="1433"/>
      <c r="GH11" s="1433"/>
      <c r="GI11" s="1433"/>
      <c r="GJ11" s="1433"/>
      <c r="GK11" s="1433"/>
      <c r="GL11" s="1433"/>
      <c r="GM11" s="1433"/>
      <c r="GN11" s="1433"/>
      <c r="GO11" s="1433"/>
      <c r="GP11" s="1433"/>
      <c r="GQ11" s="1433"/>
      <c r="GR11" s="1433"/>
      <c r="GS11" s="1433"/>
      <c r="GT11" s="1433"/>
      <c r="GU11" s="1433"/>
      <c r="GV11" s="1433"/>
      <c r="GW11" s="1433"/>
      <c r="GX11" s="1433"/>
      <c r="GY11" s="1433"/>
      <c r="GZ11" s="1433"/>
      <c r="HA11" s="1433"/>
      <c r="HB11" s="1433"/>
      <c r="HC11" s="1433"/>
      <c r="HD11" s="1433"/>
      <c r="HE11" s="1433"/>
      <c r="HF11" s="1433"/>
      <c r="HG11" s="1433"/>
      <c r="HH11" s="1433"/>
      <c r="HI11" s="1433"/>
      <c r="HJ11" s="1433"/>
      <c r="HK11" s="1433"/>
      <c r="HL11" s="1433"/>
      <c r="HM11" s="1433"/>
      <c r="HN11" s="1433"/>
      <c r="HO11" s="1433"/>
      <c r="HP11" s="1433"/>
      <c r="HQ11" s="1433"/>
      <c r="HR11" s="1433"/>
      <c r="HS11" s="1433"/>
      <c r="HT11" s="1433"/>
      <c r="HU11" s="1433"/>
      <c r="HV11" s="1433"/>
      <c r="HW11" s="1433"/>
      <c r="HX11" s="1433"/>
      <c r="HY11" s="1433"/>
      <c r="HZ11" s="1433"/>
      <c r="IA11" s="1433"/>
      <c r="IB11" s="1433"/>
      <c r="IC11" s="1433"/>
      <c r="ID11" s="1433"/>
      <c r="IE11" s="1433"/>
      <c r="IF11" s="1433"/>
      <c r="IG11" s="1433"/>
      <c r="IH11" s="1433"/>
      <c r="II11" s="1433"/>
      <c r="IJ11" s="1433"/>
      <c r="IK11" s="1433"/>
      <c r="IL11" s="1433"/>
      <c r="IM11" s="1433"/>
      <c r="IN11" s="1433"/>
      <c r="IO11" s="1433"/>
      <c r="IP11" s="1433"/>
      <c r="IQ11" s="1433"/>
      <c r="IR11" s="1433"/>
      <c r="IS11" s="1433"/>
      <c r="IT11" s="1433"/>
      <c r="IU11" s="1433"/>
      <c r="IV11" s="1433"/>
    </row>
    <row r="12" spans="1:257">
      <c r="A12" s="1434"/>
      <c r="B12" s="1435"/>
      <c r="C12" s="1436"/>
      <c r="D12" s="1437" t="s">
        <v>1291</v>
      </c>
      <c r="E12" s="1437" t="s">
        <v>1292</v>
      </c>
      <c r="F12" s="1437" t="s">
        <v>1293</v>
      </c>
      <c r="G12" s="1437" t="s">
        <v>1294</v>
      </c>
      <c r="H12" s="1437" t="s">
        <v>1276</v>
      </c>
      <c r="I12" s="1438" t="s">
        <v>1295</v>
      </c>
      <c r="J12" s="1438" t="s">
        <v>1295</v>
      </c>
      <c r="K12" s="1434"/>
      <c r="L12" s="1435"/>
      <c r="M12" s="1436"/>
      <c r="N12" s="1435"/>
      <c r="O12" s="1438" t="s">
        <v>1296</v>
      </c>
      <c r="P12" s="1438">
        <v>0.5</v>
      </c>
      <c r="Q12" s="1438">
        <v>1</v>
      </c>
      <c r="R12" s="1438">
        <v>2</v>
      </c>
      <c r="S12" s="1438">
        <v>3</v>
      </c>
      <c r="T12" s="1438">
        <v>5</v>
      </c>
      <c r="U12" s="1438">
        <v>1</v>
      </c>
      <c r="V12" s="1438">
        <v>3</v>
      </c>
      <c r="W12" s="1438">
        <v>5</v>
      </c>
      <c r="X12" s="1435"/>
      <c r="Y12" s="1435"/>
      <c r="Z12" s="1435"/>
      <c r="AA12" s="1439"/>
      <c r="AB12" s="1439"/>
      <c r="AC12" s="1439"/>
      <c r="AD12" s="1439"/>
      <c r="AE12" s="1439"/>
      <c r="AF12" s="1439"/>
      <c r="AG12" s="1439"/>
      <c r="AH12" s="1439"/>
      <c r="AI12" s="1439"/>
      <c r="AJ12" s="1439"/>
      <c r="AK12" s="1439"/>
      <c r="AL12" s="1439"/>
      <c r="AM12" s="1439"/>
      <c r="AN12" s="1439"/>
      <c r="AO12" s="1439"/>
      <c r="AP12" s="1439"/>
      <c r="AQ12" s="1439"/>
      <c r="AR12" s="1439"/>
      <c r="AS12" s="1439"/>
      <c r="AT12" s="1439"/>
      <c r="AU12" s="1439"/>
      <c r="AV12" s="1439"/>
      <c r="AW12" s="1439"/>
      <c r="AX12" s="1439"/>
      <c r="AY12" s="1439"/>
      <c r="AZ12" s="1439"/>
      <c r="BA12" s="1439"/>
      <c r="BB12" s="1439"/>
      <c r="BC12" s="1439"/>
      <c r="BD12" s="1439"/>
      <c r="BE12" s="1439"/>
      <c r="BF12" s="1439"/>
      <c r="BG12" s="1439"/>
      <c r="BH12" s="1439"/>
      <c r="BI12" s="1439"/>
      <c r="BJ12" s="1439"/>
      <c r="BK12" s="1439"/>
      <c r="BL12" s="1439"/>
      <c r="BM12" s="1439"/>
      <c r="BN12" s="1439"/>
      <c r="BO12" s="1439"/>
      <c r="BP12" s="1439"/>
      <c r="BQ12" s="1439"/>
      <c r="BR12" s="1439"/>
      <c r="BS12" s="1439"/>
      <c r="BT12" s="1439"/>
      <c r="BU12" s="1439"/>
      <c r="BV12" s="1439"/>
      <c r="BW12" s="1439"/>
      <c r="BX12" s="1439"/>
      <c r="BY12" s="1439"/>
      <c r="BZ12" s="1439"/>
      <c r="CA12" s="1439"/>
      <c r="CB12" s="1439"/>
      <c r="CC12" s="1439"/>
      <c r="CD12" s="1439"/>
      <c r="CE12" s="1439"/>
      <c r="CF12" s="1439"/>
      <c r="CG12" s="1439"/>
      <c r="CH12" s="1439"/>
      <c r="CI12" s="1439"/>
      <c r="CJ12" s="1439"/>
      <c r="CK12" s="1439"/>
      <c r="CL12" s="1439"/>
      <c r="CM12" s="1439"/>
      <c r="CN12" s="1439"/>
      <c r="CO12" s="1439"/>
      <c r="CP12" s="1439"/>
      <c r="CQ12" s="1439"/>
      <c r="CR12" s="1439"/>
      <c r="CS12" s="1439"/>
      <c r="CT12" s="1439"/>
      <c r="CU12" s="1439"/>
      <c r="CV12" s="1439"/>
      <c r="CW12" s="1439"/>
      <c r="CX12" s="1439"/>
      <c r="CY12" s="1439"/>
      <c r="CZ12" s="1439"/>
      <c r="DA12" s="1439"/>
      <c r="DB12" s="1439"/>
      <c r="DC12" s="1439"/>
      <c r="DD12" s="1439"/>
      <c r="DE12" s="1439"/>
      <c r="DF12" s="1439"/>
      <c r="DG12" s="1439"/>
      <c r="DH12" s="1439"/>
      <c r="DI12" s="1439"/>
      <c r="DJ12" s="1439"/>
      <c r="DK12" s="1439"/>
      <c r="DL12" s="1439"/>
      <c r="DM12" s="1439"/>
      <c r="DN12" s="1439"/>
      <c r="DO12" s="1439"/>
      <c r="DP12" s="1439"/>
      <c r="DQ12" s="1439"/>
      <c r="DR12" s="1439"/>
      <c r="DS12" s="1439"/>
      <c r="DT12" s="1439"/>
      <c r="DU12" s="1439"/>
      <c r="DV12" s="1439"/>
      <c r="DW12" s="1439"/>
      <c r="DX12" s="1439"/>
      <c r="DY12" s="1439"/>
      <c r="DZ12" s="1439"/>
      <c r="EA12" s="1439"/>
      <c r="EB12" s="1439"/>
      <c r="EC12" s="1439"/>
      <c r="ED12" s="1439"/>
      <c r="EE12" s="1439"/>
      <c r="EF12" s="1439"/>
      <c r="EG12" s="1439"/>
      <c r="EH12" s="1439"/>
      <c r="EI12" s="1439"/>
      <c r="EJ12" s="1439"/>
      <c r="EK12" s="1439"/>
      <c r="EL12" s="1439"/>
      <c r="EM12" s="1439"/>
      <c r="EN12" s="1439"/>
      <c r="EO12" s="1439"/>
      <c r="EP12" s="1439"/>
      <c r="EQ12" s="1439"/>
      <c r="ER12" s="1439"/>
      <c r="ES12" s="1439"/>
      <c r="ET12" s="1439"/>
      <c r="EU12" s="1439"/>
      <c r="EV12" s="1439"/>
      <c r="EW12" s="1439"/>
      <c r="EX12" s="1439"/>
      <c r="EY12" s="1439"/>
      <c r="EZ12" s="1439"/>
      <c r="FA12" s="1439"/>
      <c r="FB12" s="1439"/>
      <c r="FC12" s="1439"/>
      <c r="FD12" s="1439"/>
      <c r="FE12" s="1439"/>
      <c r="FF12" s="1439"/>
      <c r="FG12" s="1439"/>
      <c r="FH12" s="1439"/>
      <c r="FI12" s="1439"/>
      <c r="FJ12" s="1439"/>
      <c r="FK12" s="1439"/>
      <c r="FL12" s="1439"/>
      <c r="FM12" s="1439"/>
      <c r="FN12" s="1439"/>
      <c r="FO12" s="1439"/>
      <c r="FP12" s="1439"/>
      <c r="FQ12" s="1439"/>
      <c r="FR12" s="1439"/>
      <c r="FS12" s="1439"/>
      <c r="FT12" s="1439"/>
      <c r="FU12" s="1439"/>
      <c r="FV12" s="1439"/>
      <c r="FW12" s="1439"/>
      <c r="FX12" s="1439"/>
      <c r="FY12" s="1439"/>
      <c r="FZ12" s="1439"/>
      <c r="GA12" s="1439"/>
      <c r="GB12" s="1439"/>
      <c r="GC12" s="1439"/>
      <c r="GD12" s="1439"/>
      <c r="GE12" s="1439"/>
      <c r="GF12" s="1439"/>
      <c r="GG12" s="1439"/>
      <c r="GH12" s="1439"/>
      <c r="GI12" s="1439"/>
      <c r="GJ12" s="1439"/>
      <c r="GK12" s="1439"/>
      <c r="GL12" s="1439"/>
      <c r="GM12" s="1439"/>
      <c r="GN12" s="1439"/>
      <c r="GO12" s="1439"/>
      <c r="GP12" s="1439"/>
      <c r="GQ12" s="1439"/>
      <c r="GR12" s="1439"/>
      <c r="GS12" s="1439"/>
      <c r="GT12" s="1439"/>
      <c r="GU12" s="1439"/>
      <c r="GV12" s="1439"/>
      <c r="GW12" s="1439"/>
      <c r="GX12" s="1439"/>
      <c r="GY12" s="1439"/>
      <c r="GZ12" s="1439"/>
      <c r="HA12" s="1439"/>
      <c r="HB12" s="1439"/>
      <c r="HC12" s="1439"/>
      <c r="HD12" s="1439"/>
      <c r="HE12" s="1439"/>
      <c r="HF12" s="1439"/>
      <c r="HG12" s="1439"/>
      <c r="HH12" s="1439"/>
      <c r="HI12" s="1439"/>
      <c r="HJ12" s="1439"/>
      <c r="HK12" s="1439"/>
      <c r="HL12" s="1439"/>
      <c r="HM12" s="1439"/>
      <c r="HN12" s="1439"/>
      <c r="HO12" s="1439"/>
      <c r="HP12" s="1439"/>
      <c r="HQ12" s="1439"/>
      <c r="HR12" s="1439"/>
      <c r="HS12" s="1439"/>
      <c r="HT12" s="1439"/>
      <c r="HU12" s="1439"/>
      <c r="HV12" s="1439"/>
      <c r="HW12" s="1439"/>
      <c r="HX12" s="1439"/>
      <c r="HY12" s="1439"/>
      <c r="HZ12" s="1439"/>
      <c r="IA12" s="1439"/>
      <c r="IB12" s="1439"/>
      <c r="IC12" s="1439"/>
      <c r="ID12" s="1439"/>
      <c r="IE12" s="1439"/>
      <c r="IF12" s="1439"/>
      <c r="IG12" s="1439"/>
      <c r="IH12" s="1439"/>
      <c r="II12" s="1439"/>
      <c r="IJ12" s="1439"/>
      <c r="IK12" s="1439"/>
      <c r="IL12" s="1439"/>
      <c r="IM12" s="1439"/>
      <c r="IN12" s="1439"/>
      <c r="IO12" s="1439"/>
      <c r="IP12" s="1439"/>
      <c r="IQ12" s="1439"/>
      <c r="IR12" s="1439"/>
      <c r="IS12" s="1439"/>
      <c r="IT12" s="1439"/>
      <c r="IU12" s="1439"/>
      <c r="IV12" s="1439"/>
    </row>
    <row r="13" spans="1:257" ht="14.25">
      <c r="A13" s="1440"/>
      <c r="B13" s="1441" t="s">
        <v>1297</v>
      </c>
      <c r="C13" s="1442">
        <v>42301</v>
      </c>
      <c r="D13" s="1443">
        <v>4.3499999999999996</v>
      </c>
      <c r="E13" s="1443">
        <v>4.3499999999999996</v>
      </c>
      <c r="F13" s="1443">
        <v>4.75</v>
      </c>
      <c r="G13" s="1443">
        <v>4.75</v>
      </c>
      <c r="H13" s="1443">
        <v>4.9000000000000004</v>
      </c>
      <c r="I13" s="1443">
        <v>2.75</v>
      </c>
      <c r="J13" s="1443">
        <v>3.25</v>
      </c>
      <c r="K13" s="1440"/>
      <c r="L13" s="1441" t="s">
        <v>1297</v>
      </c>
      <c r="M13" s="1444">
        <v>42301</v>
      </c>
      <c r="N13" s="1443">
        <v>0.35</v>
      </c>
      <c r="O13" s="1443">
        <v>1.1000000000000001</v>
      </c>
      <c r="P13" s="1443">
        <v>1.3</v>
      </c>
      <c r="Q13" s="1443">
        <v>1.5</v>
      </c>
      <c r="R13" s="1443">
        <v>2.1</v>
      </c>
      <c r="S13" s="1443">
        <v>2.75</v>
      </c>
      <c r="T13" s="1443"/>
      <c r="U13" s="1443"/>
      <c r="V13" s="1443"/>
      <c r="W13" s="1443"/>
      <c r="X13" s="1443"/>
      <c r="Y13" s="1443"/>
      <c r="Z13" s="1443"/>
      <c r="AA13" s="1445"/>
      <c r="AB13" s="1445"/>
      <c r="AC13" s="1445"/>
      <c r="AD13" s="1445"/>
      <c r="AE13" s="1445"/>
      <c r="AF13" s="1445"/>
      <c r="AG13" s="1445"/>
      <c r="AH13" s="1445"/>
      <c r="AI13" s="1445"/>
      <c r="AJ13" s="1445"/>
      <c r="AK13" s="1445"/>
      <c r="AL13" s="1445"/>
      <c r="AM13" s="1445"/>
      <c r="AN13" s="1445"/>
      <c r="AO13" s="1445"/>
      <c r="AP13" s="1445"/>
      <c r="AQ13" s="1445"/>
      <c r="AR13" s="1445"/>
      <c r="AS13" s="1445"/>
      <c r="AT13" s="1445"/>
      <c r="AU13" s="1445"/>
      <c r="AV13" s="1445"/>
      <c r="AW13" s="1445"/>
      <c r="AX13" s="1445"/>
      <c r="AY13" s="1445"/>
      <c r="AZ13" s="1445"/>
      <c r="BA13" s="1445"/>
      <c r="BB13" s="1445"/>
      <c r="BC13" s="1445"/>
      <c r="BD13" s="1445"/>
      <c r="BE13" s="1445"/>
      <c r="BF13" s="1445"/>
      <c r="BG13" s="1445"/>
      <c r="BH13" s="1445"/>
      <c r="BI13" s="1445"/>
      <c r="BJ13" s="1445"/>
      <c r="BK13" s="1445"/>
      <c r="BL13" s="1445"/>
      <c r="BM13" s="1445"/>
      <c r="BN13" s="1445"/>
      <c r="BO13" s="1445"/>
      <c r="BP13" s="1445"/>
      <c r="BQ13" s="1445"/>
      <c r="BR13" s="1445"/>
      <c r="BS13" s="1445"/>
      <c r="BT13" s="1445"/>
      <c r="BU13" s="1445"/>
      <c r="BV13" s="1445"/>
      <c r="BW13" s="1445"/>
      <c r="BX13" s="1445"/>
      <c r="BY13" s="1445"/>
      <c r="BZ13" s="1445"/>
      <c r="CA13" s="1445"/>
      <c r="CB13" s="1445"/>
      <c r="CC13" s="1445"/>
      <c r="CD13" s="1445"/>
      <c r="CE13" s="1445"/>
      <c r="CF13" s="1445"/>
      <c r="CG13" s="1445"/>
      <c r="CH13" s="1445"/>
      <c r="CI13" s="1445"/>
      <c r="CJ13" s="1445"/>
      <c r="CK13" s="1445"/>
      <c r="CL13" s="1445"/>
      <c r="CM13" s="1445"/>
      <c r="CN13" s="1445"/>
      <c r="CO13" s="1445"/>
      <c r="CP13" s="1445"/>
      <c r="CQ13" s="1445"/>
      <c r="CR13" s="1445"/>
      <c r="CS13" s="1445"/>
      <c r="CT13" s="1445"/>
      <c r="CU13" s="1445"/>
      <c r="CV13" s="1445"/>
      <c r="CW13" s="1445"/>
      <c r="CX13" s="1445"/>
      <c r="CY13" s="1445"/>
      <c r="CZ13" s="1445"/>
      <c r="DA13" s="1445"/>
      <c r="DB13" s="1445"/>
      <c r="DC13" s="1445"/>
      <c r="DD13" s="1445"/>
      <c r="DE13" s="1445"/>
      <c r="DF13" s="1445"/>
      <c r="DG13" s="1445"/>
      <c r="DH13" s="1445"/>
      <c r="DI13" s="1445"/>
      <c r="DJ13" s="1445"/>
      <c r="DK13" s="1445"/>
      <c r="DL13" s="1445"/>
      <c r="DM13" s="1445"/>
      <c r="DN13" s="1445"/>
      <c r="DO13" s="1445"/>
      <c r="DP13" s="1445"/>
      <c r="DQ13" s="1445"/>
      <c r="DR13" s="1445"/>
      <c r="DS13" s="1445"/>
      <c r="DT13" s="1445"/>
      <c r="DU13" s="1445"/>
      <c r="DV13" s="1445"/>
      <c r="DW13" s="1445"/>
      <c r="DX13" s="1445"/>
      <c r="DY13" s="1445"/>
      <c r="DZ13" s="1445"/>
      <c r="EA13" s="1445"/>
      <c r="EB13" s="1445"/>
      <c r="EC13" s="1445"/>
      <c r="ED13" s="1445"/>
      <c r="EE13" s="1445"/>
      <c r="EF13" s="1445"/>
      <c r="EG13" s="1445"/>
      <c r="EH13" s="1445"/>
      <c r="EI13" s="1445"/>
      <c r="EJ13" s="1445"/>
      <c r="EK13" s="1445"/>
      <c r="EL13" s="1445"/>
      <c r="EM13" s="1445"/>
      <c r="EN13" s="1445"/>
      <c r="EO13" s="1445"/>
      <c r="EP13" s="1445"/>
      <c r="EQ13" s="1445"/>
      <c r="ER13" s="1445"/>
      <c r="ES13" s="1445"/>
      <c r="ET13" s="1445"/>
      <c r="EU13" s="1445"/>
      <c r="EV13" s="1445"/>
      <c r="EW13" s="1445"/>
      <c r="EX13" s="1445"/>
      <c r="EY13" s="1445"/>
      <c r="EZ13" s="1445"/>
      <c r="FA13" s="1445"/>
      <c r="FB13" s="1445"/>
      <c r="FC13" s="1445"/>
      <c r="FD13" s="1445"/>
      <c r="FE13" s="1445"/>
      <c r="FF13" s="1445"/>
      <c r="FG13" s="1445"/>
      <c r="FH13" s="1445"/>
      <c r="FI13" s="1445"/>
      <c r="FJ13" s="1445"/>
      <c r="FK13" s="1445"/>
      <c r="FL13" s="1445"/>
      <c r="FM13" s="1445"/>
      <c r="FN13" s="1445"/>
      <c r="FO13" s="1445"/>
      <c r="FP13" s="1445"/>
      <c r="FQ13" s="1445"/>
      <c r="FR13" s="1445"/>
      <c r="FS13" s="1445"/>
      <c r="FT13" s="1445"/>
      <c r="FU13" s="1445"/>
      <c r="FV13" s="1445"/>
      <c r="FW13" s="1445"/>
      <c r="FX13" s="1445"/>
      <c r="FY13" s="1445"/>
      <c r="FZ13" s="1445"/>
      <c r="GA13" s="1445"/>
      <c r="GB13" s="1445"/>
      <c r="GC13" s="1445"/>
      <c r="GD13" s="1445"/>
      <c r="GE13" s="1445"/>
      <c r="GF13" s="1445"/>
      <c r="GG13" s="1445"/>
      <c r="GH13" s="1445"/>
      <c r="GI13" s="1445"/>
      <c r="GJ13" s="1445"/>
      <c r="GK13" s="1445"/>
      <c r="GL13" s="1445"/>
      <c r="GM13" s="1445"/>
      <c r="GN13" s="1445"/>
      <c r="GO13" s="1445"/>
      <c r="GP13" s="1445"/>
      <c r="GQ13" s="1445"/>
      <c r="GR13" s="1445"/>
      <c r="GS13" s="1445"/>
      <c r="GT13" s="1445"/>
      <c r="GU13" s="1445"/>
      <c r="GV13" s="1445"/>
      <c r="GW13" s="1445"/>
      <c r="GX13" s="1445"/>
      <c r="GY13" s="1445"/>
      <c r="GZ13" s="1445"/>
      <c r="HA13" s="1445"/>
      <c r="HB13" s="1445"/>
      <c r="HC13" s="1445"/>
      <c r="HD13" s="1445"/>
      <c r="HE13" s="1445"/>
      <c r="HF13" s="1445"/>
      <c r="HG13" s="1445"/>
      <c r="HH13" s="1445"/>
      <c r="HI13" s="1445"/>
      <c r="HJ13" s="1445"/>
      <c r="HK13" s="1445"/>
      <c r="HL13" s="1445"/>
      <c r="HM13" s="1445"/>
      <c r="HN13" s="1445"/>
      <c r="HO13" s="1445"/>
      <c r="HP13" s="1445"/>
      <c r="HQ13" s="1445"/>
      <c r="HR13" s="1445"/>
      <c r="HS13" s="1445"/>
      <c r="HT13" s="1445"/>
      <c r="HU13" s="1445"/>
      <c r="HV13" s="1445"/>
      <c r="HW13" s="1445"/>
      <c r="HX13" s="1445"/>
      <c r="HY13" s="1445"/>
      <c r="HZ13" s="1445"/>
      <c r="IA13" s="1445"/>
      <c r="IB13" s="1445"/>
      <c r="IC13" s="1445"/>
      <c r="ID13" s="1445"/>
      <c r="IE13" s="1445"/>
      <c r="IF13" s="1445"/>
      <c r="IG13" s="1445"/>
      <c r="IH13" s="1445"/>
      <c r="II13" s="1445"/>
      <c r="IJ13" s="1445"/>
      <c r="IK13" s="1445"/>
      <c r="IL13" s="1445"/>
      <c r="IM13" s="1445"/>
      <c r="IN13" s="1445"/>
      <c r="IO13" s="1445"/>
      <c r="IP13" s="1445"/>
      <c r="IQ13" s="1445"/>
      <c r="IR13" s="1445"/>
      <c r="IS13" s="1445"/>
      <c r="IT13" s="1445"/>
      <c r="IU13" s="1445"/>
      <c r="IV13" s="1445"/>
      <c r="IW13" s="1446"/>
    </row>
    <row r="14" spans="1:257">
      <c r="B14" s="1447"/>
      <c r="C14" s="1448">
        <v>42242</v>
      </c>
      <c r="D14" s="1447">
        <v>4.5999999999999996</v>
      </c>
      <c r="E14" s="1447">
        <v>4.5999999999999996</v>
      </c>
      <c r="F14" s="1447">
        <v>5</v>
      </c>
      <c r="G14" s="1447">
        <v>5</v>
      </c>
      <c r="H14" s="1447">
        <v>5.15</v>
      </c>
      <c r="I14" s="1447">
        <v>2.75</v>
      </c>
      <c r="J14" s="1447">
        <v>3.25</v>
      </c>
      <c r="L14" s="1447"/>
      <c r="M14" s="1448">
        <v>42242</v>
      </c>
      <c r="N14" s="1447">
        <v>0.35</v>
      </c>
      <c r="O14" s="1447">
        <v>1.35</v>
      </c>
      <c r="P14" s="1447">
        <v>1.55</v>
      </c>
      <c r="Q14" s="1447">
        <v>1.75</v>
      </c>
      <c r="R14" s="1447">
        <v>2.35</v>
      </c>
      <c r="S14" s="1447">
        <v>3</v>
      </c>
      <c r="T14" s="1447"/>
      <c r="U14" s="1447"/>
      <c r="V14" s="1447"/>
      <c r="W14" s="1447"/>
      <c r="X14" s="1447"/>
      <c r="Y14" s="1447"/>
      <c r="Z14" s="1447"/>
    </row>
    <row r="15" spans="1:257">
      <c r="B15" s="1447"/>
      <c r="C15" s="1448">
        <v>42183</v>
      </c>
      <c r="D15" s="1447">
        <v>4.8499999999999996</v>
      </c>
      <c r="E15" s="1447">
        <v>4.8499999999999996</v>
      </c>
      <c r="F15" s="1447">
        <v>5.25</v>
      </c>
      <c r="G15" s="1447">
        <v>5.25</v>
      </c>
      <c r="H15" s="1447">
        <v>5.4</v>
      </c>
      <c r="I15" s="1447">
        <v>3</v>
      </c>
      <c r="J15" s="1447">
        <v>3.5</v>
      </c>
      <c r="L15" s="1447"/>
      <c r="M15" s="1448">
        <v>42183</v>
      </c>
      <c r="N15" s="1447">
        <v>0.35</v>
      </c>
      <c r="O15" s="1447">
        <v>1.6</v>
      </c>
      <c r="P15" s="1447">
        <v>1.8</v>
      </c>
      <c r="Q15" s="1447">
        <v>2</v>
      </c>
      <c r="R15" s="1447">
        <v>2.6</v>
      </c>
      <c r="S15" s="1447">
        <v>3.25</v>
      </c>
      <c r="T15" s="1447"/>
      <c r="U15" s="1447"/>
      <c r="V15" s="1447"/>
      <c r="W15" s="1447"/>
      <c r="X15" s="1447"/>
      <c r="Y15" s="1447"/>
      <c r="Z15" s="1447"/>
    </row>
    <row r="16" spans="1:257">
      <c r="B16" s="1447"/>
      <c r="C16" s="1448">
        <v>42135</v>
      </c>
      <c r="D16" s="1447">
        <v>5.0999999999999996</v>
      </c>
      <c r="E16" s="1447">
        <v>5.0999999999999996</v>
      </c>
      <c r="F16" s="1447">
        <v>5.5</v>
      </c>
      <c r="G16" s="1447">
        <v>5.5</v>
      </c>
      <c r="H16" s="1447">
        <v>5.65</v>
      </c>
      <c r="I16" s="1447">
        <v>3.25</v>
      </c>
      <c r="J16" s="1447">
        <v>3.75</v>
      </c>
      <c r="L16" s="1447"/>
      <c r="M16" s="1448">
        <v>42135</v>
      </c>
      <c r="N16" s="1447">
        <v>0.35</v>
      </c>
      <c r="O16" s="1447">
        <v>1.85</v>
      </c>
      <c r="P16" s="1447">
        <v>2.0499999999999998</v>
      </c>
      <c r="Q16" s="1447">
        <v>2.25</v>
      </c>
      <c r="R16" s="1447">
        <v>2.85</v>
      </c>
      <c r="S16" s="1447">
        <v>3.5</v>
      </c>
      <c r="T16" s="1447"/>
      <c r="U16" s="1447"/>
      <c r="V16" s="1447"/>
      <c r="W16" s="1447"/>
      <c r="X16" s="1447"/>
      <c r="Y16" s="1447"/>
      <c r="Z16" s="1447"/>
    </row>
    <row r="17" spans="2:26">
      <c r="B17" s="1447"/>
      <c r="C17" s="1448">
        <v>42064</v>
      </c>
      <c r="D17" s="1447">
        <v>5.35</v>
      </c>
      <c r="E17" s="1447">
        <v>5.35</v>
      </c>
      <c r="F17" s="1447">
        <v>5.75</v>
      </c>
      <c r="G17" s="1447">
        <v>5.75</v>
      </c>
      <c r="H17" s="1447">
        <v>5.9</v>
      </c>
      <c r="I17" s="1447"/>
      <c r="J17" s="1447"/>
      <c r="L17" s="1447"/>
      <c r="M17" s="1448">
        <v>42064</v>
      </c>
      <c r="N17" s="1447">
        <v>0.35</v>
      </c>
      <c r="O17" s="1447">
        <v>2.1</v>
      </c>
      <c r="P17" s="1447">
        <v>2.2999999999999998</v>
      </c>
      <c r="Q17" s="1447">
        <v>2.5</v>
      </c>
      <c r="R17" s="1447">
        <v>3.1</v>
      </c>
      <c r="S17" s="1447">
        <v>3.75</v>
      </c>
      <c r="T17" s="1447">
        <v>4.5</v>
      </c>
      <c r="U17" s="1447">
        <v>2.35</v>
      </c>
      <c r="V17" s="1447">
        <v>2.5499999999999998</v>
      </c>
      <c r="W17" s="1447">
        <v>2.75</v>
      </c>
      <c r="X17" s="1447"/>
      <c r="Y17" s="1447">
        <v>0.8</v>
      </c>
      <c r="Z17" s="1447">
        <v>1.35</v>
      </c>
    </row>
    <row r="18" spans="2:26" ht="15">
      <c r="B18" s="1447"/>
      <c r="C18" s="1448">
        <v>41965</v>
      </c>
      <c r="D18" s="1447">
        <v>5.6</v>
      </c>
      <c r="E18" s="1447">
        <v>5.6</v>
      </c>
      <c r="F18" s="1447">
        <v>6</v>
      </c>
      <c r="G18" s="1447">
        <v>6</v>
      </c>
      <c r="H18" s="1447">
        <v>6.15</v>
      </c>
      <c r="I18" s="1447"/>
      <c r="J18" s="1447"/>
      <c r="L18" s="1447"/>
      <c r="M18" s="1448">
        <v>41965</v>
      </c>
      <c r="N18" s="1447">
        <v>0.35</v>
      </c>
      <c r="O18" s="1447">
        <v>2.35</v>
      </c>
      <c r="P18" s="1447">
        <v>2.5499999999999998</v>
      </c>
      <c r="Q18" s="1447">
        <v>2.75</v>
      </c>
      <c r="R18" s="1447">
        <v>3.35</v>
      </c>
      <c r="S18" s="1447">
        <v>4</v>
      </c>
      <c r="T18" s="1447">
        <v>4.75</v>
      </c>
      <c r="U18" s="1449">
        <v>2.35</v>
      </c>
      <c r="V18" s="1449">
        <v>2.5499999999999998</v>
      </c>
      <c r="W18" s="1449">
        <v>2.75</v>
      </c>
      <c r="X18" s="1447"/>
      <c r="Y18" s="1449">
        <v>0.8</v>
      </c>
      <c r="Z18" s="1449">
        <v>1.35</v>
      </c>
    </row>
    <row r="19" spans="2:26">
      <c r="B19" s="1447"/>
      <c r="C19" s="1448">
        <v>41096</v>
      </c>
      <c r="D19" s="1447">
        <v>5.6</v>
      </c>
      <c r="E19" s="1447">
        <v>6</v>
      </c>
      <c r="F19" s="1447">
        <v>6.15</v>
      </c>
      <c r="G19" s="1447">
        <v>6.4</v>
      </c>
      <c r="H19" s="1447">
        <v>6.55</v>
      </c>
      <c r="I19" s="1447">
        <v>4</v>
      </c>
      <c r="J19" s="1447">
        <v>4.5</v>
      </c>
      <c r="L19" s="1447"/>
      <c r="M19" s="1448">
        <v>41096</v>
      </c>
      <c r="N19" s="1447">
        <v>0.35</v>
      </c>
      <c r="O19" s="1447">
        <v>2.6</v>
      </c>
      <c r="P19" s="1447">
        <v>2.8</v>
      </c>
      <c r="Q19" s="1447">
        <v>3</v>
      </c>
      <c r="R19" s="1447">
        <v>3.75</v>
      </c>
      <c r="S19" s="1447">
        <v>4.25</v>
      </c>
      <c r="T19" s="1447">
        <v>4.75</v>
      </c>
      <c r="U19" s="1447">
        <v>2.85</v>
      </c>
      <c r="V19" s="1447">
        <v>2.9</v>
      </c>
      <c r="W19" s="1447">
        <v>3</v>
      </c>
      <c r="X19" s="1447">
        <v>1.1499999999999999</v>
      </c>
      <c r="Y19" s="1447">
        <v>0.8</v>
      </c>
      <c r="Z19" s="1447">
        <v>1.35</v>
      </c>
    </row>
    <row r="20" spans="2:26">
      <c r="B20" s="1447"/>
      <c r="C20" s="1448">
        <v>41068</v>
      </c>
      <c r="D20" s="1447">
        <v>5.85</v>
      </c>
      <c r="E20" s="1447">
        <v>6.31</v>
      </c>
      <c r="F20" s="1447">
        <v>6.4</v>
      </c>
      <c r="G20" s="1447">
        <v>6.65</v>
      </c>
      <c r="H20" s="1447">
        <v>6.8</v>
      </c>
      <c r="I20" s="1447">
        <v>4.2</v>
      </c>
      <c r="J20" s="1447">
        <v>4.7</v>
      </c>
      <c r="L20" s="1447"/>
      <c r="M20" s="1448">
        <v>41068</v>
      </c>
      <c r="N20" s="1447">
        <v>0.4</v>
      </c>
      <c r="O20" s="1447">
        <v>2.85</v>
      </c>
      <c r="P20" s="1447">
        <v>3.05</v>
      </c>
      <c r="Q20" s="1447">
        <v>3.25</v>
      </c>
      <c r="R20" s="1447">
        <v>4.0999999999999996</v>
      </c>
      <c r="S20" s="1447">
        <v>4.6500000000000004</v>
      </c>
      <c r="T20" s="1447">
        <v>5.0999999999999996</v>
      </c>
      <c r="U20" s="1447">
        <v>3.1</v>
      </c>
      <c r="V20" s="1447">
        <v>3.15</v>
      </c>
      <c r="W20" s="1447">
        <v>3.25</v>
      </c>
      <c r="X20" s="1447">
        <v>1.31</v>
      </c>
      <c r="Y20" s="1447">
        <v>0.94</v>
      </c>
      <c r="Z20" s="1447">
        <v>1.49</v>
      </c>
    </row>
    <row r="21" spans="2:26">
      <c r="B21" s="1447"/>
      <c r="C21" s="1448">
        <v>40731</v>
      </c>
      <c r="D21" s="1447">
        <v>6.1</v>
      </c>
      <c r="E21" s="1447">
        <v>6.56</v>
      </c>
      <c r="F21" s="1447">
        <v>6.65</v>
      </c>
      <c r="G21" s="1447">
        <v>6.9</v>
      </c>
      <c r="H21" s="1447">
        <v>7.05</v>
      </c>
      <c r="I21" s="1447">
        <v>4.45</v>
      </c>
      <c r="J21" s="1447">
        <v>4.9000000000000004</v>
      </c>
      <c r="L21" s="1447"/>
      <c r="M21" s="1448">
        <v>40731</v>
      </c>
      <c r="N21" s="1447">
        <v>0.5</v>
      </c>
      <c r="O21" s="1447">
        <v>3.1</v>
      </c>
      <c r="P21" s="1447">
        <v>3.3</v>
      </c>
      <c r="Q21" s="1447">
        <v>3.5</v>
      </c>
      <c r="R21" s="1447">
        <v>4.4000000000000004</v>
      </c>
      <c r="S21" s="1447">
        <v>5</v>
      </c>
      <c r="T21" s="1447">
        <v>5.5</v>
      </c>
      <c r="U21" s="1447">
        <v>3.1</v>
      </c>
      <c r="V21" s="1447">
        <v>3.3</v>
      </c>
      <c r="W21" s="1447">
        <v>3.5</v>
      </c>
      <c r="X21" s="1447">
        <v>1.31</v>
      </c>
      <c r="Y21" s="1447">
        <v>0.95</v>
      </c>
      <c r="Z21" s="1447">
        <v>1.49</v>
      </c>
    </row>
    <row r="22" spans="2:26">
      <c r="B22" s="1447"/>
      <c r="C22" s="1448">
        <v>40639</v>
      </c>
      <c r="D22" s="1447">
        <v>5.85</v>
      </c>
      <c r="E22" s="1447">
        <v>6.31</v>
      </c>
      <c r="F22" s="1447">
        <v>6.4</v>
      </c>
      <c r="G22" s="1447">
        <v>6.65</v>
      </c>
      <c r="H22" s="1447">
        <v>6.8</v>
      </c>
      <c r="I22" s="1447">
        <v>4.2</v>
      </c>
      <c r="J22" s="1447">
        <v>4.7</v>
      </c>
      <c r="L22" s="1447"/>
      <c r="M22" s="1448">
        <v>40639</v>
      </c>
      <c r="N22" s="1447">
        <v>0.5</v>
      </c>
      <c r="O22" s="1447">
        <v>2.85</v>
      </c>
      <c r="P22" s="1447">
        <v>3.05</v>
      </c>
      <c r="Q22" s="1447">
        <v>3.25</v>
      </c>
      <c r="R22" s="1447">
        <v>4.1500000000000004</v>
      </c>
      <c r="S22" s="1447">
        <v>4.75</v>
      </c>
      <c r="T22" s="1447">
        <v>5.25</v>
      </c>
      <c r="U22" s="1447">
        <v>2.85</v>
      </c>
      <c r="V22" s="1447">
        <v>3.05</v>
      </c>
      <c r="W22" s="1447">
        <v>3.25</v>
      </c>
      <c r="X22" s="1447">
        <v>1.31</v>
      </c>
      <c r="Y22" s="1447">
        <v>0.95</v>
      </c>
      <c r="Z22" s="1447">
        <v>1.49</v>
      </c>
    </row>
    <row r="23" spans="2:26">
      <c r="B23" s="1447"/>
      <c r="C23" s="1448">
        <v>40583</v>
      </c>
      <c r="D23" s="1447">
        <v>5.6</v>
      </c>
      <c r="E23" s="1447">
        <v>6.06</v>
      </c>
      <c r="F23" s="1447">
        <v>6.1</v>
      </c>
      <c r="G23" s="1447">
        <v>6.45</v>
      </c>
      <c r="H23" s="1447">
        <v>6.6</v>
      </c>
      <c r="I23" s="1447">
        <v>4</v>
      </c>
      <c r="J23" s="1447">
        <v>4.5</v>
      </c>
      <c r="L23" s="1447"/>
      <c r="M23" s="1448">
        <v>40583</v>
      </c>
      <c r="N23" s="1447">
        <v>0.4</v>
      </c>
      <c r="O23" s="1447">
        <v>2.6</v>
      </c>
      <c r="P23" s="1447">
        <v>2.8</v>
      </c>
      <c r="Q23" s="1447">
        <v>3</v>
      </c>
      <c r="R23" s="1447">
        <v>3.9</v>
      </c>
      <c r="S23" s="1447">
        <v>4.5</v>
      </c>
      <c r="T23" s="1447">
        <v>5</v>
      </c>
      <c r="U23" s="1447">
        <v>2.6</v>
      </c>
      <c r="V23" s="1447">
        <v>2.8</v>
      </c>
      <c r="W23" s="1447">
        <v>3</v>
      </c>
      <c r="X23" s="1447">
        <v>1.21</v>
      </c>
      <c r="Y23" s="1447">
        <v>0.85</v>
      </c>
      <c r="Z23" s="1447">
        <v>1.39</v>
      </c>
    </row>
    <row r="24" spans="2:26">
      <c r="B24" s="1447"/>
      <c r="C24" s="1448">
        <v>40538</v>
      </c>
      <c r="D24" s="1447">
        <v>5.35</v>
      </c>
      <c r="E24" s="1447">
        <v>5.81</v>
      </c>
      <c r="F24" s="1447">
        <v>5.85</v>
      </c>
      <c r="G24" s="1447">
        <v>6.22</v>
      </c>
      <c r="H24" s="1447">
        <v>6.4</v>
      </c>
      <c r="I24" s="1447">
        <v>3.75</v>
      </c>
      <c r="J24" s="1447">
        <v>4.3</v>
      </c>
      <c r="L24" s="1447"/>
      <c r="M24" s="1448">
        <v>40538</v>
      </c>
      <c r="N24" s="1447">
        <v>0.36</v>
      </c>
      <c r="O24" s="1447">
        <v>2.25</v>
      </c>
      <c r="P24" s="1447">
        <v>2.5</v>
      </c>
      <c r="Q24" s="1447">
        <v>2.75</v>
      </c>
      <c r="R24" s="1447">
        <v>3.55</v>
      </c>
      <c r="S24" s="1447">
        <v>4.1500000000000004</v>
      </c>
      <c r="T24" s="1447">
        <v>4.55</v>
      </c>
      <c r="U24" s="1447">
        <v>2.16</v>
      </c>
      <c r="V24" s="1447">
        <v>2.5</v>
      </c>
      <c r="W24" s="1447">
        <v>2.85</v>
      </c>
      <c r="X24" s="1447">
        <v>1.17</v>
      </c>
      <c r="Y24" s="1447">
        <v>0.81</v>
      </c>
      <c r="Z24" s="1447">
        <v>1.35</v>
      </c>
    </row>
    <row r="25" spans="2:26">
      <c r="B25" s="1447"/>
      <c r="C25" s="1448">
        <v>40471</v>
      </c>
      <c r="D25" s="1447">
        <v>5.0999999999999996</v>
      </c>
      <c r="E25" s="1447">
        <v>5.56</v>
      </c>
      <c r="F25" s="1447">
        <v>5.6</v>
      </c>
      <c r="G25" s="1447">
        <v>5.96</v>
      </c>
      <c r="H25" s="1447">
        <v>6.14</v>
      </c>
      <c r="I25" s="1447">
        <v>3.5</v>
      </c>
      <c r="J25" s="1447">
        <v>4.05</v>
      </c>
      <c r="L25" s="1447"/>
      <c r="M25" s="1448">
        <v>40471</v>
      </c>
      <c r="N25" s="1447">
        <v>0.36</v>
      </c>
      <c r="O25" s="1447">
        <v>1.91</v>
      </c>
      <c r="P25" s="1447">
        <v>2.2000000000000002</v>
      </c>
      <c r="Q25" s="1447">
        <v>2.5</v>
      </c>
      <c r="R25" s="1447">
        <v>3.25</v>
      </c>
      <c r="S25" s="1447">
        <v>3.85</v>
      </c>
      <c r="T25" s="1447">
        <v>4.2</v>
      </c>
      <c r="U25" s="1447">
        <v>1.91</v>
      </c>
      <c r="V25" s="1447">
        <v>2.2000000000000002</v>
      </c>
      <c r="W25" s="1447">
        <v>2.5</v>
      </c>
      <c r="X25" s="1447">
        <v>1.17</v>
      </c>
      <c r="Y25" s="1447">
        <v>0.81</v>
      </c>
      <c r="Z25" s="1447">
        <v>1.35</v>
      </c>
    </row>
    <row r="26" spans="2:26">
      <c r="B26" s="1447"/>
      <c r="C26" s="1448">
        <v>39805</v>
      </c>
      <c r="D26" s="1447">
        <v>4.8600000000000003</v>
      </c>
      <c r="E26" s="1447">
        <v>5.31</v>
      </c>
      <c r="F26" s="1447">
        <v>5.4</v>
      </c>
      <c r="G26" s="1447">
        <v>5.76</v>
      </c>
      <c r="H26" s="1447">
        <v>5.94</v>
      </c>
      <c r="I26" s="1447">
        <v>3.33</v>
      </c>
      <c r="J26" s="1447">
        <v>3.87</v>
      </c>
      <c r="L26" s="1447"/>
      <c r="M26" s="1448">
        <v>39805</v>
      </c>
      <c r="N26" s="1447">
        <v>0.36</v>
      </c>
      <c r="O26" s="1447">
        <v>1.71</v>
      </c>
      <c r="P26" s="1447">
        <v>1.98</v>
      </c>
      <c r="Q26" s="1447">
        <v>2.25</v>
      </c>
      <c r="R26" s="1447">
        <v>2.79</v>
      </c>
      <c r="S26" s="1447">
        <v>3.33</v>
      </c>
      <c r="T26" s="1447">
        <v>3.6</v>
      </c>
      <c r="U26" s="1447">
        <v>1.71</v>
      </c>
      <c r="V26" s="1447">
        <v>1.98</v>
      </c>
      <c r="W26" s="1447">
        <v>2.25</v>
      </c>
      <c r="X26" s="1447">
        <v>1.17</v>
      </c>
      <c r="Y26" s="1447">
        <v>0.81</v>
      </c>
      <c r="Z26" s="1447">
        <v>1.35</v>
      </c>
    </row>
    <row r="27" spans="2:26">
      <c r="B27" s="1447"/>
      <c r="C27" s="1448">
        <v>39779</v>
      </c>
      <c r="D27" s="1447">
        <v>5.04</v>
      </c>
      <c r="E27" s="1447">
        <v>5.58</v>
      </c>
      <c r="F27" s="1447">
        <v>5.67</v>
      </c>
      <c r="G27" s="1447">
        <v>5.94</v>
      </c>
      <c r="H27" s="1447">
        <v>6.12</v>
      </c>
      <c r="I27" s="1447">
        <v>3.51</v>
      </c>
      <c r="J27" s="1447">
        <v>4.05</v>
      </c>
      <c r="L27" s="1447"/>
      <c r="M27" s="1448">
        <v>39779</v>
      </c>
      <c r="N27" s="1447">
        <v>0.36</v>
      </c>
      <c r="O27" s="1447">
        <v>1.98</v>
      </c>
      <c r="P27" s="1447">
        <v>2.25</v>
      </c>
      <c r="Q27" s="1447">
        <v>2.52</v>
      </c>
      <c r="R27" s="1447">
        <v>3.06</v>
      </c>
      <c r="S27" s="1447">
        <v>3.6</v>
      </c>
      <c r="T27" s="1447">
        <v>3.87</v>
      </c>
      <c r="U27" s="1447">
        <v>1.98</v>
      </c>
      <c r="V27" s="1447">
        <v>2.25</v>
      </c>
      <c r="W27" s="1447">
        <v>2.52</v>
      </c>
      <c r="X27" s="1447">
        <v>1.17</v>
      </c>
      <c r="Y27" s="1447">
        <v>0.81</v>
      </c>
      <c r="Z27" s="1447">
        <v>1.35</v>
      </c>
    </row>
    <row r="28" spans="2:26">
      <c r="B28" s="1447"/>
      <c r="C28" s="1448">
        <v>39751</v>
      </c>
      <c r="D28" s="1447">
        <v>6.03</v>
      </c>
      <c r="E28" s="1447">
        <v>6.66</v>
      </c>
      <c r="F28" s="1447">
        <v>6.75</v>
      </c>
      <c r="G28" s="1447">
        <v>7.02</v>
      </c>
      <c r="H28" s="1447">
        <v>7.2</v>
      </c>
      <c r="I28" s="1447">
        <v>4.05</v>
      </c>
      <c r="J28" s="1447">
        <v>4.59</v>
      </c>
      <c r="L28" s="1447"/>
      <c r="M28" s="1448">
        <v>39751</v>
      </c>
      <c r="N28" s="1447">
        <v>0.72</v>
      </c>
      <c r="O28" s="1447">
        <v>2.88</v>
      </c>
      <c r="P28" s="1447">
        <v>3.24</v>
      </c>
      <c r="Q28" s="1447">
        <v>3.6</v>
      </c>
      <c r="R28" s="1447">
        <v>4.1399999999999997</v>
      </c>
      <c r="S28" s="1447">
        <v>4.7699999999999996</v>
      </c>
      <c r="T28" s="1447">
        <v>5.13</v>
      </c>
      <c r="U28" s="1447">
        <v>2.88</v>
      </c>
      <c r="V28" s="1447">
        <v>3.24</v>
      </c>
      <c r="W28" s="1447">
        <v>3.6</v>
      </c>
      <c r="X28" s="1447">
        <v>1.53</v>
      </c>
      <c r="Y28" s="1447">
        <v>1.17</v>
      </c>
      <c r="Z28" s="1447">
        <v>1.71</v>
      </c>
    </row>
    <row r="29" spans="2:26">
      <c r="B29" s="1447"/>
      <c r="C29" s="1450">
        <v>39748</v>
      </c>
      <c r="D29" s="1447">
        <v>6.12</v>
      </c>
      <c r="E29" s="1447">
        <v>6.93</v>
      </c>
      <c r="F29" s="1447">
        <v>7.02</v>
      </c>
      <c r="G29" s="1447">
        <v>7.29</v>
      </c>
      <c r="H29" s="1447">
        <v>7.47</v>
      </c>
      <c r="I29" s="1447">
        <v>4.05</v>
      </c>
      <c r="J29" s="1447">
        <v>4.59</v>
      </c>
      <c r="L29" s="1447"/>
      <c r="M29" s="1450">
        <v>39736</v>
      </c>
      <c r="N29" s="1447">
        <v>0.72</v>
      </c>
      <c r="O29" s="1447">
        <v>3.15</v>
      </c>
      <c r="P29" s="1447">
        <v>3.51</v>
      </c>
      <c r="Q29" s="1447">
        <v>3.87</v>
      </c>
      <c r="R29" s="1447">
        <v>4.41</v>
      </c>
      <c r="S29" s="1447">
        <v>5.13</v>
      </c>
      <c r="T29" s="1447">
        <v>5.58</v>
      </c>
      <c r="U29" s="1447">
        <v>3.15</v>
      </c>
      <c r="V29" s="1447">
        <v>3.51</v>
      </c>
      <c r="W29" s="1447">
        <v>3.87</v>
      </c>
      <c r="X29" s="1447">
        <v>1.53</v>
      </c>
      <c r="Y29" s="1447">
        <v>1.17</v>
      </c>
      <c r="Z29" s="1447">
        <v>1.71</v>
      </c>
    </row>
    <row r="30" spans="2:26">
      <c r="B30" s="1447"/>
      <c r="C30" s="1448">
        <v>39730</v>
      </c>
      <c r="D30" s="1447">
        <v>6.12</v>
      </c>
      <c r="E30" s="1447">
        <v>6.93</v>
      </c>
      <c r="F30" s="1447">
        <v>7.02</v>
      </c>
      <c r="G30" s="1447">
        <v>7.29</v>
      </c>
      <c r="H30" s="1447">
        <v>7.47</v>
      </c>
      <c r="I30" s="1447">
        <v>4.32</v>
      </c>
      <c r="J30" s="1447">
        <v>4.8600000000000003</v>
      </c>
      <c r="L30" s="1447"/>
      <c r="M30" s="1448">
        <v>39730</v>
      </c>
      <c r="N30" s="1447">
        <v>0.72</v>
      </c>
      <c r="O30" s="1447">
        <v>3.15</v>
      </c>
      <c r="P30" s="1447">
        <v>3.51</v>
      </c>
      <c r="Q30" s="1447">
        <v>3.87</v>
      </c>
      <c r="R30" s="1447">
        <v>4.41</v>
      </c>
      <c r="S30" s="1447">
        <v>5.13</v>
      </c>
      <c r="T30" s="1447">
        <v>5.58</v>
      </c>
      <c r="U30" s="1447">
        <v>3.15</v>
      </c>
      <c r="V30" s="1447">
        <v>3.51</v>
      </c>
      <c r="W30" s="1447">
        <v>3.87</v>
      </c>
      <c r="X30" s="1447">
        <v>1.53</v>
      </c>
      <c r="Y30" s="1447">
        <v>1.17</v>
      </c>
      <c r="Z30" s="1447">
        <v>1.71</v>
      </c>
    </row>
    <row r="31" spans="2:26">
      <c r="B31" s="1447"/>
      <c r="C31" s="1448">
        <v>39707</v>
      </c>
      <c r="D31" s="1447">
        <v>6.21</v>
      </c>
      <c r="E31" s="1447">
        <v>7.2</v>
      </c>
      <c r="F31" s="1447">
        <v>7.29</v>
      </c>
      <c r="G31" s="1447">
        <v>7.56</v>
      </c>
      <c r="H31" s="1447">
        <v>7.74</v>
      </c>
      <c r="I31" s="1447">
        <v>4.59</v>
      </c>
      <c r="J31" s="1447">
        <v>5.13</v>
      </c>
      <c r="L31" s="1447"/>
      <c r="M31" s="1448">
        <v>39437</v>
      </c>
      <c r="N31" s="1447">
        <v>0.72</v>
      </c>
      <c r="O31" s="1447">
        <v>3.33</v>
      </c>
      <c r="P31" s="1447">
        <v>3.78</v>
      </c>
      <c r="Q31" s="1447">
        <v>4.1399999999999997</v>
      </c>
      <c r="R31" s="1447">
        <v>4.68</v>
      </c>
      <c r="S31" s="1447">
        <v>5.4</v>
      </c>
      <c r="T31" s="1447">
        <v>5.85</v>
      </c>
      <c r="U31" s="1447">
        <v>3.33</v>
      </c>
      <c r="V31" s="1447">
        <v>3.78</v>
      </c>
      <c r="W31" s="1447">
        <v>4.1399999999999997</v>
      </c>
      <c r="X31" s="1447">
        <v>1.53</v>
      </c>
      <c r="Y31" s="1447">
        <v>1.17</v>
      </c>
      <c r="Z31" s="1447">
        <v>1.71</v>
      </c>
    </row>
    <row r="32" spans="2:26">
      <c r="B32" s="1447"/>
      <c r="C32" s="1448">
        <v>39437</v>
      </c>
      <c r="D32" s="1447">
        <v>6.57</v>
      </c>
      <c r="E32" s="1447">
        <v>7.47</v>
      </c>
      <c r="F32" s="1447">
        <v>7.56</v>
      </c>
      <c r="G32" s="1447">
        <v>7.74</v>
      </c>
      <c r="H32" s="1447">
        <v>7.83</v>
      </c>
      <c r="I32" s="1447">
        <v>4.7699999999999996</v>
      </c>
      <c r="J32" s="1447">
        <v>5.22</v>
      </c>
      <c r="L32" s="1447"/>
      <c r="M32" s="1448">
        <v>39340</v>
      </c>
      <c r="N32" s="1447">
        <v>0.81</v>
      </c>
      <c r="O32" s="1447">
        <v>2.88</v>
      </c>
      <c r="P32" s="1447">
        <v>3.42</v>
      </c>
      <c r="Q32" s="1447">
        <v>3.87</v>
      </c>
      <c r="R32" s="1447">
        <v>4.5</v>
      </c>
      <c r="S32" s="1447">
        <v>5.22</v>
      </c>
      <c r="T32" s="1447">
        <v>5.76</v>
      </c>
      <c r="U32" s="1447">
        <v>2.88</v>
      </c>
      <c r="V32" s="1447">
        <v>3.42</v>
      </c>
      <c r="W32" s="1447">
        <v>3.87</v>
      </c>
      <c r="X32" s="1447">
        <v>1.53</v>
      </c>
      <c r="Y32" s="1447">
        <v>1.17</v>
      </c>
      <c r="Z32" s="1447">
        <v>1.71</v>
      </c>
    </row>
    <row r="33" spans="2:26">
      <c r="B33" s="1447"/>
      <c r="C33" s="1448">
        <v>39340</v>
      </c>
      <c r="D33" s="1447">
        <v>6.48</v>
      </c>
      <c r="E33" s="1447">
        <v>7.29</v>
      </c>
      <c r="F33" s="1447">
        <v>7.47</v>
      </c>
      <c r="G33" s="1447">
        <v>7.65</v>
      </c>
      <c r="H33" s="1447">
        <v>7.83</v>
      </c>
      <c r="I33" s="1447">
        <v>4.7699999999999996</v>
      </c>
      <c r="J33" s="1447">
        <v>5.22</v>
      </c>
      <c r="L33" s="1447"/>
      <c r="M33" s="1448">
        <v>39316</v>
      </c>
      <c r="N33" s="1447">
        <v>0.81</v>
      </c>
      <c r="O33" s="1447">
        <v>2.61</v>
      </c>
      <c r="P33" s="1447">
        <v>3.15</v>
      </c>
      <c r="Q33" s="1447">
        <v>3.6</v>
      </c>
      <c r="R33" s="1447">
        <v>4.2300000000000004</v>
      </c>
      <c r="S33" s="1447">
        <v>4.95</v>
      </c>
      <c r="T33" s="1447">
        <v>5.49</v>
      </c>
      <c r="U33" s="1447">
        <v>2.61</v>
      </c>
      <c r="V33" s="1447">
        <v>3.15</v>
      </c>
      <c r="W33" s="1447">
        <v>3.6</v>
      </c>
      <c r="X33" s="1447">
        <v>1.53</v>
      </c>
      <c r="Y33" s="1447">
        <v>1.17</v>
      </c>
      <c r="Z33" s="1447">
        <v>1.71</v>
      </c>
    </row>
    <row r="34" spans="2:26">
      <c r="B34" s="1447"/>
      <c r="C34" s="1448">
        <v>39316</v>
      </c>
      <c r="D34" s="1447">
        <v>6.21</v>
      </c>
      <c r="E34" s="1447">
        <v>7.02</v>
      </c>
      <c r="F34" s="1447">
        <v>7.2</v>
      </c>
      <c r="G34" s="1447">
        <v>7.38</v>
      </c>
      <c r="H34" s="1447">
        <v>7.56</v>
      </c>
      <c r="I34" s="1447">
        <v>4.59</v>
      </c>
      <c r="J34" s="1447">
        <v>5.04</v>
      </c>
      <c r="L34" s="1447"/>
      <c r="M34" s="1448">
        <v>39284</v>
      </c>
      <c r="N34" s="1447">
        <v>0.81</v>
      </c>
      <c r="O34" s="1447">
        <v>2.34</v>
      </c>
      <c r="P34" s="1447">
        <v>2.88</v>
      </c>
      <c r="Q34" s="1447">
        <v>3.33</v>
      </c>
      <c r="R34" s="1447">
        <v>3.96</v>
      </c>
      <c r="S34" s="1447">
        <v>4.68</v>
      </c>
      <c r="T34" s="1447">
        <v>5.22</v>
      </c>
      <c r="U34" s="1447">
        <v>2.34</v>
      </c>
      <c r="V34" s="1447">
        <v>2.88</v>
      </c>
      <c r="W34" s="1447">
        <v>3.33</v>
      </c>
      <c r="X34" s="1447">
        <v>1.53</v>
      </c>
      <c r="Y34" s="1447">
        <v>1.17</v>
      </c>
      <c r="Z34" s="1447">
        <v>1.71</v>
      </c>
    </row>
    <row r="35" spans="2:26">
      <c r="B35" s="1447"/>
      <c r="C35" s="1448">
        <v>39284</v>
      </c>
      <c r="D35" s="1447">
        <v>6.03</v>
      </c>
      <c r="E35" s="1447">
        <v>6.84</v>
      </c>
      <c r="F35" s="1447">
        <v>7.02</v>
      </c>
      <c r="G35" s="1447">
        <v>7.2</v>
      </c>
      <c r="H35" s="1447">
        <v>7.38</v>
      </c>
      <c r="I35" s="1447">
        <v>4.5</v>
      </c>
      <c r="J35" s="1447">
        <v>4.95</v>
      </c>
      <c r="L35" s="1447"/>
      <c r="M35" s="1448">
        <v>39221</v>
      </c>
      <c r="N35" s="1447">
        <v>0.72</v>
      </c>
      <c r="O35" s="1447">
        <v>2.0699999999999998</v>
      </c>
      <c r="P35" s="1447">
        <v>2.61</v>
      </c>
      <c r="Q35" s="1447">
        <v>3.06</v>
      </c>
      <c r="R35" s="1447">
        <v>3.69</v>
      </c>
      <c r="S35" s="1447">
        <v>4.41</v>
      </c>
      <c r="T35" s="1447">
        <v>4.95</v>
      </c>
      <c r="U35" s="1447">
        <v>2.0699999999999998</v>
      </c>
      <c r="V35" s="1447">
        <v>2.61</v>
      </c>
      <c r="W35" s="1447">
        <v>3.06</v>
      </c>
      <c r="X35" s="1447">
        <v>1.44</v>
      </c>
      <c r="Y35" s="1447">
        <v>1.08</v>
      </c>
      <c r="Z35" s="1447">
        <v>1.62</v>
      </c>
    </row>
    <row r="36" spans="2:26">
      <c r="B36" s="1447"/>
      <c r="C36" s="1448">
        <v>39221</v>
      </c>
      <c r="D36" s="1447">
        <v>5.85</v>
      </c>
      <c r="E36" s="1447">
        <v>6.57</v>
      </c>
      <c r="F36" s="1447">
        <v>6.75</v>
      </c>
      <c r="G36" s="1447">
        <v>6.93</v>
      </c>
      <c r="H36" s="1447">
        <v>7.2</v>
      </c>
      <c r="I36" s="1447">
        <v>4.41</v>
      </c>
      <c r="J36" s="1447">
        <v>4.8600000000000003</v>
      </c>
      <c r="L36" s="1447"/>
      <c r="M36" s="1448">
        <v>39159</v>
      </c>
      <c r="N36" s="1447">
        <v>0.72</v>
      </c>
      <c r="O36" s="1447">
        <v>1.98</v>
      </c>
      <c r="P36" s="1447">
        <v>2.4300000000000002</v>
      </c>
      <c r="Q36" s="1447">
        <v>2.79</v>
      </c>
      <c r="R36" s="1447">
        <v>3.33</v>
      </c>
      <c r="S36" s="1447">
        <v>3.96</v>
      </c>
      <c r="T36" s="1447">
        <v>4.41</v>
      </c>
      <c r="U36" s="1447">
        <v>1.98</v>
      </c>
      <c r="V36" s="1447">
        <v>2.4300000000000002</v>
      </c>
      <c r="W36" s="1447">
        <v>2.79</v>
      </c>
      <c r="X36" s="1447">
        <v>1.44</v>
      </c>
      <c r="Y36" s="1447">
        <v>1.08</v>
      </c>
      <c r="Z36" s="1447">
        <v>1.62</v>
      </c>
    </row>
    <row r="37" spans="2:26">
      <c r="B37" s="1447"/>
      <c r="C37" s="1448">
        <v>39159</v>
      </c>
      <c r="D37" s="1447">
        <v>5.67</v>
      </c>
      <c r="E37" s="1447">
        <v>6.39</v>
      </c>
      <c r="F37" s="1447">
        <v>6.57</v>
      </c>
      <c r="G37" s="1447">
        <v>6.75</v>
      </c>
      <c r="H37" s="1447">
        <v>7.11</v>
      </c>
      <c r="I37" s="1447">
        <v>4.32</v>
      </c>
      <c r="J37" s="1447">
        <v>4.7699999999999996</v>
      </c>
      <c r="L37" s="1447"/>
      <c r="M37" s="1448">
        <v>38948</v>
      </c>
      <c r="N37" s="1447">
        <v>0.72</v>
      </c>
      <c r="O37" s="1447">
        <v>1.8</v>
      </c>
      <c r="P37" s="1447">
        <v>2.25</v>
      </c>
      <c r="Q37" s="1447">
        <v>2.52</v>
      </c>
      <c r="R37" s="1447">
        <v>3.06</v>
      </c>
      <c r="S37" s="1447">
        <v>3.69</v>
      </c>
      <c r="T37" s="1447">
        <v>4.1399999999999997</v>
      </c>
      <c r="U37" s="1447">
        <v>1.8</v>
      </c>
      <c r="V37" s="1447">
        <v>2.25</v>
      </c>
      <c r="W37" s="1447">
        <v>2.52</v>
      </c>
      <c r="X37" s="1447">
        <v>1.44</v>
      </c>
      <c r="Y37" s="1447">
        <v>1.08</v>
      </c>
      <c r="Z37" s="1447">
        <v>1.62</v>
      </c>
    </row>
    <row r="38" spans="2:26">
      <c r="B38" s="1447"/>
      <c r="C38" s="1448">
        <v>38948</v>
      </c>
      <c r="D38" s="1447">
        <v>5.58</v>
      </c>
      <c r="E38" s="1447">
        <v>6.12</v>
      </c>
      <c r="F38" s="1447">
        <v>6.3</v>
      </c>
      <c r="G38" s="1447">
        <v>6.48</v>
      </c>
      <c r="H38" s="1447">
        <v>6.84</v>
      </c>
      <c r="I38" s="1447">
        <v>4.1399999999999997</v>
      </c>
      <c r="J38" s="1447">
        <v>4.59</v>
      </c>
      <c r="L38" s="1447"/>
      <c r="M38" s="1448">
        <v>38289</v>
      </c>
      <c r="N38" s="1447">
        <v>0.72</v>
      </c>
      <c r="O38" s="1447">
        <v>1.71</v>
      </c>
      <c r="P38" s="1447">
        <v>2.0699999999999998</v>
      </c>
      <c r="Q38" s="1447">
        <v>2.25</v>
      </c>
      <c r="R38" s="1447">
        <v>2.7</v>
      </c>
      <c r="S38" s="1447">
        <v>3.24</v>
      </c>
      <c r="T38" s="1447">
        <v>3.6</v>
      </c>
      <c r="U38" s="1447">
        <v>1.71</v>
      </c>
      <c r="V38" s="1447">
        <v>2.0699999999999998</v>
      </c>
      <c r="W38" s="1447">
        <v>2.25</v>
      </c>
      <c r="X38" s="1447">
        <v>1.44</v>
      </c>
      <c r="Y38" s="1447">
        <v>1.08</v>
      </c>
      <c r="Z38" s="1447">
        <v>1.62</v>
      </c>
    </row>
    <row r="39" spans="2:26">
      <c r="B39" s="1447"/>
      <c r="C39" s="1448">
        <v>38835</v>
      </c>
      <c r="D39" s="1447">
        <v>5.4</v>
      </c>
      <c r="E39" s="1447">
        <v>5.85</v>
      </c>
      <c r="F39" s="1447">
        <v>6.03</v>
      </c>
      <c r="G39" s="1447">
        <v>6.12</v>
      </c>
      <c r="H39" s="1447">
        <v>6.39</v>
      </c>
      <c r="I39" s="1447">
        <v>4.1399999999999997</v>
      </c>
      <c r="J39" s="1447">
        <v>4.59</v>
      </c>
      <c r="L39" s="1447"/>
      <c r="M39" s="1448">
        <v>37308</v>
      </c>
      <c r="N39" s="1447">
        <v>0.72</v>
      </c>
      <c r="O39" s="1447">
        <v>1.71</v>
      </c>
      <c r="P39" s="1447">
        <v>1.89</v>
      </c>
      <c r="Q39" s="1447">
        <v>1.98</v>
      </c>
      <c r="R39" s="1447">
        <v>2.25</v>
      </c>
      <c r="S39" s="1447">
        <v>2.52</v>
      </c>
      <c r="T39" s="1447">
        <v>2.79</v>
      </c>
      <c r="U39" s="1447">
        <v>1.71</v>
      </c>
      <c r="V39" s="1447">
        <v>1.89</v>
      </c>
      <c r="W39" s="1447">
        <v>1.98</v>
      </c>
      <c r="X39" s="1447">
        <v>1.44</v>
      </c>
      <c r="Y39" s="1447">
        <v>1.08</v>
      </c>
      <c r="Z39" s="1447">
        <v>1.62</v>
      </c>
    </row>
    <row r="40" spans="2:26">
      <c r="B40" s="1447"/>
      <c r="C40" s="1448">
        <v>38428</v>
      </c>
      <c r="D40" s="1447">
        <v>5.22</v>
      </c>
      <c r="E40" s="1447">
        <v>5.58</v>
      </c>
      <c r="F40" s="1447">
        <v>5.76</v>
      </c>
      <c r="G40" s="1447">
        <v>5.85</v>
      </c>
      <c r="H40" s="1447">
        <v>6.12</v>
      </c>
      <c r="I40" s="1447">
        <v>3.96</v>
      </c>
      <c r="J40" s="1447">
        <v>4.41</v>
      </c>
      <c r="L40" s="1447"/>
      <c r="M40" s="1448">
        <v>36321</v>
      </c>
      <c r="N40" s="1447">
        <v>0.99</v>
      </c>
      <c r="O40" s="1447">
        <v>1.98</v>
      </c>
      <c r="P40" s="1447">
        <v>2.16</v>
      </c>
      <c r="Q40" s="1447">
        <v>2.25</v>
      </c>
      <c r="R40" s="1447">
        <v>2.4300000000000002</v>
      </c>
      <c r="S40" s="1447">
        <v>2.7</v>
      </c>
      <c r="T40" s="1447">
        <v>2.88</v>
      </c>
      <c r="U40" s="1447">
        <v>1.98</v>
      </c>
      <c r="V40" s="1447">
        <v>2.16</v>
      </c>
      <c r="W40" s="1447">
        <v>2.25</v>
      </c>
      <c r="X40" s="1447">
        <v>1.71</v>
      </c>
      <c r="Y40" s="1447">
        <v>1.35</v>
      </c>
      <c r="Z40" s="1447">
        <v>1.89</v>
      </c>
    </row>
    <row r="41" spans="2:26">
      <c r="B41" s="1447"/>
      <c r="C41" s="1448">
        <v>38289</v>
      </c>
      <c r="D41" s="1447">
        <v>5.22</v>
      </c>
      <c r="E41" s="1447">
        <v>5.58</v>
      </c>
      <c r="F41" s="1447">
        <v>5.76</v>
      </c>
      <c r="G41" s="1447">
        <v>5.85</v>
      </c>
      <c r="H41" s="1447">
        <v>6.12</v>
      </c>
      <c r="I41" s="1447">
        <v>3.78</v>
      </c>
      <c r="J41" s="1447">
        <v>4.2300000000000004</v>
      </c>
      <c r="L41" s="1447"/>
      <c r="M41" s="1448">
        <v>36136</v>
      </c>
      <c r="N41" s="1447">
        <v>1.44</v>
      </c>
      <c r="O41" s="1447">
        <v>2.79</v>
      </c>
      <c r="P41" s="1447">
        <v>3.33</v>
      </c>
      <c r="Q41" s="1447">
        <v>3.78</v>
      </c>
      <c r="R41" s="1447">
        <v>3.96</v>
      </c>
      <c r="S41" s="1447">
        <v>4.1399999999999997</v>
      </c>
      <c r="T41" s="1447">
        <v>4.5</v>
      </c>
      <c r="U41" s="1447">
        <v>3.33</v>
      </c>
      <c r="V41" s="1447">
        <v>3.78</v>
      </c>
      <c r="W41" s="1447">
        <v>4.1399999999999997</v>
      </c>
      <c r="X41" s="1447">
        <v>2.16</v>
      </c>
      <c r="Y41" s="1447">
        <v>1.8</v>
      </c>
      <c r="Z41" s="1447">
        <v>2.34</v>
      </c>
    </row>
    <row r="42" spans="2:26">
      <c r="B42" s="1447"/>
      <c r="C42" s="1448">
        <v>37308</v>
      </c>
      <c r="D42" s="1447">
        <v>5.04</v>
      </c>
      <c r="E42" s="1447">
        <v>5.31</v>
      </c>
      <c r="F42" s="1447">
        <v>5.49</v>
      </c>
      <c r="G42" s="1447">
        <v>5.58</v>
      </c>
      <c r="H42" s="1447">
        <v>5.76</v>
      </c>
      <c r="I42" s="1447">
        <v>3.6</v>
      </c>
      <c r="J42" s="1447">
        <v>4.05</v>
      </c>
      <c r="L42" s="1447"/>
      <c r="M42" s="1448">
        <v>35977</v>
      </c>
      <c r="N42" s="1447">
        <v>1.44</v>
      </c>
      <c r="O42" s="1447">
        <v>2.79</v>
      </c>
      <c r="P42" s="1447">
        <v>3.96</v>
      </c>
      <c r="Q42" s="1447">
        <v>4.7699999999999996</v>
      </c>
      <c r="R42" s="1447">
        <v>4.8600000000000003</v>
      </c>
      <c r="S42" s="1447">
        <v>4.95</v>
      </c>
      <c r="T42" s="1447">
        <v>5.22</v>
      </c>
      <c r="U42" s="1447">
        <v>3.96</v>
      </c>
      <c r="V42" s="1447">
        <v>4.7699999999999996</v>
      </c>
      <c r="W42" s="1447">
        <v>4.95</v>
      </c>
      <c r="X42" s="1447" t="s">
        <v>1298</v>
      </c>
      <c r="Y42" s="1447" t="s">
        <v>1298</v>
      </c>
      <c r="Z42" s="1447" t="s">
        <v>1298</v>
      </c>
    </row>
    <row r="43" spans="2:26">
      <c r="B43" s="1447"/>
      <c r="C43" s="1448">
        <v>36321</v>
      </c>
      <c r="D43" s="1447">
        <v>5.58</v>
      </c>
      <c r="E43" s="1447">
        <v>5.85</v>
      </c>
      <c r="F43" s="1447">
        <v>5.94</v>
      </c>
      <c r="G43" s="1447">
        <v>6.03</v>
      </c>
      <c r="H43" s="1447">
        <v>6.21</v>
      </c>
      <c r="I43" s="1447">
        <v>4.1399999999999997</v>
      </c>
      <c r="J43" s="1447">
        <v>4.59</v>
      </c>
      <c r="L43" s="1447"/>
      <c r="M43" s="1448">
        <v>35879</v>
      </c>
      <c r="N43" s="1447">
        <v>1.71</v>
      </c>
      <c r="O43" s="1447">
        <v>2.88</v>
      </c>
      <c r="P43" s="1447">
        <v>4.1399999999999997</v>
      </c>
      <c r="Q43" s="1447">
        <v>5.22</v>
      </c>
      <c r="R43" s="1447">
        <v>5.58</v>
      </c>
      <c r="S43" s="1447">
        <v>6.21</v>
      </c>
      <c r="T43" s="1447">
        <v>6.66</v>
      </c>
      <c r="U43" s="1447">
        <v>4.1399999999999997</v>
      </c>
      <c r="V43" s="1447">
        <v>5.22</v>
      </c>
      <c r="W43" s="1447">
        <v>6.21</v>
      </c>
      <c r="X43" s="1447" t="s">
        <v>1298</v>
      </c>
      <c r="Y43" s="1447" t="s">
        <v>1298</v>
      </c>
      <c r="Z43" s="1447" t="s">
        <v>1298</v>
      </c>
    </row>
    <row r="44" spans="2:26">
      <c r="B44" s="1447"/>
      <c r="C44" s="1448">
        <v>36136</v>
      </c>
      <c r="D44" s="1447">
        <v>6.12</v>
      </c>
      <c r="E44" s="1447">
        <v>6.39</v>
      </c>
      <c r="F44" s="1447">
        <v>6.66</v>
      </c>
      <c r="G44" s="1447">
        <v>7.2</v>
      </c>
      <c r="H44" s="1447">
        <v>7.56</v>
      </c>
      <c r="I44" s="1447">
        <v>0</v>
      </c>
      <c r="J44" s="1447">
        <v>0</v>
      </c>
      <c r="L44" s="1447"/>
      <c r="M44" s="1448">
        <v>35726</v>
      </c>
      <c r="N44" s="1447">
        <v>1.71</v>
      </c>
      <c r="O44" s="1447">
        <v>2.88</v>
      </c>
      <c r="P44" s="1447">
        <v>4.1399999999999997</v>
      </c>
      <c r="Q44" s="1447">
        <v>5.67</v>
      </c>
      <c r="R44" s="1447">
        <v>5.94</v>
      </c>
      <c r="S44" s="1447">
        <v>6.21</v>
      </c>
      <c r="T44" s="1447">
        <v>6.66</v>
      </c>
      <c r="U44" s="1447">
        <v>4.1399999999999997</v>
      </c>
      <c r="V44" s="1447">
        <v>5.67</v>
      </c>
      <c r="W44" s="1447">
        <v>6.21</v>
      </c>
      <c r="X44" s="1447" t="s">
        <v>1298</v>
      </c>
      <c r="Y44" s="1447" t="s">
        <v>1298</v>
      </c>
      <c r="Z44" s="1447" t="s">
        <v>1298</v>
      </c>
    </row>
    <row r="45" spans="2:26">
      <c r="B45" s="1447"/>
      <c r="C45" s="1448">
        <v>35977</v>
      </c>
      <c r="D45" s="1447">
        <v>6.57</v>
      </c>
      <c r="E45" s="1447">
        <v>6.93</v>
      </c>
      <c r="F45" s="1447">
        <v>7.11</v>
      </c>
      <c r="G45" s="1447">
        <v>7.65</v>
      </c>
      <c r="H45" s="1447">
        <v>8.01</v>
      </c>
      <c r="I45" s="1447">
        <v>0</v>
      </c>
      <c r="J45" s="1447">
        <v>0</v>
      </c>
      <c r="L45" s="1447"/>
      <c r="M45" s="1448">
        <v>35300</v>
      </c>
      <c r="N45" s="1447">
        <v>1.98</v>
      </c>
      <c r="O45" s="1447">
        <v>3.33</v>
      </c>
      <c r="P45" s="1447">
        <v>5.4</v>
      </c>
      <c r="Q45" s="1447">
        <v>7.47</v>
      </c>
      <c r="R45" s="1447">
        <v>7.92</v>
      </c>
      <c r="S45" s="1447">
        <v>8.2799999999999994</v>
      </c>
      <c r="T45" s="1447">
        <v>9</v>
      </c>
      <c r="U45" s="1447">
        <v>5.4</v>
      </c>
      <c r="V45" s="1447">
        <v>7.47</v>
      </c>
      <c r="W45" s="1447">
        <v>8.2799999999999994</v>
      </c>
      <c r="X45" s="1447" t="s">
        <v>1298</v>
      </c>
      <c r="Y45" s="1447" t="s">
        <v>1298</v>
      </c>
      <c r="Z45" s="1447" t="s">
        <v>1298</v>
      </c>
    </row>
    <row r="46" spans="2:26">
      <c r="B46" s="1447"/>
      <c r="C46" s="1448">
        <v>35879</v>
      </c>
      <c r="D46" s="1447">
        <v>7.02</v>
      </c>
      <c r="E46" s="1447">
        <v>7.92</v>
      </c>
      <c r="F46" s="1447">
        <v>9</v>
      </c>
      <c r="G46" s="1447">
        <v>9.7200000000000006</v>
      </c>
      <c r="H46" s="1447">
        <v>10.35</v>
      </c>
      <c r="I46" s="1447">
        <v>0</v>
      </c>
      <c r="J46" s="1447">
        <v>0</v>
      </c>
      <c r="L46" s="1447"/>
      <c r="M46" s="1448">
        <v>35186</v>
      </c>
      <c r="N46" s="1447">
        <v>2.97</v>
      </c>
      <c r="O46" s="1447">
        <v>4.8600000000000003</v>
      </c>
      <c r="P46" s="1447">
        <v>7.2</v>
      </c>
      <c r="Q46" s="1447">
        <v>9.18</v>
      </c>
      <c r="R46" s="1447">
        <v>9.9</v>
      </c>
      <c r="S46" s="1447">
        <v>10.8</v>
      </c>
      <c r="T46" s="1447">
        <v>12.06</v>
      </c>
      <c r="U46" s="1447">
        <v>7.2</v>
      </c>
      <c r="V46" s="1447">
        <v>9.18</v>
      </c>
      <c r="W46" s="1447">
        <v>10.8</v>
      </c>
      <c r="X46" s="1447" t="s">
        <v>1298</v>
      </c>
      <c r="Y46" s="1447" t="s">
        <v>1298</v>
      </c>
      <c r="Z46" s="1447" t="s">
        <v>1298</v>
      </c>
    </row>
    <row r="47" spans="2:26">
      <c r="B47" s="1447"/>
      <c r="C47" s="1448">
        <v>35726</v>
      </c>
      <c r="D47" s="1447">
        <v>7.65</v>
      </c>
      <c r="E47" s="1447">
        <v>8.64</v>
      </c>
      <c r="F47" s="1447">
        <v>9.36</v>
      </c>
      <c r="G47" s="1447">
        <v>9.9</v>
      </c>
      <c r="H47" s="1447">
        <v>10.53</v>
      </c>
      <c r="I47" s="1447">
        <v>0</v>
      </c>
      <c r="J47" s="1447">
        <v>0</v>
      </c>
      <c r="L47" s="1447"/>
      <c r="M47" s="1448">
        <v>34161</v>
      </c>
      <c r="N47" s="1447">
        <v>3.15</v>
      </c>
      <c r="O47" s="1447">
        <v>6.66</v>
      </c>
      <c r="P47" s="1447">
        <v>9</v>
      </c>
      <c r="Q47" s="1447">
        <v>10.98</v>
      </c>
      <c r="R47" s="1447">
        <v>11.7</v>
      </c>
      <c r="S47" s="1447">
        <v>12.24</v>
      </c>
      <c r="T47" s="1447">
        <v>13.86</v>
      </c>
      <c r="U47" s="1447">
        <v>9</v>
      </c>
      <c r="V47" s="1447">
        <v>10.98</v>
      </c>
      <c r="W47" s="1447">
        <v>12.24</v>
      </c>
      <c r="X47" s="1447" t="s">
        <v>1298</v>
      </c>
      <c r="Y47" s="1447" t="s">
        <v>1298</v>
      </c>
      <c r="Z47" s="1447" t="s">
        <v>1298</v>
      </c>
    </row>
    <row r="48" spans="2:26">
      <c r="B48" s="1447"/>
      <c r="C48" s="1448">
        <v>35300</v>
      </c>
      <c r="D48" s="1447">
        <v>9.18</v>
      </c>
      <c r="E48" s="1447">
        <v>10.08</v>
      </c>
      <c r="F48" s="1447">
        <v>10.98</v>
      </c>
      <c r="G48" s="1447">
        <v>11.7</v>
      </c>
      <c r="H48" s="1447">
        <v>12.42</v>
      </c>
      <c r="I48" s="1447">
        <v>0</v>
      </c>
      <c r="J48" s="1447">
        <v>0</v>
      </c>
      <c r="L48" s="1447"/>
      <c r="M48" s="1448">
        <v>34104</v>
      </c>
      <c r="N48" s="1447">
        <v>2.16</v>
      </c>
      <c r="O48" s="1447">
        <v>4.8600000000000003</v>
      </c>
      <c r="P48" s="1447">
        <v>7.2</v>
      </c>
      <c r="Q48" s="1447">
        <v>9.18</v>
      </c>
      <c r="R48" s="1447">
        <v>9.9</v>
      </c>
      <c r="S48" s="1447">
        <v>10.8</v>
      </c>
      <c r="T48" s="1447">
        <v>12.06</v>
      </c>
      <c r="U48" s="1447">
        <v>7.2</v>
      </c>
      <c r="V48" s="1447">
        <v>9.18</v>
      </c>
      <c r="W48" s="1447">
        <v>10.8</v>
      </c>
      <c r="X48" s="1447" t="s">
        <v>1298</v>
      </c>
      <c r="Y48" s="1447" t="s">
        <v>1298</v>
      </c>
      <c r="Z48" s="1447" t="s">
        <v>1298</v>
      </c>
    </row>
    <row r="49" spans="2:26">
      <c r="B49" s="1447"/>
      <c r="C49" s="1448">
        <v>35186</v>
      </c>
      <c r="D49" s="1447">
        <v>9.7200000000000006</v>
      </c>
      <c r="E49" s="1447">
        <v>10.98</v>
      </c>
      <c r="F49" s="1447">
        <v>13.14</v>
      </c>
      <c r="G49" s="1447">
        <v>14.94</v>
      </c>
      <c r="H49" s="1447">
        <v>15.12</v>
      </c>
      <c r="I49" s="1447">
        <v>0</v>
      </c>
      <c r="J49" s="1447">
        <v>0</v>
      </c>
      <c r="L49" s="1447"/>
      <c r="M49" s="1448">
        <v>33349</v>
      </c>
      <c r="N49" s="1447">
        <v>1.8</v>
      </c>
      <c r="O49" s="1447">
        <v>3.24</v>
      </c>
      <c r="P49" s="1447">
        <v>5.4</v>
      </c>
      <c r="Q49" s="1447">
        <v>7.56</v>
      </c>
      <c r="R49" s="1447">
        <v>7.92</v>
      </c>
      <c r="S49" s="1447">
        <v>8.2799999999999994</v>
      </c>
      <c r="T49" s="1447">
        <v>9</v>
      </c>
      <c r="U49" s="1447">
        <v>6.12</v>
      </c>
      <c r="V49" s="1447">
        <v>6.84</v>
      </c>
      <c r="W49" s="1447">
        <v>7.56</v>
      </c>
      <c r="X49" s="1447" t="s">
        <v>1298</v>
      </c>
      <c r="Y49" s="1447" t="s">
        <v>1298</v>
      </c>
      <c r="Z49" s="1447" t="s">
        <v>1298</v>
      </c>
    </row>
    <row r="50" spans="2:26">
      <c r="B50" s="1447"/>
      <c r="C50" s="1448">
        <v>34881</v>
      </c>
      <c r="D50" s="1447">
        <v>10.08</v>
      </c>
      <c r="E50" s="1447">
        <v>12.06</v>
      </c>
      <c r="F50" s="1447">
        <v>13.5</v>
      </c>
      <c r="G50" s="1447">
        <v>15.12</v>
      </c>
      <c r="H50" s="1447">
        <v>15.3</v>
      </c>
      <c r="I50" s="1447">
        <v>0</v>
      </c>
      <c r="J50" s="1447">
        <v>0</v>
      </c>
      <c r="L50" s="1447"/>
      <c r="M50" s="1448">
        <v>33106</v>
      </c>
      <c r="N50" s="1447">
        <v>2.16</v>
      </c>
      <c r="O50" s="1447">
        <v>4.32</v>
      </c>
      <c r="P50" s="1447">
        <v>6.48</v>
      </c>
      <c r="Q50" s="1447">
        <v>8.64</v>
      </c>
      <c r="R50" s="1447">
        <v>9.36</v>
      </c>
      <c r="S50" s="1447">
        <v>10.08</v>
      </c>
      <c r="T50" s="1447">
        <v>11.52</v>
      </c>
      <c r="U50" s="1447">
        <v>7.2</v>
      </c>
      <c r="V50" s="1447">
        <v>8.64</v>
      </c>
      <c r="W50" s="1447">
        <v>10.08</v>
      </c>
      <c r="X50" s="1447" t="s">
        <v>1298</v>
      </c>
      <c r="Y50" s="1447" t="s">
        <v>1298</v>
      </c>
      <c r="Z50" s="1447" t="s">
        <v>1298</v>
      </c>
    </row>
    <row r="51" spans="2:26">
      <c r="B51" s="1447"/>
      <c r="C51" s="1448">
        <v>34700</v>
      </c>
      <c r="D51" s="1447">
        <v>9</v>
      </c>
      <c r="E51" s="1447">
        <v>10.98</v>
      </c>
      <c r="F51" s="1447">
        <v>12.96</v>
      </c>
      <c r="G51" s="1447">
        <v>14.58</v>
      </c>
      <c r="H51" s="1447">
        <v>14.76</v>
      </c>
      <c r="I51" s="1447">
        <v>0</v>
      </c>
      <c r="J51" s="1447">
        <v>0</v>
      </c>
      <c r="L51" s="1447"/>
      <c r="M51" s="1448">
        <v>32978</v>
      </c>
      <c r="N51" s="1447">
        <v>2.88</v>
      </c>
      <c r="O51" s="1447">
        <v>6.3</v>
      </c>
      <c r="P51" s="1447">
        <v>7.74</v>
      </c>
      <c r="Q51" s="1447">
        <v>10.08</v>
      </c>
      <c r="R51" s="1447">
        <v>10.98</v>
      </c>
      <c r="S51" s="1447">
        <v>11.88</v>
      </c>
      <c r="T51" s="1447">
        <v>13.68</v>
      </c>
      <c r="U51" s="1447" t="s">
        <v>1298</v>
      </c>
      <c r="V51" s="1447" t="s">
        <v>1298</v>
      </c>
      <c r="W51" s="1447" t="s">
        <v>1298</v>
      </c>
      <c r="X51" s="1447" t="s">
        <v>1298</v>
      </c>
      <c r="Y51" s="1447" t="s">
        <v>1298</v>
      </c>
      <c r="Z51" s="1447" t="s">
        <v>1298</v>
      </c>
    </row>
    <row r="52" spans="2:26">
      <c r="B52" s="1447"/>
      <c r="C52" s="1448">
        <v>34161</v>
      </c>
      <c r="D52" s="1447">
        <v>9</v>
      </c>
      <c r="E52" s="1447">
        <v>10.98</v>
      </c>
      <c r="F52" s="1447">
        <v>12.24</v>
      </c>
      <c r="G52" s="1447">
        <v>13.86</v>
      </c>
      <c r="H52" s="1447">
        <v>14.04</v>
      </c>
      <c r="I52" s="1447">
        <v>0</v>
      </c>
      <c r="J52" s="1447">
        <v>0</v>
      </c>
      <c r="L52" s="1447"/>
      <c r="M52" s="1448"/>
      <c r="N52" s="1447"/>
      <c r="O52" s="1447"/>
      <c r="P52" s="1447"/>
      <c r="Q52" s="1447"/>
      <c r="R52" s="1447"/>
      <c r="S52" s="1447"/>
      <c r="T52" s="1447"/>
      <c r="U52" s="1447"/>
      <c r="V52" s="1447"/>
      <c r="W52" s="1447"/>
      <c r="X52" s="1447"/>
      <c r="Y52" s="1447"/>
      <c r="Z52" s="1447"/>
    </row>
    <row r="53" spans="2:26">
      <c r="B53" s="1447"/>
      <c r="C53" s="1448">
        <v>34104</v>
      </c>
      <c r="D53" s="1447">
        <v>8.82</v>
      </c>
      <c r="E53" s="1447">
        <v>9.36</v>
      </c>
      <c r="F53" s="1447">
        <v>10.8</v>
      </c>
      <c r="G53" s="1447">
        <v>12.06</v>
      </c>
      <c r="H53" s="1447">
        <v>12.24</v>
      </c>
      <c r="I53" s="1447">
        <v>0</v>
      </c>
      <c r="J53" s="1447">
        <v>0</v>
      </c>
      <c r="L53" s="1447"/>
      <c r="M53" s="1448"/>
      <c r="N53" s="1447"/>
      <c r="O53" s="1447"/>
      <c r="P53" s="1447"/>
      <c r="Q53" s="1447"/>
      <c r="R53" s="1447"/>
      <c r="S53" s="1447"/>
      <c r="T53" s="1447"/>
      <c r="U53" s="1447"/>
      <c r="V53" s="1447"/>
      <c r="W53" s="1447"/>
      <c r="X53" s="1447"/>
      <c r="Y53" s="1447"/>
      <c r="Z53" s="1447"/>
    </row>
    <row r="54" spans="2:26">
      <c r="B54" s="1447"/>
      <c r="C54" s="1448">
        <v>33349</v>
      </c>
      <c r="D54" s="1447">
        <v>8.1</v>
      </c>
      <c r="E54" s="1447">
        <v>8.64</v>
      </c>
      <c r="F54" s="1447">
        <v>9</v>
      </c>
      <c r="G54" s="1447">
        <v>9.5399999999999991</v>
      </c>
      <c r="H54" s="1447">
        <v>9.7200000000000006</v>
      </c>
      <c r="I54" s="1447">
        <v>0</v>
      </c>
      <c r="J54" s="1447">
        <v>0</v>
      </c>
      <c r="L54" s="1447"/>
      <c r="M54" s="1448"/>
      <c r="N54" s="1447"/>
      <c r="O54" s="1447"/>
      <c r="P54" s="1447"/>
      <c r="Q54" s="1447"/>
      <c r="R54" s="1447"/>
      <c r="S54" s="1447"/>
      <c r="T54" s="1447"/>
      <c r="U54" s="1447"/>
      <c r="V54" s="1447"/>
      <c r="W54" s="1447"/>
      <c r="X54" s="1447"/>
      <c r="Y54" s="1447"/>
      <c r="Z54" s="1447"/>
    </row>
    <row r="55" spans="2:26">
      <c r="B55" s="1447"/>
      <c r="C55" s="1448">
        <v>33318</v>
      </c>
      <c r="D55" s="1447">
        <v>9</v>
      </c>
      <c r="E55" s="1447">
        <v>10.08</v>
      </c>
      <c r="F55" s="1447">
        <v>10.8</v>
      </c>
      <c r="G55" s="1447">
        <v>11.52</v>
      </c>
      <c r="H55" s="1447">
        <v>11.88</v>
      </c>
      <c r="I55" s="1447" t="s">
        <v>1298</v>
      </c>
      <c r="J55" s="1447" t="s">
        <v>1298</v>
      </c>
      <c r="L55" s="1447"/>
      <c r="M55" s="1448"/>
      <c r="N55" s="1447"/>
      <c r="O55" s="1447"/>
      <c r="P55" s="1447"/>
      <c r="Q55" s="1447"/>
      <c r="R55" s="1447"/>
      <c r="S55" s="1447"/>
      <c r="T55" s="1447"/>
      <c r="U55" s="1447"/>
      <c r="V55" s="1447"/>
      <c r="W55" s="1447"/>
      <c r="X55" s="1447"/>
      <c r="Y55" s="1447"/>
      <c r="Z55" s="1447"/>
    </row>
    <row r="56" spans="2:26">
      <c r="B56" s="1447"/>
      <c r="C56" s="1448">
        <v>33106</v>
      </c>
      <c r="D56" s="1447">
        <v>8.64</v>
      </c>
      <c r="E56" s="1447">
        <v>9.36</v>
      </c>
      <c r="F56" s="1447">
        <v>10.08</v>
      </c>
      <c r="G56" s="1447">
        <v>10.8</v>
      </c>
      <c r="H56" s="1447">
        <v>11.16</v>
      </c>
      <c r="I56" s="1447">
        <v>0</v>
      </c>
      <c r="J56" s="1447">
        <v>0</v>
      </c>
      <c r="L56" s="1447"/>
      <c r="M56" s="1448"/>
      <c r="N56" s="1447"/>
      <c r="O56" s="1447"/>
      <c r="P56" s="1447"/>
      <c r="Q56" s="1447"/>
      <c r="R56" s="1447"/>
      <c r="S56" s="1447"/>
      <c r="T56" s="1447"/>
      <c r="U56" s="1447"/>
      <c r="V56" s="1447"/>
      <c r="W56" s="1447"/>
      <c r="X56" s="1447"/>
      <c r="Y56" s="1447"/>
      <c r="Z56" s="1447"/>
    </row>
    <row r="57" spans="2:26">
      <c r="B57" s="1447"/>
      <c r="C57" s="1448">
        <v>32540</v>
      </c>
      <c r="D57" s="1447">
        <v>11.34</v>
      </c>
      <c r="E57" s="1447">
        <v>11.34</v>
      </c>
      <c r="F57" s="1447">
        <v>12.78</v>
      </c>
      <c r="G57" s="1447">
        <v>14.4</v>
      </c>
      <c r="H57" s="1447">
        <v>19.260000000000002</v>
      </c>
      <c r="I57" s="1447">
        <v>0</v>
      </c>
      <c r="J57" s="1447">
        <v>0</v>
      </c>
      <c r="L57" s="1447"/>
      <c r="M57" s="1448"/>
      <c r="N57" s="1447"/>
      <c r="O57" s="1447"/>
      <c r="P57" s="1447"/>
      <c r="Q57" s="1447"/>
      <c r="R57" s="1447"/>
      <c r="S57" s="1447"/>
      <c r="T57" s="1447"/>
      <c r="U57" s="1447"/>
      <c r="V57" s="1447"/>
      <c r="W57" s="1447"/>
      <c r="X57" s="1447"/>
      <c r="Y57" s="1447"/>
      <c r="Z57" s="1447"/>
    </row>
    <row r="58" spans="2:26">
      <c r="B58" s="1447"/>
      <c r="C58" s="1448"/>
      <c r="D58" s="1447"/>
      <c r="E58" s="1447"/>
      <c r="F58" s="1447"/>
      <c r="G58" s="1447"/>
      <c r="H58" s="1447"/>
      <c r="I58" s="1447"/>
      <c r="J58" s="1447"/>
    </row>
    <row r="59" spans="2:26">
      <c r="B59" s="1451"/>
      <c r="C59" s="1452"/>
      <c r="D59" s="1451"/>
      <c r="E59" s="1451"/>
      <c r="F59" s="1451"/>
      <c r="G59" s="1451"/>
      <c r="H59" s="1451"/>
      <c r="I59" s="1451"/>
      <c r="J59" s="1451"/>
    </row>
    <row r="60" spans="2:26">
      <c r="B60" s="1451"/>
      <c r="C60" s="1452"/>
      <c r="D60" s="1451"/>
      <c r="E60" s="1451"/>
      <c r="F60" s="1451"/>
      <c r="G60" s="1451"/>
      <c r="H60" s="1451"/>
      <c r="I60" s="1451"/>
      <c r="J60" s="1451"/>
    </row>
    <row r="61" spans="2:26">
      <c r="B61" s="1451"/>
      <c r="C61" s="1452"/>
      <c r="D61" s="1451"/>
      <c r="E61" s="1451"/>
      <c r="F61" s="1451"/>
      <c r="G61" s="1451"/>
      <c r="H61" s="1451"/>
      <c r="I61" s="1451"/>
      <c r="J61" s="1451"/>
    </row>
    <row r="62" spans="2:26">
      <c r="B62" s="1398"/>
      <c r="C62" s="1398"/>
      <c r="D62" s="1398"/>
      <c r="E62" s="1398"/>
      <c r="F62" s="1398"/>
      <c r="G62" s="1398"/>
      <c r="H62" s="1398"/>
      <c r="I62" s="1398"/>
      <c r="J62" s="1398"/>
    </row>
    <row r="63" spans="2:26">
      <c r="B63" s="1398"/>
      <c r="C63" s="1398"/>
      <c r="D63" s="1398"/>
      <c r="E63" s="1398"/>
      <c r="F63" s="1398"/>
      <c r="G63" s="1398"/>
      <c r="H63" s="1398"/>
      <c r="I63" s="1398"/>
      <c r="J63" s="1398"/>
    </row>
  </sheetData>
  <sheetProtection sheet="1" objects="1" scenarios="1"/>
  <phoneticPr fontId="140" type="noConversion"/>
  <pageMargins left="0.7" right="0.7" top="0.75" bottom="0.75" header="0.3" footer="0.3"/>
  <pageSetup paperSize="9"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
  <sheetViews>
    <sheetView workbookViewId="0">
      <selection activeCell="K25" sqref="K25"/>
    </sheetView>
  </sheetViews>
  <sheetFormatPr defaultRowHeight="13.5"/>
  <sheetData>
    <row r="1" spans="1:13" ht="28.5">
      <c r="A1" s="1508" t="s">
        <v>1338</v>
      </c>
      <c r="E1" s="1502" t="s">
        <v>1342</v>
      </c>
      <c r="F1" s="1503" t="s">
        <v>1346</v>
      </c>
    </row>
    <row r="2" spans="1:13" ht="20.25">
      <c r="A2" s="1509" t="s">
        <v>1339</v>
      </c>
    </row>
    <row r="3" spans="1:13" ht="16.5">
      <c r="A3" s="1510" t="s">
        <v>1340</v>
      </c>
    </row>
    <row r="4" spans="1:13" ht="14.25">
      <c r="A4" s="1500" t="s">
        <v>1341</v>
      </c>
      <c r="B4" s="1505" t="s">
        <v>1343</v>
      </c>
      <c r="C4" s="1506"/>
      <c r="D4" s="1507"/>
      <c r="E4" s="1505" t="s">
        <v>27</v>
      </c>
      <c r="F4" s="1506"/>
      <c r="G4" s="1507"/>
      <c r="H4" s="1505" t="s">
        <v>1344</v>
      </c>
      <c r="I4" s="1506"/>
      <c r="J4" s="1507"/>
      <c r="K4" s="1505" t="s">
        <v>6</v>
      </c>
      <c r="L4" s="1506"/>
      <c r="M4" s="1507"/>
    </row>
    <row r="5" spans="1:13" ht="14.25">
      <c r="A5" s="1501" t="s">
        <v>1345</v>
      </c>
      <c r="B5" s="1500" t="s">
        <v>1347</v>
      </c>
      <c r="C5" s="1500" t="s">
        <v>1348</v>
      </c>
      <c r="D5" s="1500" t="s">
        <v>1349</v>
      </c>
      <c r="E5" s="1500" t="s">
        <v>1347</v>
      </c>
      <c r="F5" s="1500" t="s">
        <v>1348</v>
      </c>
      <c r="G5" s="1500" t="s">
        <v>1349</v>
      </c>
      <c r="H5" s="1500" t="s">
        <v>1347</v>
      </c>
      <c r="I5" s="1500" t="s">
        <v>1348</v>
      </c>
      <c r="J5" s="1500" t="s">
        <v>1349</v>
      </c>
      <c r="K5" s="1500" t="s">
        <v>1347</v>
      </c>
      <c r="L5" s="1500" t="s">
        <v>1348</v>
      </c>
      <c r="M5" s="1500" t="s">
        <v>1349</v>
      </c>
    </row>
    <row r="6" spans="1:13" ht="14.25">
      <c r="A6" s="1504" t="s">
        <v>212</v>
      </c>
      <c r="B6" s="1511">
        <v>26980</v>
      </c>
      <c r="C6" s="1511">
        <v>32980</v>
      </c>
      <c r="D6" s="1511">
        <v>29980</v>
      </c>
      <c r="E6" s="1511">
        <v>26170</v>
      </c>
      <c r="F6" s="1511">
        <v>31990</v>
      </c>
      <c r="G6" s="1511">
        <v>29080</v>
      </c>
      <c r="H6" s="1511">
        <v>25850</v>
      </c>
      <c r="I6" s="1511">
        <v>31590</v>
      </c>
      <c r="J6" s="1511">
        <v>28720</v>
      </c>
      <c r="K6" s="1511">
        <v>9860</v>
      </c>
      <c r="L6" s="1512">
        <v>13340</v>
      </c>
      <c r="M6" s="1511">
        <v>11600</v>
      </c>
    </row>
    <row r="7" spans="1:13" ht="14.25">
      <c r="A7" s="1504" t="s">
        <v>269</v>
      </c>
      <c r="B7" s="1511">
        <v>21970</v>
      </c>
      <c r="C7" s="1511">
        <v>28730</v>
      </c>
      <c r="D7" s="1511">
        <v>25350</v>
      </c>
      <c r="E7" s="1511">
        <v>21480</v>
      </c>
      <c r="F7" s="1511">
        <v>28080</v>
      </c>
      <c r="G7" s="1511">
        <v>24780</v>
      </c>
      <c r="H7" s="1511">
        <v>21250</v>
      </c>
      <c r="I7" s="1511">
        <v>27790</v>
      </c>
      <c r="J7" s="1511">
        <v>24520</v>
      </c>
      <c r="K7" s="1511">
        <v>6660</v>
      </c>
      <c r="L7" s="1512">
        <v>10000</v>
      </c>
      <c r="M7" s="1511">
        <v>8330</v>
      </c>
    </row>
    <row r="8" spans="1:13" ht="14.25">
      <c r="A8" s="1504" t="s">
        <v>442</v>
      </c>
      <c r="B8" s="1511">
        <v>17430</v>
      </c>
      <c r="C8" s="1511">
        <v>24410</v>
      </c>
      <c r="D8" s="1511">
        <v>20920</v>
      </c>
      <c r="E8" s="1511">
        <v>17140</v>
      </c>
      <c r="F8" s="1511">
        <v>24000</v>
      </c>
      <c r="G8" s="1511">
        <v>20570</v>
      </c>
      <c r="H8" s="1511">
        <v>16990</v>
      </c>
      <c r="I8" s="1511">
        <v>23790</v>
      </c>
      <c r="J8" s="1511">
        <v>20390</v>
      </c>
      <c r="K8" s="1511">
        <v>4530</v>
      </c>
      <c r="L8" s="1512">
        <v>6790</v>
      </c>
      <c r="M8" s="1511">
        <v>5660</v>
      </c>
    </row>
    <row r="9" spans="1:13" ht="14.25">
      <c r="A9" s="1504" t="s">
        <v>137</v>
      </c>
      <c r="B9" s="1511">
        <v>13330</v>
      </c>
      <c r="C9" s="1511">
        <v>19990</v>
      </c>
      <c r="D9" s="1511">
        <v>16660</v>
      </c>
      <c r="E9" s="1511">
        <v>13160</v>
      </c>
      <c r="F9" s="1511">
        <v>19740</v>
      </c>
      <c r="G9" s="1511">
        <v>16450</v>
      </c>
      <c r="H9" s="1511">
        <v>13060</v>
      </c>
      <c r="I9" s="1511">
        <v>19600</v>
      </c>
      <c r="J9" s="1511">
        <v>16330</v>
      </c>
      <c r="K9" s="1511">
        <v>3090</v>
      </c>
      <c r="L9" s="1512">
        <v>4650</v>
      </c>
      <c r="M9" s="1511">
        <v>3870</v>
      </c>
    </row>
    <row r="10" spans="1:13" ht="14.25">
      <c r="A10" s="1504" t="s">
        <v>523</v>
      </c>
      <c r="B10" s="1511">
        <v>10420</v>
      </c>
      <c r="C10" s="1511">
        <v>15620</v>
      </c>
      <c r="D10" s="1511">
        <v>13020</v>
      </c>
      <c r="E10" s="1511">
        <v>10310</v>
      </c>
      <c r="F10" s="1511">
        <v>15470</v>
      </c>
      <c r="G10" s="1511">
        <v>12890</v>
      </c>
      <c r="H10" s="1511">
        <v>10250</v>
      </c>
      <c r="I10" s="1511">
        <v>15370</v>
      </c>
      <c r="J10" s="1511">
        <v>12810</v>
      </c>
      <c r="K10" s="1511">
        <v>2140</v>
      </c>
      <c r="L10" s="1512">
        <v>3200</v>
      </c>
      <c r="M10" s="1511">
        <v>2670</v>
      </c>
    </row>
    <row r="11" spans="1:13" ht="14.25">
      <c r="A11" s="1504" t="s">
        <v>56</v>
      </c>
      <c r="B11" s="1511">
        <v>8130</v>
      </c>
      <c r="C11" s="1511">
        <v>12190</v>
      </c>
      <c r="D11" s="1511">
        <v>10160</v>
      </c>
      <c r="E11" s="1511">
        <v>8060</v>
      </c>
      <c r="F11" s="1511">
        <v>12080</v>
      </c>
      <c r="G11" s="1511">
        <v>10070</v>
      </c>
      <c r="H11" s="1511">
        <v>8010</v>
      </c>
      <c r="I11" s="1511">
        <v>12010</v>
      </c>
      <c r="J11" s="1511">
        <v>10010</v>
      </c>
      <c r="K11" s="1511">
        <v>1490</v>
      </c>
      <c r="L11" s="1512">
        <v>2250</v>
      </c>
      <c r="M11" s="1511">
        <v>1870</v>
      </c>
    </row>
    <row r="12" spans="1:13" ht="14.25">
      <c r="A12" s="1504" t="s">
        <v>526</v>
      </c>
      <c r="B12" s="1511">
        <v>5940</v>
      </c>
      <c r="C12" s="1511">
        <v>8900</v>
      </c>
      <c r="D12" s="1511">
        <v>7420</v>
      </c>
      <c r="E12" s="1511">
        <v>5880</v>
      </c>
      <c r="F12" s="1511">
        <v>8820</v>
      </c>
      <c r="G12" s="1511">
        <v>7350</v>
      </c>
      <c r="H12" s="1511">
        <v>5840</v>
      </c>
      <c r="I12" s="1511">
        <v>8760</v>
      </c>
      <c r="J12" s="1511">
        <v>7300</v>
      </c>
      <c r="K12" s="1511">
        <v>1060</v>
      </c>
      <c r="L12" s="1512">
        <v>1600</v>
      </c>
      <c r="M12" s="1511">
        <v>1330</v>
      </c>
    </row>
    <row r="13" spans="1:13" ht="14.25">
      <c r="A13" s="1504" t="s">
        <v>528</v>
      </c>
      <c r="B13" s="1511">
        <v>3970</v>
      </c>
      <c r="C13" s="1511">
        <v>6330</v>
      </c>
      <c r="D13" s="1511">
        <v>5150</v>
      </c>
      <c r="E13" s="1511">
        <v>3920</v>
      </c>
      <c r="F13" s="1511">
        <v>6260</v>
      </c>
      <c r="G13" s="1511">
        <v>5090</v>
      </c>
      <c r="H13" s="1511">
        <v>3890</v>
      </c>
      <c r="I13" s="1511">
        <v>6210</v>
      </c>
      <c r="J13" s="1511">
        <v>5050</v>
      </c>
      <c r="K13" s="1511">
        <v>780</v>
      </c>
      <c r="L13" s="1512">
        <v>1160</v>
      </c>
      <c r="M13" s="1511">
        <v>970</v>
      </c>
    </row>
    <row r="14" spans="1:13" ht="14.25">
      <c r="A14" s="1504" t="s">
        <v>530</v>
      </c>
      <c r="B14" s="1511">
        <v>2680</v>
      </c>
      <c r="C14" s="1511">
        <v>4280</v>
      </c>
      <c r="D14" s="1511">
        <v>3480</v>
      </c>
      <c r="E14" s="1511">
        <v>2640</v>
      </c>
      <c r="F14" s="1511">
        <v>4220</v>
      </c>
      <c r="G14" s="1511">
        <v>3430</v>
      </c>
      <c r="H14" s="1511">
        <v>2620</v>
      </c>
      <c r="I14" s="1511">
        <v>4180</v>
      </c>
      <c r="J14" s="1511">
        <v>3400</v>
      </c>
      <c r="K14" s="1511">
        <v>580</v>
      </c>
      <c r="L14" s="1512">
        <v>880</v>
      </c>
      <c r="M14" s="1511">
        <v>730</v>
      </c>
    </row>
    <row r="15" spans="1:13" ht="14.25">
      <c r="A15" s="1504" t="s">
        <v>534</v>
      </c>
      <c r="B15" s="1511">
        <v>1700</v>
      </c>
      <c r="C15" s="1511">
        <v>2840</v>
      </c>
      <c r="D15" s="1511">
        <v>2270</v>
      </c>
      <c r="E15" s="1511">
        <v>1670</v>
      </c>
      <c r="F15" s="1511">
        <v>2790</v>
      </c>
      <c r="G15" s="1511">
        <v>2230</v>
      </c>
      <c r="H15" s="1511">
        <v>1650</v>
      </c>
      <c r="I15" s="1511">
        <v>2750</v>
      </c>
      <c r="J15" s="1511">
        <v>2200</v>
      </c>
      <c r="K15" s="1511">
        <v>450</v>
      </c>
      <c r="L15" s="1512">
        <v>670</v>
      </c>
      <c r="M15" s="1511">
        <v>560</v>
      </c>
    </row>
    <row r="16" spans="1:13" ht="14.25">
      <c r="A16" s="1504" t="s">
        <v>814</v>
      </c>
      <c r="B16" s="1511">
        <v>1070</v>
      </c>
      <c r="C16" s="1511">
        <v>1790</v>
      </c>
      <c r="D16" s="1511">
        <v>1430</v>
      </c>
      <c r="E16" s="1511">
        <v>1050</v>
      </c>
      <c r="F16" s="1511">
        <v>1750</v>
      </c>
      <c r="G16" s="1511">
        <v>1400</v>
      </c>
      <c r="H16" s="1511">
        <v>1030</v>
      </c>
      <c r="I16" s="1511">
        <v>1730</v>
      </c>
      <c r="J16" s="1511">
        <v>1380</v>
      </c>
      <c r="K16" s="1511">
        <v>350</v>
      </c>
      <c r="L16" s="1512">
        <v>530</v>
      </c>
      <c r="M16" s="1511">
        <v>440</v>
      </c>
    </row>
    <row r="17" spans="1:13" ht="14.25">
      <c r="A17" s="1504" t="s">
        <v>815</v>
      </c>
      <c r="B17" s="1511">
        <v>680</v>
      </c>
      <c r="C17" s="1511">
        <v>1120</v>
      </c>
      <c r="D17" s="1511">
        <v>900</v>
      </c>
      <c r="E17" s="1511">
        <v>650</v>
      </c>
      <c r="F17" s="1511">
        <v>1090</v>
      </c>
      <c r="G17" s="1511">
        <v>870</v>
      </c>
      <c r="H17" s="1511">
        <v>630</v>
      </c>
      <c r="I17" s="1511">
        <v>1070</v>
      </c>
      <c r="J17" s="1511">
        <v>850</v>
      </c>
      <c r="K17" s="1511">
        <v>280</v>
      </c>
      <c r="L17" s="1512">
        <v>420</v>
      </c>
      <c r="M17" s="1511">
        <v>350</v>
      </c>
    </row>
  </sheetData>
  <phoneticPr fontId="140" type="noConversion"/>
  <pageMargins left="0.7" right="0.7" top="0.75" bottom="0.75" header="0.3" footer="0.3"/>
  <pageSetup paperSize="9"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G48" sqref="G48"/>
    </sheetView>
  </sheetViews>
  <sheetFormatPr defaultRowHeight="13.5"/>
  <sheetData/>
  <phoneticPr fontId="140" type="noConversion"/>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T51"/>
  <sheetViews>
    <sheetView topLeftCell="A22" zoomScale="85" zoomScaleNormal="85" workbookViewId="0">
      <selection activeCell="AL7" sqref="AL7"/>
    </sheetView>
  </sheetViews>
  <sheetFormatPr defaultRowHeight="12"/>
  <cols>
    <col min="1" max="1" width="17.5" style="3024" customWidth="1"/>
    <col min="2" max="4" width="0" style="3024" hidden="1" customWidth="1"/>
    <col min="5" max="5" width="9" style="3024"/>
    <col min="6" max="8" width="0" style="3024" hidden="1" customWidth="1"/>
    <col min="9" max="12" width="9" style="3024"/>
    <col min="13" max="18" width="0" style="3024" hidden="1" customWidth="1"/>
    <col min="19" max="21" width="9" style="3024"/>
    <col min="22" max="26" width="0" style="3024" hidden="1" customWidth="1"/>
    <col min="27" max="27" width="9" style="3024"/>
    <col min="28" max="29" width="0" style="3024" hidden="1" customWidth="1"/>
    <col min="30" max="30" width="12" style="3024" customWidth="1"/>
    <col min="31" max="31" width="11.25" style="3024" customWidth="1"/>
    <col min="32" max="33" width="0" style="3024" hidden="1" customWidth="1"/>
    <col min="34" max="34" width="9" style="3024"/>
    <col min="35" max="35" width="0" style="3024" hidden="1" customWidth="1"/>
    <col min="36" max="36" width="9" style="3024"/>
    <col min="37" max="37" width="0" style="3024" hidden="1" customWidth="1"/>
    <col min="38" max="38" width="9" style="3024"/>
    <col min="39" max="40" width="0" style="3024" hidden="1" customWidth="1"/>
    <col min="41" max="42" width="9" style="3024"/>
    <col min="43" max="46" width="0" style="3024" hidden="1" customWidth="1"/>
    <col min="47" max="16384" width="9" style="3024"/>
  </cols>
  <sheetData>
    <row r="1" spans="1:46" s="3029" customFormat="1">
      <c r="A1" s="3029" t="s">
        <v>3068</v>
      </c>
      <c r="B1" s="3029" t="s">
        <v>3069</v>
      </c>
      <c r="C1" s="3029" t="s">
        <v>3070</v>
      </c>
      <c r="D1" s="3029" t="s">
        <v>3071</v>
      </c>
      <c r="E1" s="3029" t="s">
        <v>3072</v>
      </c>
      <c r="F1" s="3029" t="s">
        <v>3073</v>
      </c>
      <c r="G1" s="3029" t="s">
        <v>3074</v>
      </c>
      <c r="H1" s="3029" t="s">
        <v>3075</v>
      </c>
      <c r="I1" s="3029" t="s">
        <v>3076</v>
      </c>
      <c r="J1" s="3029" t="s">
        <v>3077</v>
      </c>
      <c r="K1" s="3029" t="s">
        <v>3078</v>
      </c>
      <c r="L1" s="3029" t="s">
        <v>3079</v>
      </c>
      <c r="M1" s="3029" t="s">
        <v>3080</v>
      </c>
      <c r="N1" s="3029" t="s">
        <v>3081</v>
      </c>
      <c r="O1" s="3029" t="s">
        <v>3082</v>
      </c>
      <c r="P1" s="3029" t="s">
        <v>3083</v>
      </c>
      <c r="Q1" s="3029" t="s">
        <v>3084</v>
      </c>
      <c r="R1" s="3029" t="s">
        <v>3085</v>
      </c>
      <c r="S1" s="3029" t="s">
        <v>3086</v>
      </c>
      <c r="T1" s="3029" t="s">
        <v>3087</v>
      </c>
      <c r="U1" s="3029" t="s">
        <v>3088</v>
      </c>
      <c r="V1" s="3029" t="s">
        <v>3089</v>
      </c>
      <c r="W1" s="3029" t="s">
        <v>3090</v>
      </c>
      <c r="X1" s="3029" t="s">
        <v>3091</v>
      </c>
      <c r="Y1" s="3029" t="s">
        <v>3092</v>
      </c>
      <c r="Z1" s="3029" t="s">
        <v>3093</v>
      </c>
      <c r="AA1" s="3029" t="s">
        <v>3094</v>
      </c>
      <c r="AB1" s="3029" t="s">
        <v>3095</v>
      </c>
      <c r="AC1" s="3029" t="s">
        <v>3096</v>
      </c>
      <c r="AD1" s="3029" t="s">
        <v>3097</v>
      </c>
      <c r="AE1" s="3029" t="s">
        <v>3098</v>
      </c>
      <c r="AF1" s="3029" t="s">
        <v>3099</v>
      </c>
      <c r="AG1" s="3029" t="s">
        <v>3100</v>
      </c>
      <c r="AH1" s="3029" t="s">
        <v>3101</v>
      </c>
      <c r="AI1" s="3029" t="s">
        <v>3102</v>
      </c>
      <c r="AJ1" s="3029" t="s">
        <v>3103</v>
      </c>
      <c r="AK1" s="3029" t="s">
        <v>3104</v>
      </c>
      <c r="AL1" s="3029" t="s">
        <v>3105</v>
      </c>
      <c r="AM1" s="3029" t="s">
        <v>3106</v>
      </c>
      <c r="AN1" s="3029" t="s">
        <v>3107</v>
      </c>
      <c r="AO1" s="3029" t="s">
        <v>3108</v>
      </c>
      <c r="AP1" s="3029" t="s">
        <v>3109</v>
      </c>
      <c r="AQ1" s="3029" t="s">
        <v>3110</v>
      </c>
      <c r="AR1" s="3029" t="s">
        <v>3111</v>
      </c>
      <c r="AS1" s="3029" t="s">
        <v>3112</v>
      </c>
      <c r="AT1" s="3029" t="s">
        <v>3113</v>
      </c>
    </row>
    <row r="2" spans="1:46" s="3029" customFormat="1">
      <c r="A2" s="3029" t="s">
        <v>3114</v>
      </c>
      <c r="B2" s="3029" t="s">
        <v>3115</v>
      </c>
      <c r="C2" s="3029" t="s">
        <v>3116</v>
      </c>
      <c r="D2" s="3029" t="s">
        <v>3117</v>
      </c>
      <c r="E2" s="3029" t="s">
        <v>3118</v>
      </c>
      <c r="F2" s="3029" t="s">
        <v>3119</v>
      </c>
      <c r="G2" s="3029" t="s">
        <v>3120</v>
      </c>
      <c r="H2" s="3029" t="s">
        <v>3121</v>
      </c>
      <c r="I2" s="3029" t="s">
        <v>3122</v>
      </c>
      <c r="J2" s="3029">
        <v>62136.68</v>
      </c>
      <c r="K2" s="3029">
        <v>147241</v>
      </c>
      <c r="L2" s="3029" t="s">
        <v>3123</v>
      </c>
      <c r="M2" s="3029" t="s">
        <v>1298</v>
      </c>
      <c r="N2" s="3029" t="s">
        <v>1298</v>
      </c>
      <c r="O2" s="3029" t="s">
        <v>1298</v>
      </c>
      <c r="P2" s="3029" t="s">
        <v>1298</v>
      </c>
      <c r="Q2" s="3029" t="s">
        <v>1298</v>
      </c>
      <c r="R2" s="3029" t="s">
        <v>1298</v>
      </c>
      <c r="S2" s="3029" t="s">
        <v>3124</v>
      </c>
      <c r="T2" s="3029" t="s">
        <v>3125</v>
      </c>
      <c r="U2" s="3029" t="s">
        <v>3125</v>
      </c>
      <c r="V2" s="3029" t="s">
        <v>1298</v>
      </c>
      <c r="W2" s="3029" t="s">
        <v>3126</v>
      </c>
      <c r="X2" s="3029" t="s">
        <v>3127</v>
      </c>
      <c r="Y2" s="3029" t="s">
        <v>3128</v>
      </c>
      <c r="Z2" s="3029" t="s">
        <v>3129</v>
      </c>
      <c r="AA2" s="3029" t="s">
        <v>3129</v>
      </c>
      <c r="AB2" s="3029" t="s">
        <v>3121</v>
      </c>
      <c r="AC2" s="3029" t="s">
        <v>3130</v>
      </c>
      <c r="AD2" s="3029" t="s">
        <v>3131</v>
      </c>
      <c r="AE2" s="3029" t="s">
        <v>3132</v>
      </c>
      <c r="AF2" s="3029">
        <v>62000</v>
      </c>
      <c r="AG2" s="3029">
        <v>206138</v>
      </c>
      <c r="AH2" s="3029">
        <v>206138</v>
      </c>
      <c r="AI2" s="3029">
        <v>2211.66</v>
      </c>
      <c r="AJ2" s="3029">
        <v>2211.66</v>
      </c>
      <c r="AK2" s="3029">
        <v>14000.04</v>
      </c>
      <c r="AL2" s="3029">
        <v>14000.04</v>
      </c>
      <c r="AM2" s="3029" t="s">
        <v>1298</v>
      </c>
      <c r="AN2" s="3029" t="s">
        <v>1298</v>
      </c>
      <c r="AO2" s="3029">
        <v>0</v>
      </c>
      <c r="AP2" s="3029" t="s">
        <v>3133</v>
      </c>
      <c r="AQ2" s="3029" t="s">
        <v>1298</v>
      </c>
      <c r="AR2" s="3029" t="s">
        <v>1298</v>
      </c>
      <c r="AS2" s="3029" t="s">
        <v>1298</v>
      </c>
      <c r="AT2" s="3029" t="s">
        <v>3134</v>
      </c>
    </row>
    <row r="3" spans="1:46" s="3029" customFormat="1">
      <c r="A3" s="3029" t="s">
        <v>3135</v>
      </c>
      <c r="B3" s="3029" t="s">
        <v>3115</v>
      </c>
      <c r="C3" s="3029" t="s">
        <v>3116</v>
      </c>
      <c r="D3" s="3029" t="s">
        <v>3117</v>
      </c>
      <c r="E3" s="3029" t="s">
        <v>3136</v>
      </c>
      <c r="F3" s="3029" t="s">
        <v>3137</v>
      </c>
      <c r="G3" s="3029" t="s">
        <v>3120</v>
      </c>
      <c r="H3" s="3029" t="s">
        <v>3138</v>
      </c>
      <c r="I3" s="3029" t="s">
        <v>3139</v>
      </c>
      <c r="J3" s="3029">
        <v>43870.1</v>
      </c>
      <c r="K3" s="3029">
        <v>109675.25</v>
      </c>
      <c r="L3" s="3029" t="s">
        <v>3140</v>
      </c>
      <c r="M3" s="3029" t="s">
        <v>1298</v>
      </c>
      <c r="N3" s="3029" t="s">
        <v>1298</v>
      </c>
      <c r="O3" s="3029" t="s">
        <v>3141</v>
      </c>
      <c r="P3" s="3029" t="s">
        <v>1298</v>
      </c>
      <c r="Q3" s="3029" t="s">
        <v>1298</v>
      </c>
      <c r="R3" s="3029" t="s">
        <v>1298</v>
      </c>
      <c r="S3" s="3029" t="s">
        <v>1298</v>
      </c>
      <c r="T3" s="3029" t="s">
        <v>3142</v>
      </c>
      <c r="U3" s="3029" t="s">
        <v>3142</v>
      </c>
      <c r="V3" s="3029" t="s">
        <v>1298</v>
      </c>
      <c r="W3" s="3029" t="s">
        <v>3126</v>
      </c>
      <c r="X3" s="3029" t="s">
        <v>3143</v>
      </c>
      <c r="Y3" s="3029" t="s">
        <v>3144</v>
      </c>
      <c r="Z3" s="3029" t="s">
        <v>3145</v>
      </c>
      <c r="AA3" s="3029" t="s">
        <v>3145</v>
      </c>
      <c r="AB3" s="3029" t="s">
        <v>3138</v>
      </c>
      <c r="AC3" s="3029" t="s">
        <v>3130</v>
      </c>
      <c r="AD3" s="3029" t="s">
        <v>3146</v>
      </c>
      <c r="AE3" s="3029" t="s">
        <v>3147</v>
      </c>
      <c r="AF3" s="3029">
        <v>45000</v>
      </c>
      <c r="AG3" s="3029">
        <v>148061.57</v>
      </c>
      <c r="AH3" s="3029">
        <v>148061.57</v>
      </c>
      <c r="AI3" s="3029">
        <v>2250</v>
      </c>
      <c r="AJ3" s="3029">
        <v>2250</v>
      </c>
      <c r="AK3" s="3029">
        <v>13499.99</v>
      </c>
      <c r="AL3" s="3029">
        <v>13500</v>
      </c>
      <c r="AM3" s="3029" t="s">
        <v>1298</v>
      </c>
      <c r="AN3" s="3029" t="s">
        <v>1298</v>
      </c>
      <c r="AO3" s="3029">
        <v>0</v>
      </c>
      <c r="AP3" s="3029" t="s">
        <v>3148</v>
      </c>
      <c r="AQ3" s="3029" t="s">
        <v>1298</v>
      </c>
      <c r="AR3" s="3029" t="s">
        <v>1298</v>
      </c>
      <c r="AS3" s="3029" t="s">
        <v>1298</v>
      </c>
      <c r="AT3" s="3029" t="s">
        <v>3149</v>
      </c>
    </row>
    <row r="4" spans="1:46" s="3128" customFormat="1">
      <c r="A4" s="3128" t="s">
        <v>3150</v>
      </c>
      <c r="B4" s="3128" t="s">
        <v>3115</v>
      </c>
      <c r="C4" s="3128" t="s">
        <v>3116</v>
      </c>
      <c r="D4" s="3128" t="s">
        <v>3117</v>
      </c>
      <c r="E4" s="3128" t="s">
        <v>3118</v>
      </c>
      <c r="F4" s="3128" t="s">
        <v>3151</v>
      </c>
      <c r="G4" s="3128" t="s">
        <v>3120</v>
      </c>
      <c r="H4" s="3128" t="s">
        <v>3152</v>
      </c>
      <c r="I4" s="3128" t="s">
        <v>3153</v>
      </c>
      <c r="J4" s="3128">
        <v>85128.1</v>
      </c>
      <c r="K4" s="3128">
        <v>201473.8</v>
      </c>
      <c r="L4" s="3128" t="s">
        <v>3154</v>
      </c>
      <c r="M4" s="3128" t="s">
        <v>1298</v>
      </c>
      <c r="N4" s="3128" t="s">
        <v>3155</v>
      </c>
      <c r="O4" s="3128" t="s">
        <v>3156</v>
      </c>
      <c r="P4" s="3128" t="s">
        <v>1298</v>
      </c>
      <c r="Q4" s="3128" t="s">
        <v>1298</v>
      </c>
      <c r="R4" s="3128" t="s">
        <v>1298</v>
      </c>
      <c r="S4" s="3128" t="s">
        <v>1298</v>
      </c>
      <c r="T4" s="3128" t="s">
        <v>3157</v>
      </c>
      <c r="U4" s="3128" t="s">
        <v>3158</v>
      </c>
      <c r="V4" s="3128" t="s">
        <v>1298</v>
      </c>
      <c r="W4" s="3128" t="s">
        <v>3126</v>
      </c>
      <c r="X4" s="3128" t="s">
        <v>3159</v>
      </c>
      <c r="Y4" s="3128" t="s">
        <v>3160</v>
      </c>
      <c r="Z4" s="3128" t="s">
        <v>3161</v>
      </c>
      <c r="AA4" s="3128" t="s">
        <v>3161</v>
      </c>
      <c r="AB4" s="3128" t="s">
        <v>3152</v>
      </c>
      <c r="AC4" s="3128" t="s">
        <v>3130</v>
      </c>
      <c r="AD4" s="3128" t="s">
        <v>3162</v>
      </c>
      <c r="AE4" s="3128" t="s">
        <v>3163</v>
      </c>
      <c r="AF4" s="3128">
        <v>128000</v>
      </c>
      <c r="AG4" s="3128">
        <v>640000</v>
      </c>
      <c r="AH4" s="3128">
        <v>790000</v>
      </c>
      <c r="AI4" s="3128">
        <v>5012.05</v>
      </c>
      <c r="AJ4" s="3128">
        <v>6186.75</v>
      </c>
      <c r="AK4" s="3128">
        <v>31765.91</v>
      </c>
      <c r="AL4" s="3128">
        <v>39211.050000000003</v>
      </c>
      <c r="AM4" s="3128" t="s">
        <v>1298</v>
      </c>
      <c r="AN4" s="3128" t="s">
        <v>1298</v>
      </c>
      <c r="AO4" s="3128">
        <v>23.44</v>
      </c>
      <c r="AP4" s="3128" t="s">
        <v>3133</v>
      </c>
      <c r="AQ4" s="3128" t="s">
        <v>1298</v>
      </c>
      <c r="AR4" s="3128" t="s">
        <v>1298</v>
      </c>
      <c r="AS4" s="3128" t="s">
        <v>1298</v>
      </c>
      <c r="AT4" s="3128" t="s">
        <v>3134</v>
      </c>
    </row>
    <row r="5" spans="1:46" s="3029" customFormat="1">
      <c r="A5" s="3029" t="s">
        <v>3164</v>
      </c>
      <c r="B5" s="3029" t="s">
        <v>3115</v>
      </c>
      <c r="C5" s="3029" t="s">
        <v>3116</v>
      </c>
      <c r="D5" s="3029" t="s">
        <v>3117</v>
      </c>
      <c r="E5" s="3029" t="s">
        <v>3165</v>
      </c>
      <c r="F5" s="3029" t="s">
        <v>3166</v>
      </c>
      <c r="G5" s="3029" t="s">
        <v>3120</v>
      </c>
      <c r="H5" s="3029" t="s">
        <v>3167</v>
      </c>
      <c r="I5" s="3029" t="s">
        <v>3168</v>
      </c>
      <c r="J5" s="3029">
        <v>76997.05</v>
      </c>
      <c r="K5" s="3029">
        <v>79371.899999999994</v>
      </c>
      <c r="L5" s="3029" t="s">
        <v>3169</v>
      </c>
      <c r="M5" s="3029" t="s">
        <v>1298</v>
      </c>
      <c r="N5" s="3029" t="s">
        <v>3155</v>
      </c>
      <c r="O5" s="3029" t="s">
        <v>3170</v>
      </c>
      <c r="P5" s="3029" t="s">
        <v>1298</v>
      </c>
      <c r="Q5" s="3029" t="s">
        <v>1298</v>
      </c>
      <c r="R5" s="3029" t="s">
        <v>1298</v>
      </c>
      <c r="S5" s="3029" t="s">
        <v>1298</v>
      </c>
      <c r="T5" s="3029" t="s">
        <v>3157</v>
      </c>
      <c r="U5" s="3029" t="s">
        <v>3158</v>
      </c>
      <c r="V5" s="3029" t="s">
        <v>1298</v>
      </c>
      <c r="W5" s="3029" t="s">
        <v>3171</v>
      </c>
      <c r="X5" s="3029" t="s">
        <v>3172</v>
      </c>
      <c r="Y5" s="3029" t="s">
        <v>3173</v>
      </c>
      <c r="Z5" s="3029" t="s">
        <v>3174</v>
      </c>
      <c r="AA5" s="3029" t="s">
        <v>3174</v>
      </c>
      <c r="AB5" s="3029" t="s">
        <v>3167</v>
      </c>
      <c r="AC5" s="3029" t="s">
        <v>3130</v>
      </c>
      <c r="AD5" s="3029" t="s">
        <v>3175</v>
      </c>
      <c r="AE5" s="3029" t="s">
        <v>3176</v>
      </c>
      <c r="AF5" s="3029">
        <v>19800</v>
      </c>
      <c r="AG5" s="3029">
        <v>98500</v>
      </c>
      <c r="AH5" s="3029">
        <v>130000</v>
      </c>
      <c r="AI5" s="3029">
        <v>852.85</v>
      </c>
      <c r="AJ5" s="3029">
        <v>1125.58</v>
      </c>
      <c r="AK5" s="3029">
        <v>12409.93</v>
      </c>
      <c r="AL5" s="3029">
        <v>16378.59</v>
      </c>
      <c r="AM5" s="3029" t="s">
        <v>1298</v>
      </c>
      <c r="AN5" s="3029" t="s">
        <v>1298</v>
      </c>
      <c r="AO5" s="3029">
        <v>31.98</v>
      </c>
      <c r="AP5" s="3029" t="s">
        <v>3133</v>
      </c>
      <c r="AQ5" s="3029" t="s">
        <v>1298</v>
      </c>
      <c r="AR5" s="3029" t="s">
        <v>1298</v>
      </c>
      <c r="AS5" s="3029" t="s">
        <v>1298</v>
      </c>
      <c r="AT5" s="3029" t="s">
        <v>3177</v>
      </c>
    </row>
    <row r="6" spans="1:46" s="3128" customFormat="1">
      <c r="A6" s="3128" t="s">
        <v>3178</v>
      </c>
      <c r="B6" s="3128" t="s">
        <v>3115</v>
      </c>
      <c r="C6" s="3128" t="s">
        <v>3179</v>
      </c>
      <c r="D6" s="3128" t="s">
        <v>3117</v>
      </c>
      <c r="E6" s="3128" t="s">
        <v>3180</v>
      </c>
      <c r="F6" s="3128" t="s">
        <v>3181</v>
      </c>
      <c r="G6" s="3128" t="s">
        <v>3120</v>
      </c>
      <c r="H6" s="3128" t="s">
        <v>3182</v>
      </c>
      <c r="I6" s="3128" t="s">
        <v>3183</v>
      </c>
      <c r="J6" s="3128">
        <v>45081.99</v>
      </c>
      <c r="K6" s="3128">
        <v>94672</v>
      </c>
      <c r="L6" s="3128" t="s">
        <v>3184</v>
      </c>
      <c r="M6" s="3128" t="s">
        <v>1298</v>
      </c>
      <c r="N6" s="3128" t="s">
        <v>3155</v>
      </c>
      <c r="O6" s="3128" t="s">
        <v>3185</v>
      </c>
      <c r="P6" s="3128" t="s">
        <v>1298</v>
      </c>
      <c r="Q6" s="3128" t="s">
        <v>1298</v>
      </c>
      <c r="R6" s="3128" t="s">
        <v>1298</v>
      </c>
      <c r="S6" s="3128" t="s">
        <v>1298</v>
      </c>
      <c r="T6" s="3128" t="s">
        <v>3186</v>
      </c>
      <c r="U6" s="3128" t="s">
        <v>3187</v>
      </c>
      <c r="V6" s="3128" t="s">
        <v>1298</v>
      </c>
      <c r="W6" s="3128" t="s">
        <v>3171</v>
      </c>
      <c r="X6" s="3128" t="s">
        <v>3188</v>
      </c>
      <c r="Y6" s="3128" t="s">
        <v>3189</v>
      </c>
      <c r="Z6" s="3128" t="s">
        <v>3173</v>
      </c>
      <c r="AA6" s="3128" t="s">
        <v>3173</v>
      </c>
      <c r="AB6" s="3128" t="s">
        <v>3182</v>
      </c>
      <c r="AC6" s="3128" t="s">
        <v>3130</v>
      </c>
      <c r="AD6" s="3128" t="s">
        <v>3190</v>
      </c>
      <c r="AE6" s="3128" t="s">
        <v>3191</v>
      </c>
      <c r="AF6" s="3128">
        <v>72600</v>
      </c>
      <c r="AG6" s="3128">
        <v>363000</v>
      </c>
      <c r="AH6" s="3128">
        <v>374000</v>
      </c>
      <c r="AI6" s="3128">
        <v>5368</v>
      </c>
      <c r="AJ6" s="3128">
        <v>5530.66</v>
      </c>
      <c r="AK6" s="3128">
        <v>38342.910000000003</v>
      </c>
      <c r="AL6" s="3128">
        <v>39504.81</v>
      </c>
      <c r="AM6" s="3128" t="s">
        <v>1298</v>
      </c>
      <c r="AN6" s="3128" t="s">
        <v>1298</v>
      </c>
      <c r="AO6" s="3128">
        <v>3.03</v>
      </c>
      <c r="AP6" s="3128" t="s">
        <v>3133</v>
      </c>
      <c r="AQ6" s="3128" t="s">
        <v>1298</v>
      </c>
      <c r="AR6" s="3128" t="s">
        <v>1298</v>
      </c>
      <c r="AS6" s="3128" t="s">
        <v>1298</v>
      </c>
      <c r="AT6" s="3128" t="s">
        <v>3149</v>
      </c>
    </row>
    <row r="7" spans="1:46" s="3128" customFormat="1">
      <c r="A7" s="3128" t="s">
        <v>3192</v>
      </c>
      <c r="B7" s="3128" t="s">
        <v>3115</v>
      </c>
      <c r="C7" s="3128" t="s">
        <v>3116</v>
      </c>
      <c r="D7" s="3128" t="s">
        <v>3117</v>
      </c>
      <c r="E7" s="3128" t="s">
        <v>3180</v>
      </c>
      <c r="F7" s="3128" t="s">
        <v>3181</v>
      </c>
      <c r="G7" s="3128" t="s">
        <v>3120</v>
      </c>
      <c r="H7" s="3128" t="s">
        <v>3193</v>
      </c>
      <c r="I7" s="3128" t="s">
        <v>3194</v>
      </c>
      <c r="J7" s="3128">
        <v>39577.68</v>
      </c>
      <c r="K7" s="3128">
        <v>75553</v>
      </c>
      <c r="L7" s="3128" t="s">
        <v>3195</v>
      </c>
      <c r="M7" s="3128" t="s">
        <v>1298</v>
      </c>
      <c r="N7" s="3128" t="s">
        <v>3155</v>
      </c>
      <c r="O7" s="3128" t="s">
        <v>3185</v>
      </c>
      <c r="P7" s="3128" t="s">
        <v>1298</v>
      </c>
      <c r="Q7" s="3128" t="s">
        <v>1298</v>
      </c>
      <c r="R7" s="3128" t="s">
        <v>1298</v>
      </c>
      <c r="S7" s="3128" t="s">
        <v>1298</v>
      </c>
      <c r="T7" s="3128" t="s">
        <v>3186</v>
      </c>
      <c r="U7" s="3128" t="s">
        <v>3187</v>
      </c>
      <c r="V7" s="3128" t="s">
        <v>1298</v>
      </c>
      <c r="W7" s="3128" t="s">
        <v>3171</v>
      </c>
      <c r="X7" s="3128" t="s">
        <v>3188</v>
      </c>
      <c r="Y7" s="3128" t="s">
        <v>3189</v>
      </c>
      <c r="Z7" s="3128" t="s">
        <v>3173</v>
      </c>
      <c r="AA7" s="3128" t="s">
        <v>3173</v>
      </c>
      <c r="AB7" s="3128" t="s">
        <v>3193</v>
      </c>
      <c r="AC7" s="3128" t="s">
        <v>3130</v>
      </c>
      <c r="AD7" s="3128" t="s">
        <v>3196</v>
      </c>
      <c r="AE7" s="3128" t="s">
        <v>3197</v>
      </c>
      <c r="AF7" s="3128">
        <v>55000</v>
      </c>
      <c r="AG7" s="3128">
        <v>273800</v>
      </c>
      <c r="AH7" s="3128">
        <v>294000</v>
      </c>
      <c r="AI7" s="3128">
        <v>4612.03</v>
      </c>
      <c r="AJ7" s="3128">
        <v>4952.29</v>
      </c>
      <c r="AK7" s="3128">
        <v>36239.449999999997</v>
      </c>
      <c r="AL7" s="3128">
        <v>38913.08</v>
      </c>
      <c r="AM7" s="3128" t="s">
        <v>1298</v>
      </c>
      <c r="AN7" s="3128" t="s">
        <v>1298</v>
      </c>
      <c r="AO7" s="3128">
        <v>7.38</v>
      </c>
      <c r="AP7" s="3128" t="s">
        <v>3133</v>
      </c>
      <c r="AQ7" s="3128" t="s">
        <v>1298</v>
      </c>
      <c r="AR7" s="3128" t="s">
        <v>1298</v>
      </c>
      <c r="AS7" s="3128" t="s">
        <v>1298</v>
      </c>
      <c r="AT7" s="3128" t="s">
        <v>3149</v>
      </c>
    </row>
    <row r="8" spans="1:46" s="3029" customFormat="1">
      <c r="A8" s="3029" t="s">
        <v>3198</v>
      </c>
      <c r="B8" s="3029" t="s">
        <v>3115</v>
      </c>
      <c r="C8" s="3029" t="s">
        <v>3179</v>
      </c>
      <c r="D8" s="3029" t="s">
        <v>3117</v>
      </c>
      <c r="E8" s="3029" t="s">
        <v>3165</v>
      </c>
      <c r="F8" s="3029" t="s">
        <v>3166</v>
      </c>
      <c r="G8" s="3029" t="s">
        <v>3120</v>
      </c>
      <c r="H8" s="3029" t="s">
        <v>3199</v>
      </c>
      <c r="I8" s="3029" t="s">
        <v>3183</v>
      </c>
      <c r="J8" s="3029">
        <v>20403.86</v>
      </c>
      <c r="K8" s="3029">
        <v>51009</v>
      </c>
      <c r="L8" s="3029" t="s">
        <v>3140</v>
      </c>
      <c r="M8" s="3029" t="s">
        <v>1298</v>
      </c>
      <c r="N8" s="3029" t="s">
        <v>3155</v>
      </c>
      <c r="O8" s="3029" t="s">
        <v>3200</v>
      </c>
      <c r="P8" s="3029" t="s">
        <v>1298</v>
      </c>
      <c r="Q8" s="3029" t="s">
        <v>1298</v>
      </c>
      <c r="R8" s="3029" t="s">
        <v>1298</v>
      </c>
      <c r="S8" s="3029" t="s">
        <v>1298</v>
      </c>
      <c r="T8" s="3029" t="s">
        <v>3157</v>
      </c>
      <c r="U8" s="3029" t="s">
        <v>3158</v>
      </c>
      <c r="V8" s="3029" t="s">
        <v>1298</v>
      </c>
      <c r="W8" s="3029" t="s">
        <v>3126</v>
      </c>
      <c r="X8" s="3029" t="s">
        <v>3201</v>
      </c>
      <c r="Y8" s="3029" t="s">
        <v>3202</v>
      </c>
      <c r="Z8" s="3029" t="s">
        <v>3203</v>
      </c>
      <c r="AA8" s="3029" t="s">
        <v>3203</v>
      </c>
      <c r="AB8" s="3029" t="s">
        <v>3199</v>
      </c>
      <c r="AC8" s="3029" t="s">
        <v>3130</v>
      </c>
      <c r="AD8" s="3029" t="s">
        <v>3204</v>
      </c>
      <c r="AE8" s="3029" t="s">
        <v>3205</v>
      </c>
      <c r="AF8" s="3029">
        <v>13200</v>
      </c>
      <c r="AG8" s="3029">
        <v>65600</v>
      </c>
      <c r="AH8" s="3029">
        <v>65600</v>
      </c>
      <c r="AI8" s="3029">
        <v>2143.39</v>
      </c>
      <c r="AJ8" s="3029">
        <v>2143.39</v>
      </c>
      <c r="AK8" s="3029">
        <v>12860.47</v>
      </c>
      <c r="AL8" s="3029">
        <v>12860.47</v>
      </c>
      <c r="AM8" s="3029" t="s">
        <v>1298</v>
      </c>
      <c r="AN8" s="3029" t="s">
        <v>1298</v>
      </c>
      <c r="AO8" s="3029">
        <v>0</v>
      </c>
      <c r="AP8" s="3029" t="s">
        <v>3133</v>
      </c>
      <c r="AQ8" s="3029" t="s">
        <v>1298</v>
      </c>
      <c r="AR8" s="3029" t="s">
        <v>1298</v>
      </c>
      <c r="AS8" s="3029" t="s">
        <v>1298</v>
      </c>
      <c r="AT8" s="3029" t="s">
        <v>3177</v>
      </c>
    </row>
    <row r="9" spans="1:46" s="3127" customFormat="1">
      <c r="A9" s="3127" t="s">
        <v>3206</v>
      </c>
      <c r="B9" s="3127" t="s">
        <v>3115</v>
      </c>
      <c r="C9" s="3127" t="s">
        <v>3116</v>
      </c>
      <c r="D9" s="3127" t="s">
        <v>3117</v>
      </c>
      <c r="E9" s="3127" t="s">
        <v>3207</v>
      </c>
      <c r="F9" s="3127" t="s">
        <v>3208</v>
      </c>
      <c r="G9" s="3127" t="s">
        <v>3120</v>
      </c>
      <c r="H9" s="3127" t="s">
        <v>3209</v>
      </c>
      <c r="I9" s="3127" t="s">
        <v>3210</v>
      </c>
      <c r="J9" s="3127">
        <v>78681.47</v>
      </c>
      <c r="K9" s="3127">
        <v>188033.66</v>
      </c>
      <c r="L9" s="3127" t="s">
        <v>3211</v>
      </c>
      <c r="M9" s="3127" t="s">
        <v>1298</v>
      </c>
      <c r="N9" s="3127" t="s">
        <v>3155</v>
      </c>
      <c r="O9" s="3127" t="s">
        <v>3212</v>
      </c>
      <c r="P9" s="3127" t="s">
        <v>1298</v>
      </c>
      <c r="Q9" s="3127" t="s">
        <v>1298</v>
      </c>
      <c r="R9" s="3127" t="s">
        <v>1298</v>
      </c>
      <c r="S9" s="3127" t="s">
        <v>1298</v>
      </c>
      <c r="T9" s="3127" t="s">
        <v>3157</v>
      </c>
      <c r="U9" s="3127" t="s">
        <v>3158</v>
      </c>
      <c r="V9" s="3127" t="s">
        <v>1298</v>
      </c>
      <c r="W9" s="3127" t="s">
        <v>3126</v>
      </c>
      <c r="X9" s="3127" t="s">
        <v>3201</v>
      </c>
      <c r="Y9" s="3127" t="s">
        <v>3202</v>
      </c>
      <c r="Z9" s="3127" t="s">
        <v>3203</v>
      </c>
      <c r="AA9" s="3127" t="s">
        <v>3203</v>
      </c>
      <c r="AB9" s="3127" t="s">
        <v>3209</v>
      </c>
      <c r="AC9" s="3127" t="s">
        <v>3130</v>
      </c>
      <c r="AD9" s="3127" t="s">
        <v>3213</v>
      </c>
      <c r="AE9" s="3127" t="s">
        <v>3214</v>
      </c>
      <c r="AF9" s="3127">
        <v>100000</v>
      </c>
      <c r="AG9" s="3127">
        <v>500000</v>
      </c>
      <c r="AH9" s="3127">
        <v>670000</v>
      </c>
      <c r="AI9" s="3127">
        <v>4236.49</v>
      </c>
      <c r="AJ9" s="3127">
        <v>5676.9</v>
      </c>
      <c r="AK9" s="3127">
        <v>26590.98</v>
      </c>
      <c r="AL9" s="3127">
        <v>35631.910000000003</v>
      </c>
      <c r="AM9" s="3127" t="s">
        <v>1298</v>
      </c>
      <c r="AN9" s="3127" t="s">
        <v>1298</v>
      </c>
      <c r="AO9" s="3127">
        <v>34</v>
      </c>
      <c r="AP9" s="3127" t="s">
        <v>3133</v>
      </c>
      <c r="AQ9" s="3127" t="s">
        <v>1298</v>
      </c>
      <c r="AR9" s="3127" t="s">
        <v>1298</v>
      </c>
      <c r="AS9" s="3127" t="s">
        <v>1298</v>
      </c>
      <c r="AT9" s="3127" t="s">
        <v>3215</v>
      </c>
    </row>
    <row r="10" spans="1:46" s="3029" customFormat="1">
      <c r="A10" s="3029" t="s">
        <v>3216</v>
      </c>
      <c r="B10" s="3029" t="s">
        <v>3115</v>
      </c>
      <c r="C10" s="3029" t="s">
        <v>3179</v>
      </c>
      <c r="D10" s="3029" t="s">
        <v>3117</v>
      </c>
      <c r="E10" s="3029" t="s">
        <v>3165</v>
      </c>
      <c r="F10" s="3029" t="s">
        <v>3166</v>
      </c>
      <c r="G10" s="3029" t="s">
        <v>3120</v>
      </c>
      <c r="H10" s="3029" t="s">
        <v>3217</v>
      </c>
      <c r="I10" s="3029" t="s">
        <v>3183</v>
      </c>
      <c r="J10" s="3029">
        <v>20796</v>
      </c>
      <c r="K10" s="3029">
        <v>21836</v>
      </c>
      <c r="L10" s="3029" t="s">
        <v>3218</v>
      </c>
      <c r="M10" s="3029" t="s">
        <v>1298</v>
      </c>
      <c r="N10" s="3029" t="s">
        <v>3155</v>
      </c>
      <c r="O10" s="3029" t="s">
        <v>3185</v>
      </c>
      <c r="P10" s="3029" t="s">
        <v>1298</v>
      </c>
      <c r="Q10" s="3029" t="s">
        <v>1298</v>
      </c>
      <c r="R10" s="3029" t="s">
        <v>1298</v>
      </c>
      <c r="S10" s="3029" t="s">
        <v>1298</v>
      </c>
      <c r="T10" s="3029" t="s">
        <v>3157</v>
      </c>
      <c r="U10" s="3029" t="s">
        <v>3158</v>
      </c>
      <c r="V10" s="3029" t="s">
        <v>1298</v>
      </c>
      <c r="W10" s="3029" t="s">
        <v>3126</v>
      </c>
      <c r="X10" s="3029" t="s">
        <v>3201</v>
      </c>
      <c r="Y10" s="3029" t="s">
        <v>3219</v>
      </c>
      <c r="Z10" s="3029" t="s">
        <v>3220</v>
      </c>
      <c r="AA10" s="3029" t="s">
        <v>3220</v>
      </c>
      <c r="AB10" s="3029" t="s">
        <v>3217</v>
      </c>
      <c r="AC10" s="3029" t="s">
        <v>3130</v>
      </c>
      <c r="AD10" s="3029" t="s">
        <v>3221</v>
      </c>
      <c r="AE10" s="3029" t="s">
        <v>3221</v>
      </c>
      <c r="AF10" s="3029">
        <v>5800</v>
      </c>
      <c r="AG10" s="3029">
        <v>28800</v>
      </c>
      <c r="AH10" s="3029">
        <v>36000</v>
      </c>
      <c r="AI10" s="3029">
        <v>923.25</v>
      </c>
      <c r="AJ10" s="3029">
        <v>1154.07</v>
      </c>
      <c r="AK10" s="3029">
        <v>13189.22</v>
      </c>
      <c r="AL10" s="3029">
        <v>16486.54</v>
      </c>
      <c r="AM10" s="3029" t="s">
        <v>1298</v>
      </c>
      <c r="AN10" s="3029" t="s">
        <v>1298</v>
      </c>
      <c r="AO10" s="3029">
        <v>25</v>
      </c>
      <c r="AP10" s="3029" t="s">
        <v>3133</v>
      </c>
      <c r="AQ10" s="3029" t="s">
        <v>1298</v>
      </c>
      <c r="AR10" s="3029" t="s">
        <v>1298</v>
      </c>
      <c r="AS10" s="3029" t="s">
        <v>1298</v>
      </c>
      <c r="AT10" s="3029" t="s">
        <v>3177</v>
      </c>
    </row>
    <row r="11" spans="1:46" s="3029" customFormat="1">
      <c r="A11" s="3029" t="s">
        <v>3222</v>
      </c>
      <c r="B11" s="3029" t="s">
        <v>3115</v>
      </c>
      <c r="C11" s="3029" t="s">
        <v>3116</v>
      </c>
      <c r="D11" s="3029" t="s">
        <v>3117</v>
      </c>
      <c r="E11" s="3029" t="s">
        <v>1298</v>
      </c>
      <c r="F11" s="3029" t="s">
        <v>3223</v>
      </c>
      <c r="G11" s="3029" t="s">
        <v>3120</v>
      </c>
      <c r="H11" s="3029" t="s">
        <v>3224</v>
      </c>
      <c r="I11" s="3029" t="s">
        <v>3225</v>
      </c>
      <c r="J11" s="3029">
        <v>42541.4</v>
      </c>
      <c r="K11" s="3029">
        <v>108921.52</v>
      </c>
      <c r="L11" s="3029" t="s">
        <v>3226</v>
      </c>
      <c r="M11" s="3029" t="s">
        <v>1298</v>
      </c>
      <c r="N11" s="3029" t="s">
        <v>3155</v>
      </c>
      <c r="O11" s="3029" t="s">
        <v>3156</v>
      </c>
      <c r="P11" s="3029" t="s">
        <v>1298</v>
      </c>
      <c r="Q11" s="3029" t="s">
        <v>1298</v>
      </c>
      <c r="R11" s="3029" t="s">
        <v>1298</v>
      </c>
      <c r="S11" s="3029" t="s">
        <v>1298</v>
      </c>
      <c r="T11" s="3029" t="s">
        <v>3186</v>
      </c>
      <c r="U11" s="3029" t="s">
        <v>3187</v>
      </c>
      <c r="V11" s="3029" t="s">
        <v>1298</v>
      </c>
      <c r="W11" s="3029" t="s">
        <v>3171</v>
      </c>
      <c r="X11" s="3029" t="s">
        <v>3227</v>
      </c>
      <c r="Y11" s="3029" t="s">
        <v>3228</v>
      </c>
      <c r="Z11" s="3029" t="s">
        <v>3229</v>
      </c>
      <c r="AA11" s="3029" t="s">
        <v>3229</v>
      </c>
      <c r="AB11" s="3029" t="s">
        <v>3224</v>
      </c>
      <c r="AC11" s="3029" t="s">
        <v>3130</v>
      </c>
      <c r="AD11" s="3029" t="s">
        <v>3230</v>
      </c>
      <c r="AE11" s="3029" t="s">
        <v>3231</v>
      </c>
      <c r="AF11" s="3029">
        <v>58400</v>
      </c>
      <c r="AG11" s="3029">
        <v>292000</v>
      </c>
      <c r="AH11" s="3029">
        <v>307000</v>
      </c>
      <c r="AI11" s="3029">
        <v>4575.93</v>
      </c>
      <c r="AJ11" s="3029">
        <v>4811</v>
      </c>
      <c r="AK11" s="3029">
        <v>26808.29</v>
      </c>
      <c r="AL11" s="3029">
        <v>28185.43</v>
      </c>
      <c r="AM11" s="3029" t="s">
        <v>1298</v>
      </c>
      <c r="AN11" s="3029" t="s">
        <v>1298</v>
      </c>
      <c r="AO11" s="3029">
        <v>5.14</v>
      </c>
      <c r="AP11" s="3029" t="s">
        <v>3133</v>
      </c>
      <c r="AQ11" s="3029" t="s">
        <v>1298</v>
      </c>
      <c r="AR11" s="3029" t="s">
        <v>1298</v>
      </c>
      <c r="AS11" s="3029" t="s">
        <v>1298</v>
      </c>
      <c r="AT11" s="3029" t="s">
        <v>3149</v>
      </c>
    </row>
    <row r="12" spans="1:46" s="3029" customFormat="1">
      <c r="A12" s="3029" t="s">
        <v>3232</v>
      </c>
      <c r="B12" s="3029" t="s">
        <v>3115</v>
      </c>
      <c r="C12" s="3029" t="s">
        <v>3179</v>
      </c>
      <c r="D12" s="3029" t="s">
        <v>3117</v>
      </c>
      <c r="E12" s="3029" t="s">
        <v>1298</v>
      </c>
      <c r="F12" s="3029" t="s">
        <v>3233</v>
      </c>
      <c r="G12" s="3029" t="s">
        <v>3120</v>
      </c>
      <c r="H12" s="3029" t="s">
        <v>3234</v>
      </c>
      <c r="I12" s="3029" t="s">
        <v>3183</v>
      </c>
      <c r="J12" s="3029">
        <v>54735.8</v>
      </c>
      <c r="K12" s="3029">
        <v>153260.24</v>
      </c>
      <c r="L12" s="3029" t="s">
        <v>3235</v>
      </c>
      <c r="M12" s="3029" t="s">
        <v>1298</v>
      </c>
      <c r="N12" s="3029" t="s">
        <v>3155</v>
      </c>
      <c r="O12" s="3029" t="s">
        <v>3236</v>
      </c>
      <c r="P12" s="3029" t="s">
        <v>1298</v>
      </c>
      <c r="Q12" s="3029" t="s">
        <v>1298</v>
      </c>
      <c r="R12" s="3029" t="s">
        <v>1298</v>
      </c>
      <c r="S12" s="3029" t="s">
        <v>1298</v>
      </c>
      <c r="T12" s="3029" t="s">
        <v>3186</v>
      </c>
      <c r="U12" s="3029" t="s">
        <v>3187</v>
      </c>
      <c r="V12" s="3029" t="s">
        <v>1298</v>
      </c>
      <c r="W12" s="3029" t="s">
        <v>3171</v>
      </c>
      <c r="X12" s="3029" t="s">
        <v>3227</v>
      </c>
      <c r="Y12" s="3029" t="s">
        <v>3228</v>
      </c>
      <c r="Z12" s="3029" t="s">
        <v>3229</v>
      </c>
      <c r="AA12" s="3029" t="s">
        <v>3229</v>
      </c>
      <c r="AB12" s="3029" t="s">
        <v>3234</v>
      </c>
      <c r="AC12" s="3029" t="s">
        <v>3130</v>
      </c>
      <c r="AD12" s="3029" t="s">
        <v>3237</v>
      </c>
      <c r="AE12" s="3029" t="s">
        <v>3238</v>
      </c>
      <c r="AF12" s="3029">
        <v>85200</v>
      </c>
      <c r="AG12" s="3029">
        <v>426000</v>
      </c>
      <c r="AH12" s="3029">
        <v>428150</v>
      </c>
      <c r="AI12" s="3029">
        <v>5188.5600000000004</v>
      </c>
      <c r="AJ12" s="3029">
        <v>5214.75</v>
      </c>
      <c r="AK12" s="3029">
        <v>27795.86</v>
      </c>
      <c r="AL12" s="3029">
        <v>27936.13</v>
      </c>
      <c r="AM12" s="3029" t="s">
        <v>1298</v>
      </c>
      <c r="AN12" s="3029" t="s">
        <v>1298</v>
      </c>
      <c r="AO12" s="3029">
        <v>0.5</v>
      </c>
      <c r="AP12" s="3029" t="s">
        <v>3133</v>
      </c>
      <c r="AQ12" s="3029" t="s">
        <v>1298</v>
      </c>
      <c r="AR12" s="3029" t="s">
        <v>1298</v>
      </c>
      <c r="AS12" s="3029" t="s">
        <v>1298</v>
      </c>
      <c r="AT12" s="3029" t="s">
        <v>3149</v>
      </c>
    </row>
    <row r="13" spans="1:46" s="3029" customFormat="1">
      <c r="A13" s="3029" t="s">
        <v>3239</v>
      </c>
      <c r="B13" s="3029" t="s">
        <v>3115</v>
      </c>
      <c r="C13" s="3029" t="s">
        <v>3116</v>
      </c>
      <c r="D13" s="3029" t="s">
        <v>3117</v>
      </c>
      <c r="E13" s="3029" t="s">
        <v>3240</v>
      </c>
      <c r="F13" s="3029" t="s">
        <v>3241</v>
      </c>
      <c r="G13" s="3029" t="s">
        <v>3120</v>
      </c>
      <c r="H13" s="3029" t="s">
        <v>3242</v>
      </c>
      <c r="I13" s="3029" t="s">
        <v>3225</v>
      </c>
      <c r="J13" s="3029">
        <v>58822.99</v>
      </c>
      <c r="K13" s="3029">
        <v>97871</v>
      </c>
      <c r="L13" s="3029" t="s">
        <v>3243</v>
      </c>
      <c r="M13" s="3029" t="s">
        <v>1298</v>
      </c>
      <c r="N13" s="3029" t="s">
        <v>3155</v>
      </c>
      <c r="O13" s="3029" t="s">
        <v>3244</v>
      </c>
      <c r="P13" s="3029" t="s">
        <v>1298</v>
      </c>
      <c r="Q13" s="3029" t="s">
        <v>1298</v>
      </c>
      <c r="R13" s="3029" t="s">
        <v>1298</v>
      </c>
      <c r="S13" s="3029" t="s">
        <v>1298</v>
      </c>
      <c r="T13" s="3029" t="s">
        <v>3186</v>
      </c>
      <c r="U13" s="3029" t="s">
        <v>3187</v>
      </c>
      <c r="V13" s="3029" t="s">
        <v>1298</v>
      </c>
      <c r="W13" s="3029" t="s">
        <v>3171</v>
      </c>
      <c r="X13" s="3029" t="s">
        <v>3245</v>
      </c>
      <c r="Y13" s="3029" t="s">
        <v>3246</v>
      </c>
      <c r="Z13" s="3029" t="s">
        <v>3247</v>
      </c>
      <c r="AA13" s="3029" t="s">
        <v>3247</v>
      </c>
      <c r="AB13" s="3029" t="s">
        <v>3242</v>
      </c>
      <c r="AC13" s="3029" t="s">
        <v>3130</v>
      </c>
      <c r="AD13" s="3029" t="s">
        <v>3248</v>
      </c>
      <c r="AE13" s="3029" t="s">
        <v>3249</v>
      </c>
      <c r="AF13" s="3029">
        <v>36500</v>
      </c>
      <c r="AG13" s="3029">
        <v>181000</v>
      </c>
      <c r="AH13" s="3029">
        <v>203000</v>
      </c>
      <c r="AI13" s="3029">
        <v>2051.35</v>
      </c>
      <c r="AJ13" s="3029">
        <v>2300.69</v>
      </c>
      <c r="AK13" s="3029">
        <v>18493.73</v>
      </c>
      <c r="AL13" s="3029">
        <v>20741.59</v>
      </c>
      <c r="AM13" s="3029" t="s">
        <v>1298</v>
      </c>
      <c r="AN13" s="3029" t="s">
        <v>1298</v>
      </c>
      <c r="AO13" s="3029">
        <v>12.15</v>
      </c>
      <c r="AP13" s="3029" t="s">
        <v>3133</v>
      </c>
      <c r="AQ13" s="3029" t="s">
        <v>1298</v>
      </c>
      <c r="AR13" s="3029" t="s">
        <v>1298</v>
      </c>
      <c r="AS13" s="3029" t="s">
        <v>1298</v>
      </c>
      <c r="AT13" s="3029" t="s">
        <v>3177</v>
      </c>
    </row>
    <row r="14" spans="1:46" s="3029" customFormat="1">
      <c r="A14" s="3029" t="s">
        <v>3250</v>
      </c>
      <c r="B14" s="3029" t="s">
        <v>3115</v>
      </c>
      <c r="C14" s="3029" t="s">
        <v>3116</v>
      </c>
      <c r="D14" s="3029" t="s">
        <v>3117</v>
      </c>
      <c r="E14" s="3029" t="s">
        <v>3207</v>
      </c>
      <c r="F14" s="3029" t="s">
        <v>3208</v>
      </c>
      <c r="G14" s="3029" t="s">
        <v>3120</v>
      </c>
      <c r="H14" s="3029" t="s">
        <v>3251</v>
      </c>
      <c r="I14" s="3029" t="s">
        <v>3252</v>
      </c>
      <c r="J14" s="3029">
        <v>56722.42</v>
      </c>
      <c r="K14" s="3029">
        <v>124449</v>
      </c>
      <c r="L14" s="3029" t="s">
        <v>3253</v>
      </c>
      <c r="M14" s="3029" t="s">
        <v>1298</v>
      </c>
      <c r="N14" s="3029" t="s">
        <v>3155</v>
      </c>
      <c r="O14" s="3029" t="s">
        <v>3254</v>
      </c>
      <c r="P14" s="3029" t="s">
        <v>1298</v>
      </c>
      <c r="Q14" s="3029" t="s">
        <v>1298</v>
      </c>
      <c r="R14" s="3029" t="s">
        <v>1298</v>
      </c>
      <c r="S14" s="3029" t="s">
        <v>1298</v>
      </c>
      <c r="T14" s="3029" t="s">
        <v>3186</v>
      </c>
      <c r="U14" s="3029" t="s">
        <v>3187</v>
      </c>
      <c r="V14" s="3029" t="s">
        <v>1298</v>
      </c>
      <c r="W14" s="3029" t="s">
        <v>3171</v>
      </c>
      <c r="X14" s="3029" t="s">
        <v>3245</v>
      </c>
      <c r="Y14" s="3029" t="s">
        <v>3246</v>
      </c>
      <c r="Z14" s="3029" t="s">
        <v>3247</v>
      </c>
      <c r="AA14" s="3029" t="s">
        <v>3247</v>
      </c>
      <c r="AB14" s="3029" t="s">
        <v>3251</v>
      </c>
      <c r="AC14" s="3029" t="s">
        <v>3130</v>
      </c>
      <c r="AD14" s="3029" t="s">
        <v>3255</v>
      </c>
      <c r="AE14" s="3029" t="s">
        <v>3256</v>
      </c>
      <c r="AF14" s="3029">
        <v>66000</v>
      </c>
      <c r="AG14" s="3029">
        <v>330000</v>
      </c>
      <c r="AH14" s="3029">
        <v>443000</v>
      </c>
      <c r="AI14" s="3029">
        <v>3878.54</v>
      </c>
      <c r="AJ14" s="3029">
        <v>5206.6400000000003</v>
      </c>
      <c r="AK14" s="3029">
        <v>26516.880000000001</v>
      </c>
      <c r="AL14" s="3029">
        <v>35596.910000000003</v>
      </c>
      <c r="AM14" s="3029" t="s">
        <v>1298</v>
      </c>
      <c r="AN14" s="3029" t="s">
        <v>1298</v>
      </c>
      <c r="AO14" s="3029">
        <v>34.24</v>
      </c>
      <c r="AP14" s="3029" t="s">
        <v>3133</v>
      </c>
      <c r="AQ14" s="3029" t="s">
        <v>1298</v>
      </c>
      <c r="AR14" s="3029" t="s">
        <v>1298</v>
      </c>
      <c r="AS14" s="3029" t="s">
        <v>1298</v>
      </c>
      <c r="AT14" s="3029" t="s">
        <v>3215</v>
      </c>
    </row>
    <row r="15" spans="1:46" s="3029" customFormat="1">
      <c r="A15" s="3029" t="s">
        <v>3257</v>
      </c>
      <c r="B15" s="3029" t="s">
        <v>3115</v>
      </c>
      <c r="C15" s="3029" t="s">
        <v>3116</v>
      </c>
      <c r="D15" s="3029" t="s">
        <v>3117</v>
      </c>
      <c r="E15" s="3029" t="s">
        <v>3258</v>
      </c>
      <c r="F15" s="3029" t="s">
        <v>3259</v>
      </c>
      <c r="G15" s="3029" t="s">
        <v>3120</v>
      </c>
      <c r="H15" s="3029" t="s">
        <v>3260</v>
      </c>
      <c r="I15" s="3029" t="s">
        <v>3225</v>
      </c>
      <c r="J15" s="3029">
        <v>88404.4</v>
      </c>
      <c r="K15" s="3029">
        <v>173209</v>
      </c>
      <c r="L15" s="3029" t="s">
        <v>3261</v>
      </c>
      <c r="M15" s="3029" t="s">
        <v>1298</v>
      </c>
      <c r="N15" s="3029" t="s">
        <v>3155</v>
      </c>
      <c r="O15" s="3029" t="s">
        <v>3262</v>
      </c>
      <c r="P15" s="3029" t="s">
        <v>1298</v>
      </c>
      <c r="Q15" s="3029" t="s">
        <v>1298</v>
      </c>
      <c r="R15" s="3029" t="s">
        <v>1298</v>
      </c>
      <c r="S15" s="3029" t="s">
        <v>1298</v>
      </c>
      <c r="T15" s="3029" t="s">
        <v>3186</v>
      </c>
      <c r="U15" s="3029" t="s">
        <v>3263</v>
      </c>
      <c r="V15" s="3029" t="s">
        <v>1298</v>
      </c>
      <c r="W15" s="3029" t="s">
        <v>3171</v>
      </c>
      <c r="X15" s="3029" t="s">
        <v>3264</v>
      </c>
      <c r="Y15" s="3029" t="s">
        <v>3265</v>
      </c>
      <c r="Z15" s="3029" t="s">
        <v>3266</v>
      </c>
      <c r="AA15" s="3029" t="s">
        <v>3266</v>
      </c>
      <c r="AB15" s="3029" t="s">
        <v>3260</v>
      </c>
      <c r="AC15" s="3029" t="s">
        <v>3130</v>
      </c>
      <c r="AD15" s="3029" t="s">
        <v>3267</v>
      </c>
      <c r="AE15" s="3029" t="s">
        <v>3268</v>
      </c>
      <c r="AF15" s="3029">
        <v>66000</v>
      </c>
      <c r="AG15" s="3029">
        <v>330000</v>
      </c>
      <c r="AH15" s="3029">
        <v>330000</v>
      </c>
      <c r="AI15" s="3029">
        <v>2488.56</v>
      </c>
      <c r="AJ15" s="3029">
        <v>2488.56</v>
      </c>
      <c r="AK15" s="3029">
        <v>19052.12</v>
      </c>
      <c r="AL15" s="3029">
        <v>19052.13</v>
      </c>
      <c r="AM15" s="3029" t="s">
        <v>1298</v>
      </c>
      <c r="AN15" s="3029" t="s">
        <v>1298</v>
      </c>
      <c r="AO15" s="3029">
        <v>0</v>
      </c>
      <c r="AP15" s="3029" t="s">
        <v>3133</v>
      </c>
      <c r="AQ15" s="3029" t="s">
        <v>1298</v>
      </c>
      <c r="AR15" s="3029" t="s">
        <v>1298</v>
      </c>
      <c r="AS15" s="3029" t="s">
        <v>1298</v>
      </c>
      <c r="AT15" s="3029" t="s">
        <v>3177</v>
      </c>
    </row>
    <row r="16" spans="1:46" s="3029" customFormat="1">
      <c r="A16" s="3029" t="s">
        <v>3269</v>
      </c>
      <c r="B16" s="3029" t="s">
        <v>3115</v>
      </c>
      <c r="C16" s="3029" t="s">
        <v>3179</v>
      </c>
      <c r="D16" s="3029" t="s">
        <v>3117</v>
      </c>
      <c r="E16" s="3029" t="s">
        <v>3118</v>
      </c>
      <c r="F16" s="3029" t="s">
        <v>3119</v>
      </c>
      <c r="G16" s="3029" t="s">
        <v>3120</v>
      </c>
      <c r="H16" s="3029" t="s">
        <v>3270</v>
      </c>
      <c r="I16" s="3029" t="s">
        <v>3183</v>
      </c>
      <c r="J16" s="3029">
        <v>45889.5</v>
      </c>
      <c r="K16" s="3029">
        <v>100957</v>
      </c>
      <c r="L16" s="3029" t="s">
        <v>3271</v>
      </c>
      <c r="M16" s="3029" t="s">
        <v>1298</v>
      </c>
      <c r="N16" s="3029" t="s">
        <v>3155</v>
      </c>
      <c r="O16" s="3029" t="s">
        <v>3272</v>
      </c>
      <c r="P16" s="3029" t="s">
        <v>1298</v>
      </c>
      <c r="Q16" s="3029" t="s">
        <v>1298</v>
      </c>
      <c r="R16" s="3029" t="s">
        <v>1298</v>
      </c>
      <c r="S16" s="3029" t="s">
        <v>1298</v>
      </c>
      <c r="T16" s="3029" t="s">
        <v>3186</v>
      </c>
      <c r="U16" s="3029" t="s">
        <v>3187</v>
      </c>
      <c r="V16" s="3029" t="s">
        <v>1298</v>
      </c>
      <c r="W16" s="3029" t="s">
        <v>3171</v>
      </c>
      <c r="X16" s="3029" t="s">
        <v>3264</v>
      </c>
      <c r="Y16" s="3029" t="s">
        <v>3265</v>
      </c>
      <c r="Z16" s="3029" t="s">
        <v>3266</v>
      </c>
      <c r="AA16" s="3029" t="s">
        <v>3266</v>
      </c>
      <c r="AB16" s="3029" t="s">
        <v>3270</v>
      </c>
      <c r="AC16" s="3029" t="s">
        <v>3130</v>
      </c>
      <c r="AD16" s="3029" t="s">
        <v>3162</v>
      </c>
      <c r="AE16" s="3029" t="s">
        <v>3163</v>
      </c>
      <c r="AF16" s="3029">
        <v>52000</v>
      </c>
      <c r="AG16" s="3029">
        <v>260000</v>
      </c>
      <c r="AH16" s="3029">
        <v>327000</v>
      </c>
      <c r="AI16" s="3029">
        <v>3777.19</v>
      </c>
      <c r="AJ16" s="3029">
        <v>4750.54</v>
      </c>
      <c r="AK16" s="3029">
        <v>25753.54</v>
      </c>
      <c r="AL16" s="3029">
        <v>32390.02</v>
      </c>
      <c r="AM16" s="3029" t="s">
        <v>1298</v>
      </c>
      <c r="AN16" s="3029" t="s">
        <v>1298</v>
      </c>
      <c r="AO16" s="3029">
        <v>25.77</v>
      </c>
      <c r="AP16" s="3029" t="s">
        <v>3133</v>
      </c>
      <c r="AQ16" s="3029" t="s">
        <v>1298</v>
      </c>
      <c r="AR16" s="3029" t="s">
        <v>1298</v>
      </c>
      <c r="AS16" s="3029" t="s">
        <v>1298</v>
      </c>
      <c r="AT16" s="3029" t="s">
        <v>3149</v>
      </c>
    </row>
    <row r="17" spans="1:46" s="3029" customFormat="1">
      <c r="A17" s="3029" t="s">
        <v>3273</v>
      </c>
      <c r="B17" s="3029" t="s">
        <v>3115</v>
      </c>
      <c r="C17" s="3029" t="s">
        <v>3116</v>
      </c>
      <c r="D17" s="3029" t="s">
        <v>3117</v>
      </c>
      <c r="E17" s="3029" t="s">
        <v>3118</v>
      </c>
      <c r="F17" s="3029" t="s">
        <v>3119</v>
      </c>
      <c r="G17" s="3029" t="s">
        <v>3120</v>
      </c>
      <c r="H17" s="3029" t="s">
        <v>3274</v>
      </c>
      <c r="I17" s="3029" t="s">
        <v>3122</v>
      </c>
      <c r="J17" s="3029">
        <v>47891.78</v>
      </c>
      <c r="K17" s="3029">
        <v>108059</v>
      </c>
      <c r="L17" s="3029" t="s">
        <v>3123</v>
      </c>
      <c r="M17" s="3029" t="s">
        <v>1298</v>
      </c>
      <c r="N17" s="3029" t="s">
        <v>1298</v>
      </c>
      <c r="O17" s="3029" t="s">
        <v>1298</v>
      </c>
      <c r="P17" s="3029" t="s">
        <v>1298</v>
      </c>
      <c r="Q17" s="3029" t="s">
        <v>1298</v>
      </c>
      <c r="R17" s="3029" t="s">
        <v>1298</v>
      </c>
      <c r="S17" s="3029" t="s">
        <v>3124</v>
      </c>
      <c r="T17" s="3029" t="s">
        <v>3125</v>
      </c>
      <c r="U17" s="3029" t="s">
        <v>3125</v>
      </c>
      <c r="V17" s="3029" t="s">
        <v>1298</v>
      </c>
      <c r="W17" s="3029" t="s">
        <v>3171</v>
      </c>
      <c r="X17" s="3029" t="s">
        <v>3127</v>
      </c>
      <c r="Y17" s="3029" t="s">
        <v>3275</v>
      </c>
      <c r="Z17" s="3029" t="s">
        <v>3276</v>
      </c>
      <c r="AA17" s="3029" t="s">
        <v>3276</v>
      </c>
      <c r="AB17" s="3029" t="s">
        <v>3274</v>
      </c>
      <c r="AC17" s="3029" t="s">
        <v>3130</v>
      </c>
      <c r="AD17" s="3029" t="s">
        <v>3277</v>
      </c>
      <c r="AE17" s="3029" t="s">
        <v>3278</v>
      </c>
      <c r="AF17" s="3029">
        <v>50000</v>
      </c>
      <c r="AG17" s="3029">
        <v>151283</v>
      </c>
      <c r="AH17" s="3029">
        <v>151283</v>
      </c>
      <c r="AI17" s="3029">
        <v>2105.9</v>
      </c>
      <c r="AJ17" s="3029">
        <v>2105.9</v>
      </c>
      <c r="AK17" s="3029">
        <v>14000.03</v>
      </c>
      <c r="AL17" s="3029">
        <v>14000.04</v>
      </c>
      <c r="AM17" s="3029" t="s">
        <v>1298</v>
      </c>
      <c r="AN17" s="3029" t="s">
        <v>1298</v>
      </c>
      <c r="AO17" s="3029">
        <v>0</v>
      </c>
      <c r="AP17" s="3029" t="s">
        <v>3133</v>
      </c>
      <c r="AQ17" s="3029" t="s">
        <v>1298</v>
      </c>
      <c r="AR17" s="3029" t="s">
        <v>1298</v>
      </c>
      <c r="AS17" s="3029" t="s">
        <v>1298</v>
      </c>
      <c r="AT17" s="3029" t="s">
        <v>3134</v>
      </c>
    </row>
    <row r="18" spans="1:46" s="3029" customFormat="1">
      <c r="A18" s="3029" t="s">
        <v>3279</v>
      </c>
      <c r="B18" s="3029" t="s">
        <v>3115</v>
      </c>
      <c r="C18" s="3029" t="s">
        <v>3179</v>
      </c>
      <c r="D18" s="3029" t="s">
        <v>3117</v>
      </c>
      <c r="E18" s="3029" t="s">
        <v>3118</v>
      </c>
      <c r="F18" s="3029" t="s">
        <v>3280</v>
      </c>
      <c r="G18" s="3029" t="s">
        <v>3120</v>
      </c>
      <c r="H18" s="3029" t="s">
        <v>3281</v>
      </c>
      <c r="I18" s="3029" t="s">
        <v>3183</v>
      </c>
      <c r="J18" s="3029">
        <v>36478.1</v>
      </c>
      <c r="K18" s="3029">
        <v>80251.820000000007</v>
      </c>
      <c r="L18" s="3029" t="s">
        <v>3271</v>
      </c>
      <c r="M18" s="3029" t="s">
        <v>1298</v>
      </c>
      <c r="N18" s="3029" t="s">
        <v>3155</v>
      </c>
      <c r="O18" s="3029" t="s">
        <v>3282</v>
      </c>
      <c r="P18" s="3029" t="s">
        <v>1298</v>
      </c>
      <c r="Q18" s="3029" t="s">
        <v>1298</v>
      </c>
      <c r="R18" s="3029" t="s">
        <v>1298</v>
      </c>
      <c r="S18" s="3029" t="s">
        <v>1298</v>
      </c>
      <c r="T18" s="3029" t="s">
        <v>3186</v>
      </c>
      <c r="U18" s="3029" t="s">
        <v>3187</v>
      </c>
      <c r="V18" s="3029" t="s">
        <v>1298</v>
      </c>
      <c r="W18" s="3029" t="s">
        <v>3171</v>
      </c>
      <c r="X18" s="3029" t="s">
        <v>3283</v>
      </c>
      <c r="Y18" s="3029" t="s">
        <v>3284</v>
      </c>
      <c r="Z18" s="3029" t="s">
        <v>3285</v>
      </c>
      <c r="AA18" s="3029" t="s">
        <v>3285</v>
      </c>
      <c r="AB18" s="3029" t="s">
        <v>3281</v>
      </c>
      <c r="AC18" s="3029" t="s">
        <v>3130</v>
      </c>
      <c r="AD18" s="3029" t="s">
        <v>3286</v>
      </c>
      <c r="AE18" s="3029" t="s">
        <v>3287</v>
      </c>
      <c r="AF18" s="3029">
        <v>45000</v>
      </c>
      <c r="AG18" s="3029">
        <v>225000</v>
      </c>
      <c r="AH18" s="3029">
        <v>318000</v>
      </c>
      <c r="AI18" s="3029">
        <v>4112.0600000000004</v>
      </c>
      <c r="AJ18" s="3029">
        <v>5811.71</v>
      </c>
      <c r="AK18" s="3029">
        <v>28036.74</v>
      </c>
      <c r="AL18" s="3029">
        <v>39625.26</v>
      </c>
      <c r="AM18" s="3029" t="s">
        <v>1298</v>
      </c>
      <c r="AN18" s="3029" t="s">
        <v>1298</v>
      </c>
      <c r="AO18" s="3029">
        <v>41.33</v>
      </c>
      <c r="AP18" s="3029" t="s">
        <v>3133</v>
      </c>
      <c r="AQ18" s="3029" t="s">
        <v>1298</v>
      </c>
      <c r="AR18" s="3029" t="s">
        <v>1298</v>
      </c>
      <c r="AS18" s="3029" t="s">
        <v>1298</v>
      </c>
      <c r="AT18" s="3029" t="s">
        <v>3134</v>
      </c>
    </row>
    <row r="19" spans="1:46" s="3029" customFormat="1">
      <c r="A19" s="3029" t="s">
        <v>3288</v>
      </c>
      <c r="B19" s="3029" t="s">
        <v>3115</v>
      </c>
      <c r="C19" s="3029" t="s">
        <v>3179</v>
      </c>
      <c r="D19" s="3029" t="s">
        <v>3117</v>
      </c>
      <c r="E19" s="3029" t="s">
        <v>3118</v>
      </c>
      <c r="F19" s="3029" t="s">
        <v>3289</v>
      </c>
      <c r="G19" s="3029" t="s">
        <v>3120</v>
      </c>
      <c r="H19" s="3029" t="s">
        <v>3290</v>
      </c>
      <c r="I19" s="3029" t="s">
        <v>3183</v>
      </c>
      <c r="J19" s="3029">
        <v>35704</v>
      </c>
      <c r="K19" s="3029">
        <v>78548.800000000003</v>
      </c>
      <c r="L19" s="3029" t="s">
        <v>3271</v>
      </c>
      <c r="M19" s="3029" t="s">
        <v>1298</v>
      </c>
      <c r="N19" s="3029" t="s">
        <v>3155</v>
      </c>
      <c r="O19" s="3029" t="s">
        <v>3282</v>
      </c>
      <c r="P19" s="3029" t="s">
        <v>1298</v>
      </c>
      <c r="Q19" s="3029" t="s">
        <v>1298</v>
      </c>
      <c r="R19" s="3029" t="s">
        <v>1298</v>
      </c>
      <c r="S19" s="3029" t="s">
        <v>1298</v>
      </c>
      <c r="T19" s="3029" t="s">
        <v>3186</v>
      </c>
      <c r="U19" s="3029" t="s">
        <v>3187</v>
      </c>
      <c r="V19" s="3029" t="s">
        <v>1298</v>
      </c>
      <c r="W19" s="3029" t="s">
        <v>3171</v>
      </c>
      <c r="X19" s="3029" t="s">
        <v>3283</v>
      </c>
      <c r="Y19" s="3029" t="s">
        <v>3284</v>
      </c>
      <c r="Z19" s="3029" t="s">
        <v>3285</v>
      </c>
      <c r="AA19" s="3029" t="s">
        <v>3285</v>
      </c>
      <c r="AB19" s="3029" t="s">
        <v>3290</v>
      </c>
      <c r="AC19" s="3029" t="s">
        <v>3130</v>
      </c>
      <c r="AD19" s="3029" t="s">
        <v>3291</v>
      </c>
      <c r="AE19" s="3029" t="s">
        <v>3291</v>
      </c>
      <c r="AF19" s="3029">
        <v>44000</v>
      </c>
      <c r="AG19" s="3029">
        <v>220000</v>
      </c>
      <c r="AH19" s="3029">
        <v>306000</v>
      </c>
      <c r="AI19" s="3029">
        <v>4107.8500000000004</v>
      </c>
      <c r="AJ19" s="3029">
        <v>5713.65</v>
      </c>
      <c r="AK19" s="3029">
        <v>28008.06</v>
      </c>
      <c r="AL19" s="3029">
        <v>38956.660000000003</v>
      </c>
      <c r="AM19" s="3029" t="s">
        <v>1298</v>
      </c>
      <c r="AN19" s="3029" t="s">
        <v>1298</v>
      </c>
      <c r="AO19" s="3029">
        <v>39.090000000000003</v>
      </c>
      <c r="AP19" s="3029" t="s">
        <v>3133</v>
      </c>
      <c r="AQ19" s="3029" t="s">
        <v>1298</v>
      </c>
      <c r="AR19" s="3029" t="s">
        <v>1298</v>
      </c>
      <c r="AS19" s="3029" t="s">
        <v>1298</v>
      </c>
      <c r="AT19" s="3029" t="s">
        <v>3134</v>
      </c>
    </row>
    <row r="20" spans="1:46" s="3029" customFormat="1">
      <c r="A20" s="3029" t="s">
        <v>3292</v>
      </c>
      <c r="B20" s="3029" t="s">
        <v>3115</v>
      </c>
      <c r="C20" s="3029" t="s">
        <v>3116</v>
      </c>
      <c r="D20" s="3029" t="s">
        <v>3117</v>
      </c>
      <c r="E20" s="3029" t="s">
        <v>3118</v>
      </c>
      <c r="F20" s="3029" t="s">
        <v>3119</v>
      </c>
      <c r="G20" s="3029" t="s">
        <v>3120</v>
      </c>
      <c r="H20" s="3029" t="s">
        <v>3293</v>
      </c>
      <c r="I20" s="3029" t="s">
        <v>3294</v>
      </c>
      <c r="J20" s="3029">
        <v>79276.91</v>
      </c>
      <c r="K20" s="3029">
        <v>177023</v>
      </c>
      <c r="L20" s="3029" t="s">
        <v>3295</v>
      </c>
      <c r="M20" s="3029" t="s">
        <v>1298</v>
      </c>
      <c r="N20" s="3029" t="s">
        <v>3155</v>
      </c>
      <c r="O20" s="3029" t="s">
        <v>3296</v>
      </c>
      <c r="P20" s="3029" t="s">
        <v>1298</v>
      </c>
      <c r="Q20" s="3029" t="s">
        <v>1298</v>
      </c>
      <c r="R20" s="3029" t="s">
        <v>1298</v>
      </c>
      <c r="S20" s="3029" t="s">
        <v>1298</v>
      </c>
      <c r="T20" s="3029" t="s">
        <v>3186</v>
      </c>
      <c r="U20" s="3029" t="s">
        <v>3187</v>
      </c>
      <c r="V20" s="3029" t="s">
        <v>1298</v>
      </c>
      <c r="W20" s="3029" t="s">
        <v>3171</v>
      </c>
      <c r="X20" s="3029" t="s">
        <v>3297</v>
      </c>
      <c r="Y20" s="3029" t="s">
        <v>3298</v>
      </c>
      <c r="Z20" s="3029" t="s">
        <v>3299</v>
      </c>
      <c r="AA20" s="3029" t="s">
        <v>3299</v>
      </c>
      <c r="AB20" s="3029" t="s">
        <v>3293</v>
      </c>
      <c r="AC20" s="3029" t="s">
        <v>3130</v>
      </c>
      <c r="AD20" s="3029" t="s">
        <v>3162</v>
      </c>
      <c r="AE20" s="3029" t="s">
        <v>3163</v>
      </c>
      <c r="AF20" s="3029">
        <v>73000</v>
      </c>
      <c r="AG20" s="3029">
        <v>365000</v>
      </c>
      <c r="AH20" s="3029">
        <v>444000</v>
      </c>
      <c r="AI20" s="3029">
        <v>3069.41</v>
      </c>
      <c r="AJ20" s="3029">
        <v>3733.75</v>
      </c>
      <c r="AK20" s="3029">
        <v>20618.79</v>
      </c>
      <c r="AL20" s="3029">
        <v>25081.49</v>
      </c>
      <c r="AM20" s="3029" t="s">
        <v>1298</v>
      </c>
      <c r="AN20" s="3029" t="s">
        <v>1298</v>
      </c>
      <c r="AO20" s="3029">
        <v>21.64</v>
      </c>
      <c r="AP20" s="3029" t="s">
        <v>3300</v>
      </c>
      <c r="AQ20" s="3029" t="s">
        <v>1298</v>
      </c>
      <c r="AR20" s="3029" t="s">
        <v>1298</v>
      </c>
      <c r="AS20" s="3029" t="s">
        <v>1298</v>
      </c>
      <c r="AT20" s="3029" t="s">
        <v>3134</v>
      </c>
    </row>
    <row r="21" spans="1:46" s="3029" customFormat="1">
      <c r="A21" s="3029" t="s">
        <v>3301</v>
      </c>
      <c r="B21" s="3029" t="s">
        <v>3115</v>
      </c>
      <c r="C21" s="3029" t="s">
        <v>3116</v>
      </c>
      <c r="D21" s="3029" t="s">
        <v>3117</v>
      </c>
      <c r="E21" s="3029" t="s">
        <v>3302</v>
      </c>
      <c r="F21" s="3029" t="s">
        <v>3303</v>
      </c>
      <c r="G21" s="3029" t="s">
        <v>3120</v>
      </c>
      <c r="H21" s="3029" t="s">
        <v>3304</v>
      </c>
      <c r="I21" s="3029" t="s">
        <v>3305</v>
      </c>
      <c r="J21" s="3029">
        <v>34940.019999999997</v>
      </c>
      <c r="K21" s="3029">
        <v>94338</v>
      </c>
      <c r="L21" s="3029">
        <v>2.7</v>
      </c>
      <c r="M21" s="3029" t="s">
        <v>1298</v>
      </c>
      <c r="N21" s="3029" t="s">
        <v>3155</v>
      </c>
      <c r="O21" s="3029" t="s">
        <v>3306</v>
      </c>
      <c r="P21" s="3029" t="s">
        <v>1298</v>
      </c>
      <c r="Q21" s="3029" t="s">
        <v>1298</v>
      </c>
      <c r="R21" s="3029" t="s">
        <v>1298</v>
      </c>
      <c r="S21" s="3029" t="s">
        <v>1298</v>
      </c>
      <c r="T21" s="3029" t="s">
        <v>3186</v>
      </c>
      <c r="U21" s="3029" t="s">
        <v>3187</v>
      </c>
      <c r="V21" s="3029" t="s">
        <v>1298</v>
      </c>
      <c r="W21" s="3029" t="s">
        <v>3171</v>
      </c>
      <c r="X21" s="3029" t="s">
        <v>3297</v>
      </c>
      <c r="Y21" s="3029" t="s">
        <v>3298</v>
      </c>
      <c r="Z21" s="3029" t="s">
        <v>3299</v>
      </c>
      <c r="AA21" s="3029" t="s">
        <v>3299</v>
      </c>
      <c r="AB21" s="3029" t="s">
        <v>3304</v>
      </c>
      <c r="AC21" s="3029" t="s">
        <v>3130</v>
      </c>
      <c r="AD21" s="3029" t="s">
        <v>3307</v>
      </c>
      <c r="AE21" s="3029" t="s">
        <v>3308</v>
      </c>
      <c r="AF21" s="3029">
        <v>42000</v>
      </c>
      <c r="AG21" s="3029">
        <v>210000</v>
      </c>
      <c r="AH21" s="3029">
        <v>246000</v>
      </c>
      <c r="AI21" s="3029">
        <v>4006.87</v>
      </c>
      <c r="AJ21" s="3029">
        <v>4693.76</v>
      </c>
      <c r="AK21" s="3029">
        <v>22260.38</v>
      </c>
      <c r="AL21" s="3029">
        <v>26076.45</v>
      </c>
      <c r="AM21" s="3029" t="s">
        <v>1298</v>
      </c>
      <c r="AN21" s="3029" t="s">
        <v>1298</v>
      </c>
      <c r="AO21" s="3029">
        <v>17.14</v>
      </c>
      <c r="AP21" s="3029" t="s">
        <v>3300</v>
      </c>
      <c r="AQ21" s="3029" t="s">
        <v>1298</v>
      </c>
      <c r="AR21" s="3029" t="s">
        <v>1298</v>
      </c>
      <c r="AS21" s="3029" t="s">
        <v>1298</v>
      </c>
      <c r="AT21" s="3029" t="s">
        <v>3215</v>
      </c>
    </row>
    <row r="22" spans="1:46" s="3029" customFormat="1">
      <c r="A22" s="3029" t="s">
        <v>3309</v>
      </c>
      <c r="B22" s="3029" t="s">
        <v>3115</v>
      </c>
      <c r="C22" s="3029" t="s">
        <v>3179</v>
      </c>
      <c r="D22" s="3029" t="s">
        <v>3117</v>
      </c>
      <c r="E22" s="3029" t="s">
        <v>3165</v>
      </c>
      <c r="F22" s="3029" t="s">
        <v>3166</v>
      </c>
      <c r="G22" s="3029" t="s">
        <v>3120</v>
      </c>
      <c r="H22" s="3029" t="s">
        <v>3310</v>
      </c>
      <c r="I22" s="3029" t="s">
        <v>3183</v>
      </c>
      <c r="J22" s="3029">
        <v>54637.78</v>
      </c>
      <c r="K22" s="3029">
        <v>57370</v>
      </c>
      <c r="L22" s="3029">
        <v>1.05</v>
      </c>
      <c r="M22" s="3029" t="s">
        <v>1298</v>
      </c>
      <c r="N22" s="3029" t="s">
        <v>3155</v>
      </c>
      <c r="O22" s="3029" t="s">
        <v>3311</v>
      </c>
      <c r="P22" s="3029" t="s">
        <v>1298</v>
      </c>
      <c r="Q22" s="3029" t="s">
        <v>1298</v>
      </c>
      <c r="R22" s="3029" t="s">
        <v>1298</v>
      </c>
      <c r="S22" s="3029" t="s">
        <v>1298</v>
      </c>
      <c r="T22" s="3029" t="s">
        <v>3312</v>
      </c>
      <c r="U22" s="3029" t="s">
        <v>3313</v>
      </c>
      <c r="V22" s="3029" t="s">
        <v>1298</v>
      </c>
      <c r="W22" s="3029" t="s">
        <v>3171</v>
      </c>
      <c r="X22" s="3029" t="s">
        <v>3314</v>
      </c>
      <c r="Y22" s="3029" t="s">
        <v>3315</v>
      </c>
      <c r="Z22" s="3029" t="s">
        <v>3316</v>
      </c>
      <c r="AA22" s="3029" t="s">
        <v>3316</v>
      </c>
      <c r="AB22" s="3029" t="s">
        <v>3310</v>
      </c>
      <c r="AC22" s="3029" t="s">
        <v>3130</v>
      </c>
      <c r="AD22" s="3029" t="s">
        <v>3317</v>
      </c>
      <c r="AE22" s="3029" t="s">
        <v>3318</v>
      </c>
      <c r="AF22" s="3029">
        <v>14800</v>
      </c>
      <c r="AG22" s="3029">
        <v>73950</v>
      </c>
      <c r="AH22" s="3029">
        <v>94000</v>
      </c>
      <c r="AI22" s="3029">
        <v>902.31</v>
      </c>
      <c r="AJ22" s="3029">
        <v>1146.95</v>
      </c>
      <c r="AK22" s="3029">
        <v>12890.01</v>
      </c>
      <c r="AL22" s="3029">
        <v>16384.86</v>
      </c>
      <c r="AM22" s="3029" t="s">
        <v>1298</v>
      </c>
      <c r="AN22" s="3029" t="s">
        <v>1298</v>
      </c>
      <c r="AO22" s="3029">
        <v>27.11</v>
      </c>
      <c r="AP22" s="3029" t="s">
        <v>3133</v>
      </c>
      <c r="AQ22" s="3029" t="s">
        <v>1298</v>
      </c>
      <c r="AR22" s="3029" t="s">
        <v>1298</v>
      </c>
      <c r="AS22" s="3029" t="s">
        <v>1298</v>
      </c>
      <c r="AT22" s="3029" t="s">
        <v>3177</v>
      </c>
    </row>
    <row r="23" spans="1:46" s="3029" customFormat="1">
      <c r="A23" s="3029" t="s">
        <v>3319</v>
      </c>
      <c r="B23" s="3029" t="s">
        <v>3115</v>
      </c>
      <c r="C23" s="3029" t="s">
        <v>3179</v>
      </c>
      <c r="D23" s="3029" t="s">
        <v>3117</v>
      </c>
      <c r="E23" s="3029" t="s">
        <v>3165</v>
      </c>
      <c r="F23" s="3029" t="s">
        <v>3166</v>
      </c>
      <c r="G23" s="3029" t="s">
        <v>3120</v>
      </c>
      <c r="H23" s="3029" t="s">
        <v>3320</v>
      </c>
      <c r="I23" s="3029" t="s">
        <v>3183</v>
      </c>
      <c r="J23" s="3029">
        <v>87590.77</v>
      </c>
      <c r="K23" s="3029">
        <v>91970</v>
      </c>
      <c r="L23" s="3029">
        <v>1.05</v>
      </c>
      <c r="M23" s="3029" t="s">
        <v>1298</v>
      </c>
      <c r="N23" s="3029" t="s">
        <v>3155</v>
      </c>
      <c r="O23" s="3029" t="s">
        <v>3321</v>
      </c>
      <c r="P23" s="3029" t="s">
        <v>1298</v>
      </c>
      <c r="Q23" s="3029" t="s">
        <v>1298</v>
      </c>
      <c r="R23" s="3029" t="s">
        <v>1298</v>
      </c>
      <c r="S23" s="3029" t="s">
        <v>1298</v>
      </c>
      <c r="T23" s="3029" t="s">
        <v>3312</v>
      </c>
      <c r="U23" s="3029" t="s">
        <v>3322</v>
      </c>
      <c r="V23" s="3029" t="s">
        <v>1298</v>
      </c>
      <c r="W23" s="3029" t="s">
        <v>3171</v>
      </c>
      <c r="X23" s="3029" t="s">
        <v>3323</v>
      </c>
      <c r="Y23" s="3029" t="s">
        <v>3315</v>
      </c>
      <c r="Z23" s="3029" t="s">
        <v>3316</v>
      </c>
      <c r="AA23" s="3029" t="s">
        <v>3316</v>
      </c>
      <c r="AB23" s="3029" t="s">
        <v>3320</v>
      </c>
      <c r="AC23" s="3029" t="s">
        <v>3130</v>
      </c>
      <c r="AD23" s="3029" t="s">
        <v>3324</v>
      </c>
      <c r="AE23" s="3029" t="s">
        <v>3325</v>
      </c>
      <c r="AF23" s="3029">
        <v>23800</v>
      </c>
      <c r="AG23" s="3029">
        <v>118550</v>
      </c>
      <c r="AH23" s="3029">
        <v>177000</v>
      </c>
      <c r="AI23" s="3029">
        <v>902.3</v>
      </c>
      <c r="AJ23" s="3029">
        <v>1347.17</v>
      </c>
      <c r="AK23" s="3029">
        <v>12890.07</v>
      </c>
      <c r="AL23" s="3029">
        <v>19245.400000000001</v>
      </c>
      <c r="AM23" s="3029" t="s">
        <v>1298</v>
      </c>
      <c r="AN23" s="3029" t="s">
        <v>1298</v>
      </c>
      <c r="AO23" s="3029">
        <v>49.3</v>
      </c>
      <c r="AP23" s="3029" t="s">
        <v>3133</v>
      </c>
      <c r="AQ23" s="3029" t="s">
        <v>1298</v>
      </c>
      <c r="AR23" s="3029">
        <v>2</v>
      </c>
      <c r="AS23" s="3029" t="s">
        <v>1298</v>
      </c>
      <c r="AT23" s="3029" t="s">
        <v>3177</v>
      </c>
    </row>
    <row r="24" spans="1:46" s="3029" customFormat="1">
      <c r="A24" s="3029" t="s">
        <v>3326</v>
      </c>
      <c r="B24" s="3029" t="s">
        <v>3115</v>
      </c>
      <c r="C24" s="3029" t="s">
        <v>3179</v>
      </c>
      <c r="D24" s="3029" t="s">
        <v>3117</v>
      </c>
      <c r="E24" s="3029" t="s">
        <v>3118</v>
      </c>
      <c r="F24" s="3029" t="s">
        <v>3327</v>
      </c>
      <c r="G24" s="3029" t="s">
        <v>3120</v>
      </c>
      <c r="H24" s="3029" t="s">
        <v>3328</v>
      </c>
      <c r="I24" s="3029" t="s">
        <v>3183</v>
      </c>
      <c r="J24" s="3029">
        <v>38121.199999999997</v>
      </c>
      <c r="K24" s="3029">
        <v>95303</v>
      </c>
      <c r="L24" s="3029">
        <v>2.5</v>
      </c>
      <c r="M24" s="3029" t="s">
        <v>1298</v>
      </c>
      <c r="N24" s="3029" t="s">
        <v>3155</v>
      </c>
      <c r="O24" s="3029" t="s">
        <v>3329</v>
      </c>
      <c r="P24" s="3029" t="s">
        <v>1298</v>
      </c>
      <c r="Q24" s="3029" t="s">
        <v>1298</v>
      </c>
      <c r="R24" s="3029" t="s">
        <v>1298</v>
      </c>
      <c r="S24" s="3029" t="s">
        <v>1298</v>
      </c>
      <c r="T24" s="3029" t="s">
        <v>3186</v>
      </c>
      <c r="U24" s="3029" t="s">
        <v>3187</v>
      </c>
      <c r="V24" s="3029" t="s">
        <v>1298</v>
      </c>
      <c r="W24" s="3029" t="s">
        <v>3171</v>
      </c>
      <c r="X24" s="3029" t="s">
        <v>3330</v>
      </c>
      <c r="Y24" s="3029" t="s">
        <v>3331</v>
      </c>
      <c r="Z24" s="3029" t="s">
        <v>3332</v>
      </c>
      <c r="AA24" s="3029" t="s">
        <v>3332</v>
      </c>
      <c r="AB24" s="3029" t="s">
        <v>3328</v>
      </c>
      <c r="AC24" s="3029" t="s">
        <v>3130</v>
      </c>
      <c r="AD24" s="3029" t="s">
        <v>3333</v>
      </c>
      <c r="AE24" s="3029" t="s">
        <v>3334</v>
      </c>
      <c r="AF24" s="3029">
        <v>53400</v>
      </c>
      <c r="AG24" s="3029">
        <v>267000</v>
      </c>
      <c r="AH24" s="3029">
        <v>332000</v>
      </c>
      <c r="AI24" s="3029">
        <v>4669.32</v>
      </c>
      <c r="AJ24" s="3029">
        <v>5806.04</v>
      </c>
      <c r="AK24" s="3029">
        <v>28015.9</v>
      </c>
      <c r="AL24" s="3029">
        <v>34836.26</v>
      </c>
      <c r="AM24" s="3029" t="s">
        <v>1298</v>
      </c>
      <c r="AN24" s="3029" t="s">
        <v>1298</v>
      </c>
      <c r="AO24" s="3029">
        <v>24.34</v>
      </c>
      <c r="AP24" s="3029" t="s">
        <v>3133</v>
      </c>
      <c r="AQ24" s="3029" t="s">
        <v>1298</v>
      </c>
      <c r="AR24" s="3029" t="s">
        <v>1298</v>
      </c>
      <c r="AS24" s="3029" t="s">
        <v>1298</v>
      </c>
      <c r="AT24" s="3029" t="s">
        <v>3134</v>
      </c>
    </row>
    <row r="25" spans="1:46" s="3029" customFormat="1">
      <c r="A25" s="3029" t="s">
        <v>3335</v>
      </c>
      <c r="B25" s="3029" t="s">
        <v>3115</v>
      </c>
      <c r="C25" s="3029" t="s">
        <v>3179</v>
      </c>
      <c r="D25" s="3029" t="s">
        <v>3117</v>
      </c>
      <c r="E25" s="3029" t="s">
        <v>3118</v>
      </c>
      <c r="F25" s="3029" t="s">
        <v>3336</v>
      </c>
      <c r="G25" s="3029" t="s">
        <v>3120</v>
      </c>
      <c r="H25" s="3029" t="s">
        <v>3337</v>
      </c>
      <c r="I25" s="3029" t="s">
        <v>3183</v>
      </c>
      <c r="J25" s="3029">
        <v>44933.4</v>
      </c>
      <c r="K25" s="3029">
        <v>112333.5</v>
      </c>
      <c r="L25" s="3029">
        <v>2.5</v>
      </c>
      <c r="M25" s="3029" t="s">
        <v>1298</v>
      </c>
      <c r="N25" s="3029" t="s">
        <v>3155</v>
      </c>
      <c r="O25" s="3029" t="s">
        <v>3329</v>
      </c>
      <c r="P25" s="3029" t="s">
        <v>1298</v>
      </c>
      <c r="Q25" s="3029" t="s">
        <v>1298</v>
      </c>
      <c r="R25" s="3029" t="s">
        <v>1298</v>
      </c>
      <c r="S25" s="3029" t="s">
        <v>1298</v>
      </c>
      <c r="T25" s="3029" t="s">
        <v>3186</v>
      </c>
      <c r="U25" s="3029" t="s">
        <v>3187</v>
      </c>
      <c r="V25" s="3029" t="s">
        <v>1298</v>
      </c>
      <c r="W25" s="3029" t="s">
        <v>3171</v>
      </c>
      <c r="X25" s="3029" t="s">
        <v>3330</v>
      </c>
      <c r="Y25" s="3029" t="s">
        <v>3331</v>
      </c>
      <c r="Z25" s="3029" t="s">
        <v>3332</v>
      </c>
      <c r="AA25" s="3029" t="s">
        <v>3332</v>
      </c>
      <c r="AB25" s="3029" t="s">
        <v>3337</v>
      </c>
      <c r="AC25" s="3029" t="s">
        <v>3130</v>
      </c>
      <c r="AD25" s="3029" t="s">
        <v>3338</v>
      </c>
      <c r="AE25" s="3029" t="s">
        <v>3339</v>
      </c>
      <c r="AF25" s="3029">
        <v>63000</v>
      </c>
      <c r="AG25" s="3029">
        <v>315000</v>
      </c>
      <c r="AH25" s="3029">
        <v>370000</v>
      </c>
      <c r="AI25" s="3029">
        <v>4673.58</v>
      </c>
      <c r="AJ25" s="3029">
        <v>5489.61</v>
      </c>
      <c r="AK25" s="3029">
        <v>28041.5</v>
      </c>
      <c r="AL25" s="3029">
        <v>32937.629999999997</v>
      </c>
      <c r="AM25" s="3029" t="s">
        <v>1298</v>
      </c>
      <c r="AN25" s="3029" t="s">
        <v>1298</v>
      </c>
      <c r="AO25" s="3029">
        <v>17.46</v>
      </c>
      <c r="AP25" s="3029" t="s">
        <v>3133</v>
      </c>
      <c r="AQ25" s="3029" t="s">
        <v>1298</v>
      </c>
      <c r="AR25" s="3029" t="s">
        <v>1298</v>
      </c>
      <c r="AS25" s="3029" t="s">
        <v>1298</v>
      </c>
      <c r="AT25" s="3029" t="s">
        <v>3134</v>
      </c>
    </row>
    <row r="26" spans="1:46" s="3029" customFormat="1">
      <c r="A26" s="3029" t="s">
        <v>3340</v>
      </c>
      <c r="B26" s="3029" t="s">
        <v>3115</v>
      </c>
      <c r="C26" s="3029" t="s">
        <v>3116</v>
      </c>
      <c r="D26" s="3029" t="s">
        <v>3117</v>
      </c>
      <c r="E26" s="3029" t="s">
        <v>3341</v>
      </c>
      <c r="F26" s="3029" t="s">
        <v>3342</v>
      </c>
      <c r="G26" s="3029" t="s">
        <v>3120</v>
      </c>
      <c r="H26" s="3029" t="s">
        <v>3343</v>
      </c>
      <c r="I26" s="3029" t="s">
        <v>3225</v>
      </c>
      <c r="J26" s="3029">
        <v>53689</v>
      </c>
      <c r="K26" s="3029">
        <v>110976</v>
      </c>
      <c r="L26" s="3029">
        <v>2.0699999999999998</v>
      </c>
      <c r="M26" s="3029" t="s">
        <v>1298</v>
      </c>
      <c r="N26" s="3029" t="s">
        <v>3344</v>
      </c>
      <c r="O26" s="3029" t="s">
        <v>3345</v>
      </c>
      <c r="P26" s="3029" t="s">
        <v>1298</v>
      </c>
      <c r="Q26" s="3029" t="s">
        <v>1298</v>
      </c>
      <c r="R26" s="3029" t="s">
        <v>1298</v>
      </c>
      <c r="S26" s="3029" t="s">
        <v>1298</v>
      </c>
      <c r="T26" s="3029" t="s">
        <v>3312</v>
      </c>
      <c r="U26" s="3029" t="s">
        <v>3313</v>
      </c>
      <c r="V26" s="3029" t="s">
        <v>1298</v>
      </c>
      <c r="W26" s="3029" t="s">
        <v>3171</v>
      </c>
      <c r="X26" s="3029" t="s">
        <v>3346</v>
      </c>
      <c r="Y26" s="3029" t="s">
        <v>3347</v>
      </c>
      <c r="Z26" s="3029" t="s">
        <v>3348</v>
      </c>
      <c r="AA26" s="3029" t="s">
        <v>3348</v>
      </c>
      <c r="AB26" s="3029" t="s">
        <v>3343</v>
      </c>
      <c r="AC26" s="3029" t="s">
        <v>3130</v>
      </c>
      <c r="AD26" s="3029" t="s">
        <v>3349</v>
      </c>
      <c r="AE26" s="3029" t="s">
        <v>3350</v>
      </c>
      <c r="AF26" s="3029">
        <v>62000</v>
      </c>
      <c r="AG26" s="3029">
        <v>206000</v>
      </c>
      <c r="AH26" s="3029">
        <v>208000</v>
      </c>
      <c r="AI26" s="3029">
        <v>2557.94</v>
      </c>
      <c r="AJ26" s="3029">
        <v>2582.7800000000002</v>
      </c>
      <c r="AK26" s="3029">
        <v>18562.57</v>
      </c>
      <c r="AL26" s="3029">
        <v>18742.79</v>
      </c>
      <c r="AM26" s="3029" t="s">
        <v>1298</v>
      </c>
      <c r="AN26" s="3029" t="s">
        <v>1298</v>
      </c>
      <c r="AO26" s="3029">
        <v>0.97</v>
      </c>
      <c r="AP26" s="3029" t="s">
        <v>3133</v>
      </c>
      <c r="AQ26" s="3029" t="s">
        <v>1298</v>
      </c>
      <c r="AR26" s="3029" t="s">
        <v>1298</v>
      </c>
      <c r="AS26" s="3029" t="s">
        <v>1298</v>
      </c>
      <c r="AT26" s="3029" t="s">
        <v>3134</v>
      </c>
    </row>
    <row r="27" spans="1:46" s="3029" customFormat="1">
      <c r="A27" s="3029" t="s">
        <v>3351</v>
      </c>
      <c r="B27" s="3029" t="s">
        <v>3115</v>
      </c>
      <c r="C27" s="3029" t="s">
        <v>3179</v>
      </c>
      <c r="D27" s="3029" t="s">
        <v>3117</v>
      </c>
      <c r="E27" s="3029" t="s">
        <v>3341</v>
      </c>
      <c r="F27" s="3029" t="s">
        <v>3342</v>
      </c>
      <c r="G27" s="3029" t="s">
        <v>3120</v>
      </c>
      <c r="H27" s="3029" t="s">
        <v>3352</v>
      </c>
      <c r="I27" s="3029" t="s">
        <v>3183</v>
      </c>
      <c r="J27" s="3029">
        <v>39735</v>
      </c>
      <c r="K27" s="3029">
        <v>87417</v>
      </c>
      <c r="L27" s="3029">
        <v>2.2000000000000002</v>
      </c>
      <c r="M27" s="3029" t="s">
        <v>1298</v>
      </c>
      <c r="N27" s="3029" t="s">
        <v>3155</v>
      </c>
      <c r="O27" s="3029" t="s">
        <v>3353</v>
      </c>
      <c r="P27" s="3029" t="s">
        <v>1298</v>
      </c>
      <c r="Q27" s="3029" t="s">
        <v>1298</v>
      </c>
      <c r="R27" s="3029" t="s">
        <v>1298</v>
      </c>
      <c r="S27" s="3029" t="s">
        <v>1298</v>
      </c>
      <c r="T27" s="3029" t="s">
        <v>3186</v>
      </c>
      <c r="U27" s="3029" t="s">
        <v>3187</v>
      </c>
      <c r="V27" s="3029" t="s">
        <v>1298</v>
      </c>
      <c r="W27" s="3029" t="s">
        <v>3171</v>
      </c>
      <c r="X27" s="3029" t="s">
        <v>3346</v>
      </c>
      <c r="Y27" s="3029" t="s">
        <v>3347</v>
      </c>
      <c r="Z27" s="3029" t="s">
        <v>3348</v>
      </c>
      <c r="AA27" s="3029" t="s">
        <v>3348</v>
      </c>
      <c r="AB27" s="3029" t="s">
        <v>3352</v>
      </c>
      <c r="AC27" s="3029" t="s">
        <v>3130</v>
      </c>
      <c r="AD27" s="3029" t="s">
        <v>3162</v>
      </c>
      <c r="AE27" s="3029" t="s">
        <v>3163</v>
      </c>
      <c r="AF27" s="3029">
        <v>51000</v>
      </c>
      <c r="AG27" s="3029">
        <v>170000</v>
      </c>
      <c r="AH27" s="3029">
        <v>172700</v>
      </c>
      <c r="AI27" s="3029">
        <v>2852.23</v>
      </c>
      <c r="AJ27" s="3029">
        <v>2897.53</v>
      </c>
      <c r="AK27" s="3029">
        <v>19447.009999999998</v>
      </c>
      <c r="AL27" s="3029">
        <v>19755.88</v>
      </c>
      <c r="AM27" s="3029" t="s">
        <v>1298</v>
      </c>
      <c r="AN27" s="3029" t="s">
        <v>1298</v>
      </c>
      <c r="AO27" s="3029">
        <v>1.59</v>
      </c>
      <c r="AP27" s="3029" t="s">
        <v>3133</v>
      </c>
      <c r="AQ27" s="3029" t="s">
        <v>1298</v>
      </c>
      <c r="AR27" s="3029" t="s">
        <v>1298</v>
      </c>
      <c r="AS27" s="3029" t="s">
        <v>1298</v>
      </c>
      <c r="AT27" s="3029" t="s">
        <v>3134</v>
      </c>
    </row>
    <row r="28" spans="1:46" s="3029" customFormat="1">
      <c r="A28" s="3029" t="s">
        <v>3354</v>
      </c>
      <c r="B28" s="3029" t="s">
        <v>3115</v>
      </c>
      <c r="C28" s="3029" t="s">
        <v>3179</v>
      </c>
      <c r="D28" s="3029" t="s">
        <v>3117</v>
      </c>
      <c r="E28" s="3029" t="s">
        <v>3258</v>
      </c>
      <c r="F28" s="3029" t="s">
        <v>3259</v>
      </c>
      <c r="G28" s="3029" t="s">
        <v>3120</v>
      </c>
      <c r="H28" s="3029" t="s">
        <v>3355</v>
      </c>
      <c r="I28" s="3029" t="s">
        <v>3183</v>
      </c>
      <c r="J28" s="3029">
        <v>74464</v>
      </c>
      <c r="K28" s="3029">
        <v>119142</v>
      </c>
      <c r="L28" s="3029">
        <v>1.6</v>
      </c>
      <c r="M28" s="3029" t="s">
        <v>1298</v>
      </c>
      <c r="N28" s="3029" t="s">
        <v>3155</v>
      </c>
      <c r="O28" s="3029" t="s">
        <v>3311</v>
      </c>
      <c r="P28" s="3029" t="s">
        <v>1298</v>
      </c>
      <c r="Q28" s="3029" t="s">
        <v>1298</v>
      </c>
      <c r="R28" s="3029" t="s">
        <v>1298</v>
      </c>
      <c r="S28" s="3029" t="s">
        <v>1298</v>
      </c>
      <c r="T28" s="3029" t="s">
        <v>3186</v>
      </c>
      <c r="U28" s="3029" t="s">
        <v>3187</v>
      </c>
      <c r="V28" s="3029" t="s">
        <v>1298</v>
      </c>
      <c r="W28" s="3029" t="s">
        <v>3171</v>
      </c>
      <c r="X28" s="3029" t="s">
        <v>3356</v>
      </c>
      <c r="Y28" s="3029" t="s">
        <v>3357</v>
      </c>
      <c r="Z28" s="3029" t="s">
        <v>3358</v>
      </c>
      <c r="AA28" s="3029" t="s">
        <v>3358</v>
      </c>
      <c r="AB28" s="3029" t="s">
        <v>3355</v>
      </c>
      <c r="AC28" s="3029" t="s">
        <v>3130</v>
      </c>
      <c r="AD28" s="3029" t="s">
        <v>3162</v>
      </c>
      <c r="AE28" s="3029" t="s">
        <v>3163</v>
      </c>
      <c r="AF28" s="3029">
        <v>69000</v>
      </c>
      <c r="AG28" s="3029">
        <v>230000</v>
      </c>
      <c r="AH28" s="3029">
        <v>327500</v>
      </c>
      <c r="AI28" s="3029">
        <v>2059.16</v>
      </c>
      <c r="AJ28" s="3029">
        <v>2932.07</v>
      </c>
      <c r="AK28" s="3029">
        <v>19304.689999999999</v>
      </c>
      <c r="AL28" s="3029">
        <v>27488.2</v>
      </c>
      <c r="AM28" s="3029" t="s">
        <v>1298</v>
      </c>
      <c r="AN28" s="3029" t="s">
        <v>1298</v>
      </c>
      <c r="AO28" s="3029">
        <v>42.39</v>
      </c>
      <c r="AP28" s="3029" t="s">
        <v>3133</v>
      </c>
      <c r="AQ28" s="3029" t="s">
        <v>1298</v>
      </c>
      <c r="AR28" s="3029" t="s">
        <v>1298</v>
      </c>
      <c r="AS28" s="3029" t="s">
        <v>1298</v>
      </c>
      <c r="AT28" s="3029" t="s">
        <v>3177</v>
      </c>
    </row>
    <row r="29" spans="1:46" s="3029" customFormat="1">
      <c r="A29" s="3029" t="s">
        <v>3359</v>
      </c>
      <c r="B29" s="3029" t="s">
        <v>3115</v>
      </c>
      <c r="C29" s="3029" t="s">
        <v>3116</v>
      </c>
      <c r="D29" s="3029" t="s">
        <v>3117</v>
      </c>
      <c r="E29" s="3029" t="s">
        <v>3302</v>
      </c>
      <c r="F29" s="3029" t="s">
        <v>3241</v>
      </c>
      <c r="G29" s="3029" t="s">
        <v>3120</v>
      </c>
      <c r="H29" s="3029" t="s">
        <v>3360</v>
      </c>
      <c r="I29" s="3029" t="s">
        <v>3305</v>
      </c>
      <c r="J29" s="3029">
        <v>39491.11</v>
      </c>
      <c r="K29" s="3029">
        <v>98728</v>
      </c>
      <c r="L29" s="3029">
        <v>2.5</v>
      </c>
      <c r="M29" s="3029" t="s">
        <v>1298</v>
      </c>
      <c r="N29" s="3029" t="s">
        <v>3361</v>
      </c>
      <c r="O29" s="3029" t="s">
        <v>3329</v>
      </c>
      <c r="P29" s="3029" t="s">
        <v>1298</v>
      </c>
      <c r="Q29" s="3029" t="s">
        <v>1298</v>
      </c>
      <c r="R29" s="3029" t="s">
        <v>1298</v>
      </c>
      <c r="S29" s="3029" t="s">
        <v>1298</v>
      </c>
      <c r="T29" s="3029" t="s">
        <v>3186</v>
      </c>
      <c r="U29" s="3029" t="s">
        <v>3187</v>
      </c>
      <c r="V29" s="3029" t="s">
        <v>1298</v>
      </c>
      <c r="W29" s="3029" t="s">
        <v>3362</v>
      </c>
      <c r="X29" s="3029" t="s">
        <v>3363</v>
      </c>
      <c r="Y29" s="3029" t="s">
        <v>3364</v>
      </c>
      <c r="Z29" s="3029" t="s">
        <v>3365</v>
      </c>
      <c r="AA29" s="3029" t="s">
        <v>3365</v>
      </c>
      <c r="AB29" s="3029" t="s">
        <v>3360</v>
      </c>
      <c r="AC29" s="3029" t="s">
        <v>3130</v>
      </c>
      <c r="AD29" s="3029" t="s">
        <v>3366</v>
      </c>
      <c r="AE29" s="3029" t="s">
        <v>3238</v>
      </c>
      <c r="AF29" s="3029">
        <v>72000</v>
      </c>
      <c r="AG29" s="3029">
        <v>266000</v>
      </c>
      <c r="AH29" s="3029">
        <v>302500</v>
      </c>
      <c r="AI29" s="3029">
        <v>4490.46</v>
      </c>
      <c r="AJ29" s="3029">
        <v>5106.63</v>
      </c>
      <c r="AK29" s="3029">
        <v>26942.7</v>
      </c>
      <c r="AL29" s="3029">
        <v>30639.74</v>
      </c>
      <c r="AM29" s="3029" t="s">
        <v>1298</v>
      </c>
      <c r="AN29" s="3029" t="s">
        <v>1298</v>
      </c>
      <c r="AO29" s="3029">
        <v>13.72</v>
      </c>
      <c r="AP29" s="3029" t="s">
        <v>3133</v>
      </c>
      <c r="AQ29" s="3029" t="s">
        <v>1298</v>
      </c>
      <c r="AR29" s="3029" t="s">
        <v>1298</v>
      </c>
      <c r="AS29" s="3029" t="s">
        <v>1298</v>
      </c>
      <c r="AT29" s="3029" t="s">
        <v>3149</v>
      </c>
    </row>
    <row r="30" spans="1:46" s="3029" customFormat="1" hidden="1">
      <c r="A30" s="3029" t="s">
        <v>3367</v>
      </c>
      <c r="B30" s="3029" t="s">
        <v>3115</v>
      </c>
      <c r="C30" s="3029" t="s">
        <v>3179</v>
      </c>
      <c r="D30" s="3029" t="s">
        <v>3117</v>
      </c>
      <c r="E30" s="3029" t="s">
        <v>3368</v>
      </c>
      <c r="F30" s="3029" t="s">
        <v>3241</v>
      </c>
      <c r="G30" s="3029" t="s">
        <v>3369</v>
      </c>
      <c r="H30" s="3029" t="s">
        <v>3370</v>
      </c>
      <c r="I30" s="3029" t="s">
        <v>3183</v>
      </c>
      <c r="J30" s="3029">
        <v>20291.37</v>
      </c>
      <c r="K30" s="3029">
        <v>36524</v>
      </c>
      <c r="L30" s="3029">
        <v>1.8</v>
      </c>
      <c r="M30" s="3029" t="s">
        <v>1298</v>
      </c>
      <c r="N30" s="3029" t="s">
        <v>3371</v>
      </c>
      <c r="O30" s="3029" t="s">
        <v>3311</v>
      </c>
      <c r="P30" s="3029" t="s">
        <v>1298</v>
      </c>
      <c r="Q30" s="3029" t="s">
        <v>1298</v>
      </c>
      <c r="R30" s="3029" t="s">
        <v>1298</v>
      </c>
      <c r="S30" s="3029" t="s">
        <v>3372</v>
      </c>
      <c r="T30" s="3029" t="s">
        <v>3125</v>
      </c>
      <c r="U30" s="3029" t="s">
        <v>3125</v>
      </c>
      <c r="V30" s="3029" t="s">
        <v>1298</v>
      </c>
      <c r="W30" s="3029" t="s">
        <v>3362</v>
      </c>
      <c r="X30" s="3029" t="s">
        <v>3363</v>
      </c>
      <c r="Y30" s="3029" t="s">
        <v>3373</v>
      </c>
      <c r="Z30" s="3029" t="s">
        <v>3373</v>
      </c>
      <c r="AA30" s="3029" t="s">
        <v>3373</v>
      </c>
      <c r="AB30" s="3029" t="s">
        <v>3370</v>
      </c>
      <c r="AC30" s="3029" t="s">
        <v>3130</v>
      </c>
      <c r="AD30" s="3029" t="s">
        <v>3374</v>
      </c>
      <c r="AE30" s="3029" t="s">
        <v>3374</v>
      </c>
      <c r="AF30" s="3029">
        <v>19000</v>
      </c>
      <c r="AG30" s="3029" t="s">
        <v>1298</v>
      </c>
      <c r="AH30" s="3029">
        <v>62800</v>
      </c>
      <c r="AI30" s="3029" t="s">
        <v>1298</v>
      </c>
      <c r="AJ30" s="3029">
        <v>2063.27</v>
      </c>
      <c r="AK30" s="3029" t="s">
        <v>1298</v>
      </c>
      <c r="AL30" s="3029">
        <v>17194.16</v>
      </c>
      <c r="AM30" s="3029" t="s">
        <v>1298</v>
      </c>
      <c r="AN30" s="3029" t="s">
        <v>1298</v>
      </c>
      <c r="AO30" s="3029" t="s">
        <v>1298</v>
      </c>
      <c r="AP30" s="3029" t="s">
        <v>3133</v>
      </c>
      <c r="AQ30" s="3029" t="s">
        <v>1298</v>
      </c>
      <c r="AR30" s="3029" t="s">
        <v>1298</v>
      </c>
      <c r="AS30" s="3029" t="s">
        <v>1298</v>
      </c>
      <c r="AT30" s="3029" t="s">
        <v>3149</v>
      </c>
    </row>
    <row r="31" spans="1:46" s="3029" customFormat="1" hidden="1">
      <c r="A31" s="3029" t="s">
        <v>3375</v>
      </c>
      <c r="B31" s="3029" t="s">
        <v>3115</v>
      </c>
      <c r="C31" s="3029" t="s">
        <v>3179</v>
      </c>
      <c r="D31" s="3029" t="s">
        <v>3117</v>
      </c>
      <c r="E31" s="3029" t="s">
        <v>3341</v>
      </c>
      <c r="F31" s="3029" t="s">
        <v>3342</v>
      </c>
      <c r="G31" s="3029" t="s">
        <v>3120</v>
      </c>
      <c r="H31" s="3029" t="s">
        <v>3376</v>
      </c>
      <c r="I31" s="3029" t="s">
        <v>3183</v>
      </c>
      <c r="J31" s="3029">
        <v>95947</v>
      </c>
      <c r="K31" s="3029">
        <v>211083</v>
      </c>
      <c r="L31" s="3029">
        <v>2.2000000000000002</v>
      </c>
      <c r="M31" s="3029" t="s">
        <v>1298</v>
      </c>
      <c r="N31" s="3029" t="s">
        <v>3155</v>
      </c>
      <c r="O31" s="3029" t="s">
        <v>3353</v>
      </c>
      <c r="P31" s="3029" t="s">
        <v>1298</v>
      </c>
      <c r="Q31" s="3029" t="s">
        <v>1298</v>
      </c>
      <c r="R31" s="3029" t="s">
        <v>1298</v>
      </c>
      <c r="S31" s="3029" t="s">
        <v>3377</v>
      </c>
      <c r="T31" s="3029" t="s">
        <v>3125</v>
      </c>
      <c r="U31" s="3029" t="s">
        <v>3125</v>
      </c>
      <c r="V31" s="3029" t="s">
        <v>1298</v>
      </c>
      <c r="W31" s="3029" t="s">
        <v>3362</v>
      </c>
      <c r="X31" s="3029" t="s">
        <v>3378</v>
      </c>
      <c r="Y31" s="3029" t="s">
        <v>3379</v>
      </c>
      <c r="Z31" s="3029" t="s">
        <v>3380</v>
      </c>
      <c r="AA31" s="3029" t="s">
        <v>3380</v>
      </c>
      <c r="AB31" s="3029" t="s">
        <v>3376</v>
      </c>
      <c r="AC31" s="3029" t="s">
        <v>3130</v>
      </c>
      <c r="AD31" s="3029" t="s">
        <v>3381</v>
      </c>
      <c r="AE31" s="3029" t="s">
        <v>3382</v>
      </c>
      <c r="AF31" s="3029">
        <v>110000</v>
      </c>
      <c r="AG31" s="3029">
        <v>370000</v>
      </c>
      <c r="AH31" s="3029">
        <v>370000</v>
      </c>
      <c r="AI31" s="3029">
        <v>2570.86</v>
      </c>
      <c r="AJ31" s="3029">
        <v>2570.86</v>
      </c>
      <c r="AK31" s="3029">
        <v>17528.650000000001</v>
      </c>
      <c r="AL31" s="3029">
        <v>17528.650000000001</v>
      </c>
      <c r="AM31" s="3029" t="s">
        <v>1298</v>
      </c>
      <c r="AN31" s="3029" t="s">
        <v>1298</v>
      </c>
      <c r="AO31" s="3029">
        <v>0</v>
      </c>
      <c r="AP31" s="3029" t="s">
        <v>3133</v>
      </c>
      <c r="AQ31" s="3029" t="s">
        <v>1298</v>
      </c>
      <c r="AR31" s="3029" t="s">
        <v>1298</v>
      </c>
      <c r="AS31" s="3029" t="s">
        <v>1298</v>
      </c>
      <c r="AT31" s="3029" t="s">
        <v>3177</v>
      </c>
    </row>
    <row r="32" spans="1:46" s="3029" customFormat="1" hidden="1">
      <c r="A32" s="3029" t="s">
        <v>3383</v>
      </c>
      <c r="B32" s="3029" t="s">
        <v>3115</v>
      </c>
      <c r="C32" s="3029" t="s">
        <v>3116</v>
      </c>
      <c r="D32" s="3029" t="s">
        <v>3117</v>
      </c>
      <c r="E32" s="3029" t="s">
        <v>3384</v>
      </c>
      <c r="F32" s="3029" t="s">
        <v>3241</v>
      </c>
      <c r="G32" s="3029" t="s">
        <v>3120</v>
      </c>
      <c r="H32" s="3029" t="s">
        <v>3385</v>
      </c>
      <c r="I32" s="3029" t="s">
        <v>3386</v>
      </c>
      <c r="J32" s="3029">
        <v>90424</v>
      </c>
      <c r="K32" s="3029">
        <v>220105</v>
      </c>
      <c r="L32" s="3029">
        <v>2.4300000000000002</v>
      </c>
      <c r="M32" s="3029" t="s">
        <v>1298</v>
      </c>
      <c r="N32" s="3029" t="s">
        <v>3387</v>
      </c>
      <c r="O32" s="3029" t="s">
        <v>3388</v>
      </c>
      <c r="P32" s="3029" t="s">
        <v>1298</v>
      </c>
      <c r="Q32" s="3029" t="s">
        <v>1298</v>
      </c>
      <c r="R32" s="3029" t="s">
        <v>1298</v>
      </c>
      <c r="S32" s="3029" t="s">
        <v>1298</v>
      </c>
      <c r="T32" s="3029" t="s">
        <v>3389</v>
      </c>
      <c r="U32" s="3029" t="s">
        <v>3187</v>
      </c>
      <c r="V32" s="3029" t="s">
        <v>1298</v>
      </c>
      <c r="W32" s="3029" t="s">
        <v>3362</v>
      </c>
      <c r="X32" s="3029" t="s">
        <v>3390</v>
      </c>
      <c r="Y32" s="3029" t="s">
        <v>3391</v>
      </c>
      <c r="Z32" s="3029" t="s">
        <v>3392</v>
      </c>
      <c r="AA32" s="3029" t="s">
        <v>3392</v>
      </c>
      <c r="AB32" s="3029" t="s">
        <v>3385</v>
      </c>
      <c r="AC32" s="3029" t="s">
        <v>3130</v>
      </c>
      <c r="AD32" s="3029" t="s">
        <v>3393</v>
      </c>
      <c r="AE32" s="3029" t="s">
        <v>3308</v>
      </c>
      <c r="AF32" s="3029">
        <v>110000</v>
      </c>
      <c r="AG32" s="3029">
        <v>360000</v>
      </c>
      <c r="AH32" s="3029">
        <v>360000</v>
      </c>
      <c r="AI32" s="3029">
        <v>2654.16</v>
      </c>
      <c r="AJ32" s="3029">
        <v>2654.16</v>
      </c>
      <c r="AK32" s="3029">
        <v>16355.82</v>
      </c>
      <c r="AL32" s="3029">
        <v>16355.82</v>
      </c>
      <c r="AM32" s="3029" t="s">
        <v>1298</v>
      </c>
      <c r="AN32" s="3029" t="s">
        <v>1298</v>
      </c>
      <c r="AO32" s="3029">
        <v>0</v>
      </c>
      <c r="AP32" s="3029" t="s">
        <v>3133</v>
      </c>
      <c r="AQ32" s="3029" t="s">
        <v>1298</v>
      </c>
      <c r="AR32" s="3029" t="s">
        <v>1298</v>
      </c>
      <c r="AS32" s="3029" t="s">
        <v>1298</v>
      </c>
      <c r="AT32" s="3029" t="s">
        <v>3149</v>
      </c>
    </row>
    <row r="33" spans="1:46" s="3029" customFormat="1" hidden="1">
      <c r="A33" s="3029" t="s">
        <v>3394</v>
      </c>
      <c r="B33" s="3029" t="s">
        <v>3115</v>
      </c>
      <c r="C33" s="3029" t="s">
        <v>3116</v>
      </c>
      <c r="D33" s="3029" t="s">
        <v>3117</v>
      </c>
      <c r="E33" s="3029" t="s">
        <v>3118</v>
      </c>
      <c r="F33" s="3029" t="s">
        <v>3395</v>
      </c>
      <c r="G33" s="3029" t="s">
        <v>3120</v>
      </c>
      <c r="H33" s="3029" t="s">
        <v>3396</v>
      </c>
      <c r="I33" s="3029" t="s">
        <v>3225</v>
      </c>
      <c r="J33" s="3029">
        <v>37662.699999999997</v>
      </c>
      <c r="K33" s="3029">
        <v>69250.399999999994</v>
      </c>
      <c r="L33" s="3029">
        <v>1.84</v>
      </c>
      <c r="M33" s="3029" t="s">
        <v>1298</v>
      </c>
      <c r="N33" s="3029" t="s">
        <v>3344</v>
      </c>
      <c r="O33" s="3029" t="s">
        <v>3397</v>
      </c>
      <c r="P33" s="3029" t="s">
        <v>1298</v>
      </c>
      <c r="Q33" s="3029" t="s">
        <v>1298</v>
      </c>
      <c r="R33" s="3029" t="s">
        <v>1298</v>
      </c>
      <c r="S33" s="3029" t="s">
        <v>1298</v>
      </c>
      <c r="T33" s="3029" t="s">
        <v>3186</v>
      </c>
      <c r="U33" s="3029" t="s">
        <v>3398</v>
      </c>
      <c r="V33" s="3029" t="s">
        <v>1298</v>
      </c>
      <c r="W33" s="3029" t="s">
        <v>3362</v>
      </c>
      <c r="X33" s="3029" t="s">
        <v>3399</v>
      </c>
      <c r="Y33" s="3029" t="s">
        <v>3400</v>
      </c>
      <c r="Z33" s="3029" t="s">
        <v>3401</v>
      </c>
      <c r="AA33" s="3029" t="s">
        <v>3401</v>
      </c>
      <c r="AB33" s="3029" t="s">
        <v>3396</v>
      </c>
      <c r="AC33" s="3029" t="s">
        <v>3130</v>
      </c>
      <c r="AD33" s="3029" t="s">
        <v>3402</v>
      </c>
      <c r="AE33" s="3029" t="s">
        <v>3334</v>
      </c>
      <c r="AF33" s="3029">
        <v>55000</v>
      </c>
      <c r="AG33" s="3029">
        <v>181000</v>
      </c>
      <c r="AH33" s="3029">
        <v>246000</v>
      </c>
      <c r="AI33" s="3029">
        <v>3203.88</v>
      </c>
      <c r="AJ33" s="3029">
        <v>4354.4399999999996</v>
      </c>
      <c r="AK33" s="3029">
        <v>26137.03</v>
      </c>
      <c r="AL33" s="3029">
        <v>35523.26</v>
      </c>
      <c r="AM33" s="3029" t="s">
        <v>1298</v>
      </c>
      <c r="AN33" s="3029" t="s">
        <v>1298</v>
      </c>
      <c r="AO33" s="3029">
        <v>35.909999999999997</v>
      </c>
      <c r="AP33" s="3029" t="s">
        <v>3133</v>
      </c>
      <c r="AQ33" s="3029" t="s">
        <v>1298</v>
      </c>
      <c r="AR33" s="3029">
        <v>22</v>
      </c>
      <c r="AS33" s="3029" t="s">
        <v>1298</v>
      </c>
      <c r="AT33" s="3029" t="s">
        <v>3134</v>
      </c>
    </row>
    <row r="34" spans="1:46" s="3029" customFormat="1" hidden="1">
      <c r="A34" s="3029" t="s">
        <v>3403</v>
      </c>
      <c r="B34" s="3029" t="s">
        <v>3115</v>
      </c>
      <c r="C34" s="3029" t="s">
        <v>3116</v>
      </c>
      <c r="D34" s="3029" t="s">
        <v>3117</v>
      </c>
      <c r="E34" s="3029" t="s">
        <v>3118</v>
      </c>
      <c r="F34" s="3029" t="s">
        <v>3404</v>
      </c>
      <c r="G34" s="3029" t="s">
        <v>3120</v>
      </c>
      <c r="H34" s="3029" t="s">
        <v>3405</v>
      </c>
      <c r="I34" s="3029" t="s">
        <v>3194</v>
      </c>
      <c r="J34" s="3029">
        <v>48377.1</v>
      </c>
      <c r="K34" s="3029">
        <v>87296.2</v>
      </c>
      <c r="L34" s="3029">
        <v>1.8</v>
      </c>
      <c r="M34" s="3029" t="s">
        <v>1298</v>
      </c>
      <c r="N34" s="3029" t="s">
        <v>3155</v>
      </c>
      <c r="O34" s="3029" t="s">
        <v>3406</v>
      </c>
      <c r="P34" s="3029" t="s">
        <v>1298</v>
      </c>
      <c r="Q34" s="3029" t="s">
        <v>1298</v>
      </c>
      <c r="R34" s="3029" t="s">
        <v>1298</v>
      </c>
      <c r="S34" s="3029" t="s">
        <v>3407</v>
      </c>
      <c r="T34" s="3029" t="s">
        <v>3125</v>
      </c>
      <c r="U34" s="3029" t="s">
        <v>3125</v>
      </c>
      <c r="V34" s="3029" t="s">
        <v>1298</v>
      </c>
      <c r="W34" s="3029" t="s">
        <v>3362</v>
      </c>
      <c r="X34" s="3029" t="s">
        <v>3399</v>
      </c>
      <c r="Y34" s="3029" t="s">
        <v>3400</v>
      </c>
      <c r="Z34" s="3029" t="s">
        <v>3401</v>
      </c>
      <c r="AA34" s="3029" t="s">
        <v>3401</v>
      </c>
      <c r="AB34" s="3029" t="s">
        <v>3405</v>
      </c>
      <c r="AC34" s="3029" t="s">
        <v>3130</v>
      </c>
      <c r="AD34" s="3029" t="s">
        <v>3408</v>
      </c>
      <c r="AE34" s="3029" t="s">
        <v>3408</v>
      </c>
      <c r="AF34" s="3029">
        <v>48000</v>
      </c>
      <c r="AG34" s="3029">
        <v>160000</v>
      </c>
      <c r="AH34" s="3029">
        <v>222000</v>
      </c>
      <c r="AI34" s="3029">
        <v>2204.9</v>
      </c>
      <c r="AJ34" s="3029">
        <v>3059.3</v>
      </c>
      <c r="AK34" s="3029">
        <v>18328.400000000001</v>
      </c>
      <c r="AL34" s="3029">
        <v>25430.65</v>
      </c>
      <c r="AM34" s="3029" t="s">
        <v>1298</v>
      </c>
      <c r="AN34" s="3029" t="s">
        <v>1298</v>
      </c>
      <c r="AO34" s="3029">
        <v>38.75</v>
      </c>
      <c r="AP34" s="3029" t="s">
        <v>3133</v>
      </c>
      <c r="AQ34" s="3029" t="s">
        <v>1298</v>
      </c>
      <c r="AR34" s="3029" t="s">
        <v>1298</v>
      </c>
      <c r="AS34" s="3029" t="s">
        <v>1298</v>
      </c>
      <c r="AT34" s="3029" t="s">
        <v>3134</v>
      </c>
    </row>
    <row r="35" spans="1:46" s="3029" customFormat="1" hidden="1">
      <c r="A35" s="3029" t="s">
        <v>3409</v>
      </c>
      <c r="B35" s="3029" t="s">
        <v>3115</v>
      </c>
      <c r="C35" s="3029" t="s">
        <v>3179</v>
      </c>
      <c r="D35" s="3029" t="s">
        <v>3117</v>
      </c>
      <c r="E35" s="3029" t="s">
        <v>3118</v>
      </c>
      <c r="F35" s="3029" t="s">
        <v>3410</v>
      </c>
      <c r="G35" s="3029" t="s">
        <v>3120</v>
      </c>
      <c r="H35" s="3029" t="s">
        <v>3411</v>
      </c>
      <c r="I35" s="3029" t="s">
        <v>3183</v>
      </c>
      <c r="J35" s="3029">
        <v>92065.1</v>
      </c>
      <c r="K35" s="3029">
        <v>165717.20000000001</v>
      </c>
      <c r="L35" s="3029">
        <v>1.8</v>
      </c>
      <c r="M35" s="3029" t="s">
        <v>1298</v>
      </c>
      <c r="N35" s="3029" t="s">
        <v>3155</v>
      </c>
      <c r="O35" s="3029" t="s">
        <v>3412</v>
      </c>
      <c r="P35" s="3029" t="s">
        <v>1298</v>
      </c>
      <c r="Q35" s="3029" t="s">
        <v>1298</v>
      </c>
      <c r="R35" s="3029" t="s">
        <v>1298</v>
      </c>
      <c r="S35" s="3029" t="s">
        <v>1298</v>
      </c>
      <c r="T35" s="3029" t="s">
        <v>3186</v>
      </c>
      <c r="U35" s="3029" t="s">
        <v>3398</v>
      </c>
      <c r="V35" s="3029" t="s">
        <v>1298</v>
      </c>
      <c r="W35" s="3029" t="s">
        <v>3362</v>
      </c>
      <c r="X35" s="3029" t="s">
        <v>3413</v>
      </c>
      <c r="Y35" s="3029" t="s">
        <v>3399</v>
      </c>
      <c r="Z35" s="3029" t="s">
        <v>3400</v>
      </c>
      <c r="AA35" s="3029" t="s">
        <v>3400</v>
      </c>
      <c r="AB35" s="3029" t="s">
        <v>3414</v>
      </c>
      <c r="AC35" s="3029" t="s">
        <v>3130</v>
      </c>
      <c r="AD35" s="3029" t="s">
        <v>3415</v>
      </c>
      <c r="AE35" s="3029" t="s">
        <v>3416</v>
      </c>
      <c r="AF35" s="3029">
        <v>140000</v>
      </c>
      <c r="AG35" s="3029">
        <v>464000</v>
      </c>
      <c r="AH35" s="3029">
        <v>629000</v>
      </c>
      <c r="AI35" s="3029">
        <v>3359.94</v>
      </c>
      <c r="AJ35" s="3029">
        <v>4554.75</v>
      </c>
      <c r="AK35" s="3029">
        <v>27999.5</v>
      </c>
      <c r="AL35" s="3029">
        <v>37956.230000000003</v>
      </c>
      <c r="AM35" s="3029" t="s">
        <v>1298</v>
      </c>
      <c r="AN35" s="3029" t="s">
        <v>1298</v>
      </c>
      <c r="AO35" s="3029">
        <v>35.56</v>
      </c>
      <c r="AP35" s="3029" t="s">
        <v>3133</v>
      </c>
      <c r="AQ35" s="3029" t="s">
        <v>1298</v>
      </c>
      <c r="AR35" s="3029">
        <v>2</v>
      </c>
      <c r="AS35" s="3029" t="s">
        <v>1298</v>
      </c>
      <c r="AT35" s="3029" t="s">
        <v>3134</v>
      </c>
    </row>
    <row r="36" spans="1:46" s="3029" customFormat="1" hidden="1">
      <c r="A36" s="3029" t="s">
        <v>3417</v>
      </c>
      <c r="B36" s="3029" t="s">
        <v>3115</v>
      </c>
      <c r="C36" s="3029" t="s">
        <v>3116</v>
      </c>
      <c r="D36" s="3029" t="s">
        <v>3117</v>
      </c>
      <c r="E36" s="3029" t="s">
        <v>1298</v>
      </c>
      <c r="F36" s="3029" t="s">
        <v>3418</v>
      </c>
      <c r="G36" s="3029" t="s">
        <v>3120</v>
      </c>
      <c r="H36" s="3029" t="s">
        <v>3419</v>
      </c>
      <c r="I36" s="3029" t="s">
        <v>3420</v>
      </c>
      <c r="J36" s="3029">
        <v>76286.2</v>
      </c>
      <c r="K36" s="3029">
        <v>181983.1</v>
      </c>
      <c r="L36" s="3029">
        <v>2.5</v>
      </c>
      <c r="M36" s="3029" t="s">
        <v>1298</v>
      </c>
      <c r="N36" s="3029" t="s">
        <v>1298</v>
      </c>
      <c r="O36" s="3029" t="s">
        <v>1298</v>
      </c>
      <c r="P36" s="3029" t="s">
        <v>1298</v>
      </c>
      <c r="Q36" s="3029" t="s">
        <v>1298</v>
      </c>
      <c r="R36" s="3029" t="s">
        <v>1298</v>
      </c>
      <c r="S36" s="3029" t="s">
        <v>1298</v>
      </c>
      <c r="T36" s="3029" t="s">
        <v>3186</v>
      </c>
      <c r="U36" s="3029" t="s">
        <v>3187</v>
      </c>
      <c r="V36" s="3029" t="s">
        <v>1298</v>
      </c>
      <c r="W36" s="3029" t="s">
        <v>3362</v>
      </c>
      <c r="X36" s="3029" t="s">
        <v>3421</v>
      </c>
      <c r="Y36" s="3029" t="s">
        <v>3422</v>
      </c>
      <c r="Z36" s="3029" t="s">
        <v>3423</v>
      </c>
      <c r="AA36" s="3029" t="s">
        <v>3423</v>
      </c>
      <c r="AB36" s="3029" t="s">
        <v>3419</v>
      </c>
      <c r="AC36" s="3029" t="s">
        <v>3130</v>
      </c>
      <c r="AD36" s="3029" t="s">
        <v>3424</v>
      </c>
      <c r="AE36" s="3029" t="s">
        <v>3425</v>
      </c>
      <c r="AF36" s="3029">
        <v>144000</v>
      </c>
      <c r="AG36" s="3029">
        <v>478000</v>
      </c>
      <c r="AH36" s="3029">
        <v>716500</v>
      </c>
      <c r="AI36" s="3029">
        <v>4177.25</v>
      </c>
      <c r="AJ36" s="3029">
        <v>6261.51</v>
      </c>
      <c r="AK36" s="3029">
        <v>26266.17</v>
      </c>
      <c r="AL36" s="3029">
        <v>39371.79</v>
      </c>
      <c r="AM36" s="3029" t="s">
        <v>1298</v>
      </c>
      <c r="AN36" s="3029" t="s">
        <v>1298</v>
      </c>
      <c r="AO36" s="3029">
        <v>49.9</v>
      </c>
      <c r="AP36" s="3029" t="s">
        <v>3133</v>
      </c>
      <c r="AQ36" s="3029" t="s">
        <v>1298</v>
      </c>
      <c r="AR36" s="3029" t="s">
        <v>1298</v>
      </c>
      <c r="AS36" s="3029" t="s">
        <v>1298</v>
      </c>
      <c r="AT36" s="3029" t="s">
        <v>3149</v>
      </c>
    </row>
    <row r="37" spans="1:46" s="3029" customFormat="1" hidden="1">
      <c r="A37" s="3029" t="s">
        <v>3426</v>
      </c>
      <c r="B37" s="3029" t="s">
        <v>3115</v>
      </c>
      <c r="C37" s="3029" t="s">
        <v>3116</v>
      </c>
      <c r="D37" s="3029" t="s">
        <v>3117</v>
      </c>
      <c r="E37" s="3029" t="s">
        <v>3368</v>
      </c>
      <c r="F37" s="3029" t="s">
        <v>3427</v>
      </c>
      <c r="G37" s="3029" t="s">
        <v>3120</v>
      </c>
      <c r="H37" s="3029" t="s">
        <v>3428</v>
      </c>
      <c r="I37" s="3029" t="s">
        <v>3305</v>
      </c>
      <c r="J37" s="3029">
        <v>28212.35</v>
      </c>
      <c r="K37" s="3029">
        <v>70531</v>
      </c>
      <c r="L37" s="3029">
        <v>2.5</v>
      </c>
      <c r="M37" s="3029" t="s">
        <v>1298</v>
      </c>
      <c r="N37" s="3029" t="s">
        <v>3155</v>
      </c>
      <c r="O37" s="3029" t="s">
        <v>3329</v>
      </c>
      <c r="P37" s="3029" t="s">
        <v>1298</v>
      </c>
      <c r="Q37" s="3029" t="s">
        <v>1298</v>
      </c>
      <c r="R37" s="3029" t="s">
        <v>1298</v>
      </c>
      <c r="S37" s="3029" t="s">
        <v>1298</v>
      </c>
      <c r="T37" s="3029" t="s">
        <v>3186</v>
      </c>
      <c r="U37" s="3029" t="s">
        <v>3187</v>
      </c>
      <c r="V37" s="3029" t="s">
        <v>1298</v>
      </c>
      <c r="W37" s="3029" t="s">
        <v>3362</v>
      </c>
      <c r="X37" s="3029" t="s">
        <v>3429</v>
      </c>
      <c r="Y37" s="3029" t="s">
        <v>3430</v>
      </c>
      <c r="Z37" s="3029" t="s">
        <v>3431</v>
      </c>
      <c r="AA37" s="3029" t="s">
        <v>3431</v>
      </c>
      <c r="AB37" s="3029" t="s">
        <v>3428</v>
      </c>
      <c r="AC37" s="3029" t="s">
        <v>3130</v>
      </c>
      <c r="AD37" s="3029" t="s">
        <v>3432</v>
      </c>
      <c r="AE37" s="3029" t="s">
        <v>3433</v>
      </c>
      <c r="AF37" s="3029">
        <v>57000</v>
      </c>
      <c r="AG37" s="3029">
        <v>190000</v>
      </c>
      <c r="AH37" s="3029">
        <v>270000</v>
      </c>
      <c r="AI37" s="3029">
        <v>4489.76</v>
      </c>
      <c r="AJ37" s="3029">
        <v>6380.18</v>
      </c>
      <c r="AK37" s="3029">
        <v>26938.5</v>
      </c>
      <c r="AL37" s="3029">
        <v>38281.040000000001</v>
      </c>
      <c r="AM37" s="3029" t="s">
        <v>1298</v>
      </c>
      <c r="AN37" s="3029" t="s">
        <v>1298</v>
      </c>
      <c r="AO37" s="3029">
        <v>42.11</v>
      </c>
      <c r="AP37" s="3029" t="s">
        <v>3133</v>
      </c>
      <c r="AQ37" s="3029" t="s">
        <v>1298</v>
      </c>
      <c r="AR37" s="3029" t="s">
        <v>1298</v>
      </c>
      <c r="AS37" s="3029" t="s">
        <v>1298</v>
      </c>
      <c r="AT37" s="3029" t="s">
        <v>3215</v>
      </c>
    </row>
    <row r="38" spans="1:46" s="3029" customFormat="1" hidden="1">
      <c r="A38" s="3029" t="s">
        <v>3434</v>
      </c>
      <c r="B38" s="3029" t="s">
        <v>3115</v>
      </c>
      <c r="C38" s="3029" t="s">
        <v>3116</v>
      </c>
      <c r="D38" s="3029" t="s">
        <v>3117</v>
      </c>
      <c r="E38" s="3029" t="s">
        <v>3118</v>
      </c>
      <c r="F38" s="3029" t="s">
        <v>3119</v>
      </c>
      <c r="G38" s="3029" t="s">
        <v>3120</v>
      </c>
      <c r="H38" s="3029" t="s">
        <v>3435</v>
      </c>
      <c r="I38" s="3029" t="s">
        <v>3225</v>
      </c>
      <c r="J38" s="3029">
        <v>75065.42</v>
      </c>
      <c r="K38" s="3029">
        <v>133506</v>
      </c>
      <c r="L38" s="3029" t="s">
        <v>3436</v>
      </c>
      <c r="M38" s="3029" t="s">
        <v>1298</v>
      </c>
      <c r="N38" s="3029" t="s">
        <v>3155</v>
      </c>
      <c r="O38" s="3029" t="s">
        <v>1298</v>
      </c>
      <c r="P38" s="3029" t="s">
        <v>1298</v>
      </c>
      <c r="Q38" s="3029" t="s">
        <v>1298</v>
      </c>
      <c r="R38" s="3029" t="s">
        <v>1298</v>
      </c>
      <c r="S38" s="3029" t="s">
        <v>1298</v>
      </c>
      <c r="T38" s="3029" t="s">
        <v>3186</v>
      </c>
      <c r="U38" s="3029" t="s">
        <v>3398</v>
      </c>
      <c r="V38" s="3029" t="s">
        <v>1298</v>
      </c>
      <c r="W38" s="3029" t="s">
        <v>3362</v>
      </c>
      <c r="X38" s="3029" t="s">
        <v>3437</v>
      </c>
      <c r="Y38" s="3029" t="s">
        <v>3438</v>
      </c>
      <c r="Z38" s="3029" t="s">
        <v>3439</v>
      </c>
      <c r="AA38" s="3029" t="s">
        <v>3439</v>
      </c>
      <c r="AB38" s="3029" t="s">
        <v>3435</v>
      </c>
      <c r="AC38" s="3029" t="s">
        <v>3130</v>
      </c>
      <c r="AD38" s="3029" t="s">
        <v>3440</v>
      </c>
      <c r="AE38" s="3029" t="s">
        <v>3441</v>
      </c>
      <c r="AF38" s="3029">
        <v>96000</v>
      </c>
      <c r="AG38" s="3029">
        <v>320000</v>
      </c>
      <c r="AH38" s="3029">
        <v>479000</v>
      </c>
      <c r="AI38" s="3029">
        <v>2841.97</v>
      </c>
      <c r="AJ38" s="3029">
        <v>4254.07</v>
      </c>
      <c r="AK38" s="3029">
        <v>23968.95</v>
      </c>
      <c r="AL38" s="3029">
        <v>35878.54</v>
      </c>
      <c r="AM38" s="3029" t="s">
        <v>1298</v>
      </c>
      <c r="AN38" s="3029" t="s">
        <v>1298</v>
      </c>
      <c r="AO38" s="3029">
        <v>49.69</v>
      </c>
      <c r="AP38" s="3029" t="s">
        <v>3133</v>
      </c>
      <c r="AQ38" s="3029" t="s">
        <v>1298</v>
      </c>
      <c r="AR38" s="3029">
        <v>26</v>
      </c>
      <c r="AS38" s="3029" t="s">
        <v>1298</v>
      </c>
      <c r="AT38" s="3029" t="s">
        <v>3149</v>
      </c>
    </row>
    <row r="39" spans="1:46" s="3029" customFormat="1" hidden="1">
      <c r="A39" s="3029" t="s">
        <v>3442</v>
      </c>
      <c r="B39" s="3029" t="s">
        <v>3115</v>
      </c>
      <c r="C39" s="3029" t="s">
        <v>3116</v>
      </c>
      <c r="D39" s="3029" t="s">
        <v>3117</v>
      </c>
      <c r="E39" s="3029" t="s">
        <v>3368</v>
      </c>
      <c r="F39" s="3029" t="s">
        <v>3427</v>
      </c>
      <c r="G39" s="3029" t="s">
        <v>3120</v>
      </c>
      <c r="H39" s="3029" t="s">
        <v>3443</v>
      </c>
      <c r="I39" s="3029" t="s">
        <v>3305</v>
      </c>
      <c r="J39" s="3029">
        <v>22717.91</v>
      </c>
      <c r="K39" s="3029">
        <v>56795</v>
      </c>
      <c r="L39" s="3029">
        <v>2.5</v>
      </c>
      <c r="M39" s="3029" t="s">
        <v>1298</v>
      </c>
      <c r="N39" s="3029" t="s">
        <v>3155</v>
      </c>
      <c r="O39" s="3029" t="s">
        <v>3329</v>
      </c>
      <c r="P39" s="3029" t="s">
        <v>1298</v>
      </c>
      <c r="Q39" s="3029" t="s">
        <v>1298</v>
      </c>
      <c r="R39" s="3029" t="s">
        <v>1298</v>
      </c>
      <c r="S39" s="3029" t="s">
        <v>1298</v>
      </c>
      <c r="T39" s="3029" t="s">
        <v>3186</v>
      </c>
      <c r="U39" s="3029" t="s">
        <v>3398</v>
      </c>
      <c r="V39" s="3029" t="s">
        <v>1298</v>
      </c>
      <c r="W39" s="3029" t="s">
        <v>3362</v>
      </c>
      <c r="X39" s="3029" t="s">
        <v>3437</v>
      </c>
      <c r="Y39" s="3029" t="s">
        <v>3438</v>
      </c>
      <c r="Z39" s="3029" t="s">
        <v>3439</v>
      </c>
      <c r="AA39" s="3029" t="s">
        <v>3439</v>
      </c>
      <c r="AB39" s="3029" t="s">
        <v>3443</v>
      </c>
      <c r="AC39" s="3029" t="s">
        <v>3130</v>
      </c>
      <c r="AD39" s="3029" t="s">
        <v>3444</v>
      </c>
      <c r="AE39" s="3029" t="s">
        <v>3445</v>
      </c>
      <c r="AF39" s="3029">
        <v>46000</v>
      </c>
      <c r="AG39" s="3029">
        <v>153000</v>
      </c>
      <c r="AH39" s="3029">
        <v>229000</v>
      </c>
      <c r="AI39" s="3029">
        <v>4489.8500000000004</v>
      </c>
      <c r="AJ39" s="3029">
        <v>6720.1</v>
      </c>
      <c r="AK39" s="3029">
        <v>26938.99</v>
      </c>
      <c r="AL39" s="3029">
        <v>40320.44</v>
      </c>
      <c r="AM39" s="3029" t="s">
        <v>1298</v>
      </c>
      <c r="AN39" s="3029" t="s">
        <v>1298</v>
      </c>
      <c r="AO39" s="3029">
        <v>49.67</v>
      </c>
      <c r="AP39" s="3029" t="s">
        <v>3133</v>
      </c>
      <c r="AQ39" s="3029" t="s">
        <v>1298</v>
      </c>
      <c r="AR39" s="3029">
        <v>6</v>
      </c>
      <c r="AS39" s="3029" t="s">
        <v>1298</v>
      </c>
      <c r="AT39" s="3029" t="s">
        <v>3215</v>
      </c>
    </row>
    <row r="40" spans="1:46" s="3029" customFormat="1" hidden="1">
      <c r="A40" s="3029" t="s">
        <v>3446</v>
      </c>
      <c r="B40" s="3029" t="s">
        <v>3115</v>
      </c>
      <c r="C40" s="3029" t="s">
        <v>3116</v>
      </c>
      <c r="D40" s="3029" t="s">
        <v>3117</v>
      </c>
      <c r="E40" s="3029" t="s">
        <v>3368</v>
      </c>
      <c r="F40" s="3029" t="s">
        <v>3427</v>
      </c>
      <c r="G40" s="3029" t="s">
        <v>3120</v>
      </c>
      <c r="H40" s="3029" t="s">
        <v>3447</v>
      </c>
      <c r="I40" s="3029" t="s">
        <v>3305</v>
      </c>
      <c r="J40" s="3029">
        <v>31048.69</v>
      </c>
      <c r="K40" s="3029">
        <v>77622</v>
      </c>
      <c r="L40" s="3029">
        <v>2.5</v>
      </c>
      <c r="M40" s="3029" t="s">
        <v>3448</v>
      </c>
      <c r="N40" s="3029" t="s">
        <v>3155</v>
      </c>
      <c r="O40" s="3029" t="s">
        <v>3329</v>
      </c>
      <c r="P40" s="3029" t="s">
        <v>1298</v>
      </c>
      <c r="Q40" s="3029" t="s">
        <v>1298</v>
      </c>
      <c r="R40" s="3029" t="s">
        <v>1298</v>
      </c>
      <c r="S40" s="3029" t="s">
        <v>3449</v>
      </c>
      <c r="T40" s="3029" t="s">
        <v>3125</v>
      </c>
      <c r="U40" s="3029" t="s">
        <v>3125</v>
      </c>
      <c r="V40" s="3029" t="s">
        <v>1298</v>
      </c>
      <c r="W40" s="3029" t="s">
        <v>3362</v>
      </c>
      <c r="X40" s="3029" t="s">
        <v>3450</v>
      </c>
      <c r="Y40" s="3029" t="s">
        <v>3451</v>
      </c>
      <c r="Z40" s="3029" t="s">
        <v>3422</v>
      </c>
      <c r="AA40" s="3029" t="s">
        <v>3422</v>
      </c>
      <c r="AB40" s="3029" t="s">
        <v>3447</v>
      </c>
      <c r="AC40" s="3029" t="s">
        <v>3130</v>
      </c>
      <c r="AD40" s="3029" t="s">
        <v>3267</v>
      </c>
      <c r="AE40" s="3029" t="s">
        <v>3452</v>
      </c>
      <c r="AF40" s="3029">
        <v>43500</v>
      </c>
      <c r="AG40" s="3029">
        <v>145000</v>
      </c>
      <c r="AH40" s="3029">
        <v>146500</v>
      </c>
      <c r="AI40" s="3029">
        <v>3113.39</v>
      </c>
      <c r="AJ40" s="3029">
        <v>3145.6</v>
      </c>
      <c r="AK40" s="3029">
        <v>18680.27</v>
      </c>
      <c r="AL40" s="3029">
        <v>18873.52</v>
      </c>
      <c r="AM40" s="3029" t="s">
        <v>1298</v>
      </c>
      <c r="AN40" s="3029" t="s">
        <v>1298</v>
      </c>
      <c r="AO40" s="3029">
        <v>1.03</v>
      </c>
      <c r="AP40" s="3029" t="s">
        <v>3133</v>
      </c>
      <c r="AQ40" s="3029" t="s">
        <v>1298</v>
      </c>
      <c r="AR40" s="3029" t="s">
        <v>1298</v>
      </c>
      <c r="AS40" s="3029" t="s">
        <v>1298</v>
      </c>
      <c r="AT40" s="3029" t="s">
        <v>3215</v>
      </c>
    </row>
    <row r="41" spans="1:46" s="3029" customFormat="1" hidden="1">
      <c r="A41" s="3029" t="s">
        <v>3453</v>
      </c>
      <c r="B41" s="3029" t="s">
        <v>3115</v>
      </c>
      <c r="C41" s="3029" t="s">
        <v>3116</v>
      </c>
      <c r="D41" s="3029" t="s">
        <v>3117</v>
      </c>
      <c r="E41" s="3029" t="s">
        <v>3118</v>
      </c>
      <c r="F41" s="3029" t="s">
        <v>3454</v>
      </c>
      <c r="G41" s="3029" t="s">
        <v>3120</v>
      </c>
      <c r="H41" s="3029" t="s">
        <v>3455</v>
      </c>
      <c r="I41" s="3029" t="s">
        <v>3456</v>
      </c>
      <c r="J41" s="3029">
        <v>40985.61</v>
      </c>
      <c r="K41" s="3029">
        <v>81971</v>
      </c>
      <c r="L41" s="3029">
        <v>2</v>
      </c>
      <c r="M41" s="3029" t="s">
        <v>1298</v>
      </c>
      <c r="N41" s="3029" t="s">
        <v>3448</v>
      </c>
      <c r="O41" s="3029">
        <v>45</v>
      </c>
      <c r="P41" s="3029" t="s">
        <v>1298</v>
      </c>
      <c r="Q41" s="3029" t="s">
        <v>1298</v>
      </c>
      <c r="R41" s="3029" t="s">
        <v>1298</v>
      </c>
      <c r="S41" s="3029" t="s">
        <v>1298</v>
      </c>
      <c r="T41" s="3029" t="s">
        <v>3457</v>
      </c>
      <c r="U41" s="3029" t="s">
        <v>3458</v>
      </c>
      <c r="V41" s="3029" t="s">
        <v>1298</v>
      </c>
      <c r="W41" s="3029" t="s">
        <v>3362</v>
      </c>
      <c r="X41" s="3029" t="s">
        <v>3459</v>
      </c>
      <c r="Y41" s="3029" t="s">
        <v>3460</v>
      </c>
      <c r="Z41" s="3029" t="s">
        <v>3461</v>
      </c>
      <c r="AA41" s="3029" t="s">
        <v>3461</v>
      </c>
      <c r="AB41" s="3029" t="s">
        <v>3455</v>
      </c>
      <c r="AC41" s="3029" t="s">
        <v>3130</v>
      </c>
      <c r="AD41" s="3029" t="s">
        <v>3462</v>
      </c>
      <c r="AE41" s="3029" t="s">
        <v>3452</v>
      </c>
      <c r="AF41" s="3029">
        <v>50000</v>
      </c>
      <c r="AG41" s="3029">
        <v>168000</v>
      </c>
      <c r="AH41" s="3029">
        <v>168000</v>
      </c>
      <c r="AI41" s="3029">
        <v>2732.67</v>
      </c>
      <c r="AJ41" s="3029">
        <v>2732.67</v>
      </c>
      <c r="AK41" s="3029">
        <v>20495.05</v>
      </c>
      <c r="AL41" s="3029">
        <v>20495.04</v>
      </c>
      <c r="AM41" s="3029" t="s">
        <v>1298</v>
      </c>
      <c r="AN41" s="3029" t="s">
        <v>1298</v>
      </c>
      <c r="AO41" s="3029">
        <v>0</v>
      </c>
      <c r="AP41" s="3029" t="s">
        <v>3133</v>
      </c>
      <c r="AQ41" s="3029" t="s">
        <v>1298</v>
      </c>
      <c r="AR41" s="3029" t="s">
        <v>1298</v>
      </c>
      <c r="AS41" s="3029" t="s">
        <v>1298</v>
      </c>
      <c r="AT41" s="3029" t="s">
        <v>3149</v>
      </c>
    </row>
    <row r="42" spans="1:46" s="3029" customFormat="1" hidden="1">
      <c r="A42" s="3029" t="s">
        <v>3463</v>
      </c>
      <c r="B42" s="3029" t="s">
        <v>3115</v>
      </c>
      <c r="C42" s="3029" t="s">
        <v>3179</v>
      </c>
      <c r="D42" s="3029" t="s">
        <v>3117</v>
      </c>
      <c r="E42" s="3029" t="s">
        <v>3118</v>
      </c>
      <c r="F42" s="3029" t="s">
        <v>3454</v>
      </c>
      <c r="G42" s="3029" t="s">
        <v>3120</v>
      </c>
      <c r="H42" s="3029" t="s">
        <v>3464</v>
      </c>
      <c r="I42" s="3029" t="s">
        <v>3305</v>
      </c>
      <c r="J42" s="3029">
        <v>63029.62</v>
      </c>
      <c r="K42" s="3029">
        <v>126059</v>
      </c>
      <c r="L42" s="3029">
        <v>2</v>
      </c>
      <c r="M42" s="3029" t="s">
        <v>1298</v>
      </c>
      <c r="N42" s="3029" t="s">
        <v>1298</v>
      </c>
      <c r="O42" s="3029" t="s">
        <v>1298</v>
      </c>
      <c r="P42" s="3029" t="s">
        <v>1298</v>
      </c>
      <c r="Q42" s="3029" t="s">
        <v>1298</v>
      </c>
      <c r="R42" s="3029" t="s">
        <v>1298</v>
      </c>
      <c r="S42" s="3029" t="s">
        <v>3465</v>
      </c>
      <c r="T42" s="3029" t="s">
        <v>3125</v>
      </c>
      <c r="U42" s="3029" t="s">
        <v>3125</v>
      </c>
      <c r="V42" s="3029" t="s">
        <v>1298</v>
      </c>
      <c r="W42" s="3029" t="s">
        <v>3362</v>
      </c>
      <c r="X42" s="3029" t="s">
        <v>3466</v>
      </c>
      <c r="Y42" s="3029" t="s">
        <v>3467</v>
      </c>
      <c r="Z42" s="3029" t="s">
        <v>3468</v>
      </c>
      <c r="AA42" s="3029" t="s">
        <v>3468</v>
      </c>
      <c r="AB42" s="3029" t="s">
        <v>3464</v>
      </c>
      <c r="AC42" s="3029" t="s">
        <v>3130</v>
      </c>
      <c r="AD42" s="3029" t="s">
        <v>3469</v>
      </c>
      <c r="AE42" s="3029" t="s">
        <v>1298</v>
      </c>
      <c r="AF42" s="3029">
        <v>72000</v>
      </c>
      <c r="AG42" s="3029">
        <v>240000</v>
      </c>
      <c r="AH42" s="3029">
        <v>380000</v>
      </c>
      <c r="AI42" s="3029">
        <v>2538.4899999999998</v>
      </c>
      <c r="AJ42" s="3029">
        <v>4019.27</v>
      </c>
      <c r="AK42" s="3029">
        <v>19038.7</v>
      </c>
      <c r="AL42" s="3029">
        <v>30144.61</v>
      </c>
      <c r="AM42" s="3029" t="s">
        <v>1298</v>
      </c>
      <c r="AN42" s="3029" t="s">
        <v>1298</v>
      </c>
      <c r="AO42" s="3029">
        <v>58.33</v>
      </c>
      <c r="AP42" s="3029" t="s">
        <v>3470</v>
      </c>
      <c r="AQ42" s="3029" t="s">
        <v>1298</v>
      </c>
      <c r="AR42" s="3029" t="s">
        <v>1298</v>
      </c>
      <c r="AS42" s="3029" t="s">
        <v>1298</v>
      </c>
      <c r="AT42" s="3029" t="s">
        <v>3149</v>
      </c>
    </row>
    <row r="43" spans="1:46" s="3030" customFormat="1">
      <c r="A43" s="3030" t="s">
        <v>3471</v>
      </c>
      <c r="B43" s="3030" t="s">
        <v>3115</v>
      </c>
      <c r="C43" s="3030" t="s">
        <v>3116</v>
      </c>
      <c r="D43" s="3030" t="s">
        <v>3117</v>
      </c>
      <c r="E43" s="3030" t="s">
        <v>3207</v>
      </c>
      <c r="F43" s="3030" t="s">
        <v>3208</v>
      </c>
      <c r="G43" s="3030" t="s">
        <v>3120</v>
      </c>
      <c r="H43" s="3030" t="s">
        <v>3472</v>
      </c>
      <c r="I43" s="3030" t="s">
        <v>3183</v>
      </c>
      <c r="J43" s="3030">
        <v>85956.89</v>
      </c>
      <c r="K43" s="3030">
        <v>182033</v>
      </c>
      <c r="L43" s="3030">
        <v>2.12</v>
      </c>
      <c r="M43" s="3030" t="s">
        <v>1298</v>
      </c>
      <c r="N43" s="3030" t="s">
        <v>1298</v>
      </c>
      <c r="O43" s="3030" t="s">
        <v>1298</v>
      </c>
      <c r="P43" s="3030" t="s">
        <v>1298</v>
      </c>
      <c r="Q43" s="3030" t="s">
        <v>1298</v>
      </c>
      <c r="R43" s="3030" t="s">
        <v>1298</v>
      </c>
      <c r="S43" s="3030" t="s">
        <v>1298</v>
      </c>
      <c r="T43" s="3030" t="s">
        <v>3312</v>
      </c>
      <c r="U43" s="3030" t="s">
        <v>3312</v>
      </c>
      <c r="V43" s="3030" t="s">
        <v>1298</v>
      </c>
      <c r="W43" s="3030" t="s">
        <v>3362</v>
      </c>
      <c r="X43" s="3030" t="s">
        <v>3473</v>
      </c>
      <c r="Y43" s="3030" t="s">
        <v>3466</v>
      </c>
      <c r="Z43" s="3030" t="s">
        <v>3474</v>
      </c>
      <c r="AA43" s="3030" t="s">
        <v>3474</v>
      </c>
      <c r="AB43" s="3030" t="s">
        <v>3472</v>
      </c>
      <c r="AC43" s="3030" t="s">
        <v>3130</v>
      </c>
      <c r="AD43" s="3030" t="s">
        <v>3475</v>
      </c>
      <c r="AE43" s="3030" t="s">
        <v>3476</v>
      </c>
      <c r="AF43" s="3030">
        <v>140000</v>
      </c>
      <c r="AG43" s="3030">
        <v>466000</v>
      </c>
      <c r="AH43" s="3030">
        <v>698000</v>
      </c>
      <c r="AI43" s="3030">
        <v>3614.21</v>
      </c>
      <c r="AJ43" s="3030">
        <v>5413.57</v>
      </c>
      <c r="AK43" s="3030">
        <v>25599.75</v>
      </c>
      <c r="AL43" s="3030">
        <v>38344.69</v>
      </c>
      <c r="AM43" s="3030" t="s">
        <v>1298</v>
      </c>
      <c r="AN43" s="3030" t="s">
        <v>1298</v>
      </c>
      <c r="AO43" s="3030">
        <v>49.79</v>
      </c>
      <c r="AP43" s="3030" t="s">
        <v>3133</v>
      </c>
      <c r="AQ43" s="3030" t="s">
        <v>1298</v>
      </c>
      <c r="AR43" s="3030">
        <v>70</v>
      </c>
      <c r="AS43" s="3030" t="s">
        <v>1298</v>
      </c>
      <c r="AT43" s="3030" t="s">
        <v>3215</v>
      </c>
    </row>
    <row r="44" spans="1:46" s="3030" customFormat="1">
      <c r="A44" s="3030" t="s">
        <v>3477</v>
      </c>
      <c r="B44" s="3030" t="s">
        <v>3115</v>
      </c>
      <c r="C44" s="3030" t="s">
        <v>3116</v>
      </c>
      <c r="D44" s="3030" t="s">
        <v>3117</v>
      </c>
      <c r="E44" s="3030" t="s">
        <v>3207</v>
      </c>
      <c r="F44" s="3030" t="s">
        <v>3208</v>
      </c>
      <c r="G44" s="3030" t="s">
        <v>3120</v>
      </c>
      <c r="H44" s="3030" t="s">
        <v>3478</v>
      </c>
      <c r="I44" s="3030" t="s">
        <v>3183</v>
      </c>
      <c r="J44" s="3030">
        <v>66379.53</v>
      </c>
      <c r="K44" s="3030">
        <v>146035</v>
      </c>
      <c r="L44" s="3030">
        <v>2.2000000000000002</v>
      </c>
      <c r="M44" s="3030" t="s">
        <v>1298</v>
      </c>
      <c r="N44" s="3030" t="s">
        <v>1298</v>
      </c>
      <c r="O44" s="3030" t="s">
        <v>1298</v>
      </c>
      <c r="P44" s="3030" t="s">
        <v>1298</v>
      </c>
      <c r="Q44" s="3030" t="s">
        <v>1298</v>
      </c>
      <c r="R44" s="3030" t="s">
        <v>1298</v>
      </c>
      <c r="S44" s="3030" t="s">
        <v>1298</v>
      </c>
      <c r="T44" s="3030" t="s">
        <v>3312</v>
      </c>
      <c r="U44" s="3030" t="s">
        <v>3312</v>
      </c>
      <c r="V44" s="3030" t="s">
        <v>1298</v>
      </c>
      <c r="W44" s="3030" t="s">
        <v>3362</v>
      </c>
      <c r="X44" s="3030" t="s">
        <v>3473</v>
      </c>
      <c r="Y44" s="3030" t="s">
        <v>3466</v>
      </c>
      <c r="Z44" s="3030" t="s">
        <v>3474</v>
      </c>
      <c r="AA44" s="3030" t="s">
        <v>3474</v>
      </c>
      <c r="AB44" s="3030" t="s">
        <v>3478</v>
      </c>
      <c r="AC44" s="3030" t="s">
        <v>3130</v>
      </c>
      <c r="AD44" s="3030" t="s">
        <v>3475</v>
      </c>
      <c r="AE44" s="3030" t="s">
        <v>3476</v>
      </c>
      <c r="AF44" s="3030">
        <v>115000</v>
      </c>
      <c r="AG44" s="3030">
        <v>383000</v>
      </c>
      <c r="AH44" s="3030">
        <v>574000</v>
      </c>
      <c r="AI44" s="3030">
        <v>3846.57</v>
      </c>
      <c r="AJ44" s="3030">
        <v>5764.83</v>
      </c>
      <c r="AK44" s="3030">
        <v>26226.59</v>
      </c>
      <c r="AL44" s="3030">
        <v>39305.65</v>
      </c>
      <c r="AM44" s="3030" t="s">
        <v>1298</v>
      </c>
      <c r="AN44" s="3030" t="s">
        <v>1298</v>
      </c>
      <c r="AO44" s="3030">
        <v>49.87</v>
      </c>
      <c r="AP44" s="3030" t="s">
        <v>3133</v>
      </c>
      <c r="AQ44" s="3030" t="s">
        <v>1298</v>
      </c>
      <c r="AR44" s="3030">
        <v>70</v>
      </c>
      <c r="AS44" s="3030" t="s">
        <v>1298</v>
      </c>
      <c r="AT44" s="3030" t="s">
        <v>3149</v>
      </c>
    </row>
    <row r="45" spans="1:46" s="3029" customFormat="1" hidden="1">
      <c r="A45" s="3029" t="s">
        <v>3479</v>
      </c>
      <c r="B45" s="3029" t="s">
        <v>3115</v>
      </c>
      <c r="C45" s="3029" t="s">
        <v>3116</v>
      </c>
      <c r="D45" s="3029" t="s">
        <v>3117</v>
      </c>
      <c r="E45" s="3029" t="s">
        <v>3302</v>
      </c>
      <c r="F45" s="3029" t="s">
        <v>3480</v>
      </c>
      <c r="G45" s="3029" t="s">
        <v>3120</v>
      </c>
      <c r="H45" s="3029" t="s">
        <v>3481</v>
      </c>
      <c r="I45" s="3029" t="s">
        <v>3225</v>
      </c>
      <c r="J45" s="3029">
        <v>51970.99</v>
      </c>
      <c r="K45" s="3029">
        <v>135275</v>
      </c>
      <c r="L45" s="3029">
        <v>2.6</v>
      </c>
      <c r="M45" s="3029" t="s">
        <v>1298</v>
      </c>
      <c r="N45" s="3029" t="s">
        <v>1298</v>
      </c>
      <c r="O45" s="3029" t="s">
        <v>1298</v>
      </c>
      <c r="P45" s="3029" t="s">
        <v>1298</v>
      </c>
      <c r="Q45" s="3029" t="s">
        <v>1298</v>
      </c>
      <c r="R45" s="3029" t="s">
        <v>1298</v>
      </c>
      <c r="S45" s="3029" t="s">
        <v>1298</v>
      </c>
      <c r="T45" s="3029" t="s">
        <v>3312</v>
      </c>
      <c r="U45" s="3029" t="s">
        <v>3312</v>
      </c>
      <c r="V45" s="3029" t="s">
        <v>1298</v>
      </c>
      <c r="W45" s="3029" t="s">
        <v>3362</v>
      </c>
      <c r="X45" s="3029" t="s">
        <v>3482</v>
      </c>
      <c r="Y45" s="3029" t="s">
        <v>3483</v>
      </c>
      <c r="Z45" s="3029" t="s">
        <v>3484</v>
      </c>
      <c r="AA45" s="3029" t="s">
        <v>3484</v>
      </c>
      <c r="AB45" s="3029" t="s">
        <v>3481</v>
      </c>
      <c r="AC45" s="3029" t="s">
        <v>3130</v>
      </c>
      <c r="AD45" s="3029" t="s">
        <v>3485</v>
      </c>
      <c r="AE45" s="3029" t="s">
        <v>3486</v>
      </c>
      <c r="AF45" s="3029">
        <v>75000</v>
      </c>
      <c r="AG45" s="3029">
        <v>248000</v>
      </c>
      <c r="AH45" s="3029">
        <v>367500</v>
      </c>
      <c r="AI45" s="3029">
        <v>3181.26</v>
      </c>
      <c r="AJ45" s="3029">
        <v>4714.17</v>
      </c>
      <c r="AK45" s="3029">
        <v>18333.02</v>
      </c>
      <c r="AL45" s="3029">
        <v>27166.880000000001</v>
      </c>
      <c r="AM45" s="3029" t="s">
        <v>1298</v>
      </c>
      <c r="AN45" s="3029" t="s">
        <v>1298</v>
      </c>
      <c r="AO45" s="3029">
        <v>48.19</v>
      </c>
      <c r="AP45" s="3029" t="s">
        <v>3133</v>
      </c>
      <c r="AQ45" s="3029" t="s">
        <v>1298</v>
      </c>
      <c r="AR45" s="3029">
        <v>100</v>
      </c>
      <c r="AS45" s="3029" t="s">
        <v>1298</v>
      </c>
      <c r="AT45" s="3029" t="s">
        <v>3215</v>
      </c>
    </row>
    <row r="46" spans="1:46" s="3029" customFormat="1" hidden="1">
      <c r="A46" s="3029" t="s">
        <v>3487</v>
      </c>
      <c r="B46" s="3029" t="s">
        <v>3115</v>
      </c>
      <c r="C46" s="3029" t="s">
        <v>3179</v>
      </c>
      <c r="D46" s="3029" t="s">
        <v>3117</v>
      </c>
      <c r="E46" s="3029" t="s">
        <v>3118</v>
      </c>
      <c r="F46" s="3029" t="s">
        <v>3487</v>
      </c>
      <c r="G46" s="3029" t="s">
        <v>3120</v>
      </c>
      <c r="H46" s="3029" t="s">
        <v>3488</v>
      </c>
      <c r="I46" s="3029" t="s">
        <v>3183</v>
      </c>
      <c r="J46" s="3029">
        <v>50662.6</v>
      </c>
      <c r="K46" s="3029">
        <v>101325.2</v>
      </c>
      <c r="L46" s="3029">
        <v>2</v>
      </c>
      <c r="M46" s="3029" t="s">
        <v>1298</v>
      </c>
      <c r="N46" s="3029" t="s">
        <v>1298</v>
      </c>
      <c r="O46" s="3029" t="s">
        <v>1298</v>
      </c>
      <c r="P46" s="3029" t="s">
        <v>1298</v>
      </c>
      <c r="Q46" s="3029" t="s">
        <v>1298</v>
      </c>
      <c r="R46" s="3029" t="s">
        <v>1298</v>
      </c>
      <c r="S46" s="3029" t="s">
        <v>3489</v>
      </c>
      <c r="T46" s="3029" t="s">
        <v>3125</v>
      </c>
      <c r="U46" s="3029" t="s">
        <v>3125</v>
      </c>
      <c r="V46" s="3029" t="s">
        <v>1298</v>
      </c>
      <c r="W46" s="3029" t="s">
        <v>3362</v>
      </c>
      <c r="X46" s="3029" t="s">
        <v>3490</v>
      </c>
      <c r="Y46" s="3029" t="s">
        <v>3491</v>
      </c>
      <c r="Z46" s="3029" t="s">
        <v>3492</v>
      </c>
      <c r="AA46" s="3029" t="s">
        <v>3492</v>
      </c>
      <c r="AB46" s="3029" t="s">
        <v>3488</v>
      </c>
      <c r="AC46" s="3029" t="s">
        <v>3130</v>
      </c>
      <c r="AD46" s="3029" t="s">
        <v>3408</v>
      </c>
      <c r="AE46" s="3029" t="s">
        <v>1298</v>
      </c>
      <c r="AF46" s="3029">
        <v>45300</v>
      </c>
      <c r="AG46" s="3029">
        <v>151000</v>
      </c>
      <c r="AH46" s="3029">
        <v>211000</v>
      </c>
      <c r="AI46" s="3029">
        <v>1987</v>
      </c>
      <c r="AJ46" s="3029">
        <v>2776.54</v>
      </c>
      <c r="AK46" s="3029">
        <v>14902.51</v>
      </c>
      <c r="AL46" s="3029">
        <v>20824.04</v>
      </c>
      <c r="AM46" s="3029" t="s">
        <v>1298</v>
      </c>
      <c r="AN46" s="3029" t="s">
        <v>1298</v>
      </c>
      <c r="AO46" s="3029">
        <v>39.74</v>
      </c>
      <c r="AP46" s="3029" t="s">
        <v>3493</v>
      </c>
      <c r="AQ46" s="3029" t="s">
        <v>1298</v>
      </c>
      <c r="AR46" s="3029" t="s">
        <v>1298</v>
      </c>
      <c r="AS46" s="3029" t="s">
        <v>1298</v>
      </c>
      <c r="AT46" s="3029" t="s">
        <v>3134</v>
      </c>
    </row>
    <row r="47" spans="1:46" s="3029" customFormat="1" hidden="1">
      <c r="A47" s="3029" t="s">
        <v>3494</v>
      </c>
      <c r="B47" s="3029" t="s">
        <v>3115</v>
      </c>
      <c r="C47" s="3029" t="s">
        <v>3116</v>
      </c>
      <c r="D47" s="3029" t="s">
        <v>3117</v>
      </c>
      <c r="E47" s="3029" t="s">
        <v>3384</v>
      </c>
      <c r="F47" s="3029" t="s">
        <v>3494</v>
      </c>
      <c r="G47" s="3029" t="s">
        <v>3120</v>
      </c>
      <c r="H47" s="3029" t="s">
        <v>3495</v>
      </c>
      <c r="I47" s="3029" t="s">
        <v>3496</v>
      </c>
      <c r="J47" s="3029">
        <v>45195.85</v>
      </c>
      <c r="K47" s="3029">
        <v>120599</v>
      </c>
      <c r="L47" s="3029">
        <v>2.67</v>
      </c>
      <c r="M47" s="3029" t="s">
        <v>1298</v>
      </c>
      <c r="N47" s="3029" t="s">
        <v>1298</v>
      </c>
      <c r="O47" s="3029" t="s">
        <v>1298</v>
      </c>
      <c r="P47" s="3029" t="s">
        <v>1298</v>
      </c>
      <c r="Q47" s="3029" t="s">
        <v>1298</v>
      </c>
      <c r="R47" s="3029" t="s">
        <v>1298</v>
      </c>
      <c r="S47" s="3029" t="s">
        <v>3497</v>
      </c>
      <c r="T47" s="3029" t="s">
        <v>1298</v>
      </c>
      <c r="U47" s="3029" t="s">
        <v>1298</v>
      </c>
      <c r="V47" s="3029" t="s">
        <v>1298</v>
      </c>
      <c r="W47" s="3029" t="s">
        <v>3362</v>
      </c>
      <c r="X47" s="3029" t="s">
        <v>3498</v>
      </c>
      <c r="Y47" s="3029" t="s">
        <v>3499</v>
      </c>
      <c r="Z47" s="3029" t="s">
        <v>3500</v>
      </c>
      <c r="AA47" s="3029" t="s">
        <v>3500</v>
      </c>
      <c r="AB47" s="3029" t="s">
        <v>3495</v>
      </c>
      <c r="AC47" s="3029" t="s">
        <v>3130</v>
      </c>
      <c r="AD47" s="3029" t="s">
        <v>3501</v>
      </c>
      <c r="AE47" s="3029" t="s">
        <v>3502</v>
      </c>
      <c r="AF47" s="3029">
        <v>78000</v>
      </c>
      <c r="AG47" s="3029">
        <v>260000</v>
      </c>
      <c r="AH47" s="3029">
        <v>390000</v>
      </c>
      <c r="AI47" s="3029">
        <v>3835.16</v>
      </c>
      <c r="AJ47" s="3029">
        <v>5752.74</v>
      </c>
      <c r="AK47" s="3029">
        <v>21559.040000000001</v>
      </c>
      <c r="AL47" s="3029">
        <v>32338.58</v>
      </c>
      <c r="AM47" s="3029" t="s">
        <v>1298</v>
      </c>
      <c r="AN47" s="3029" t="s">
        <v>1298</v>
      </c>
      <c r="AO47" s="3029">
        <v>50</v>
      </c>
      <c r="AP47" s="3029" t="s">
        <v>3133</v>
      </c>
      <c r="AQ47" s="3029" t="s">
        <v>1298</v>
      </c>
      <c r="AR47" s="3029" t="s">
        <v>1298</v>
      </c>
      <c r="AS47" s="3029" t="s">
        <v>1298</v>
      </c>
      <c r="AT47" s="3029" t="s">
        <v>3149</v>
      </c>
    </row>
    <row r="48" spans="1:46" s="3029" customFormat="1" hidden="1">
      <c r="A48" s="3029" t="s">
        <v>3503</v>
      </c>
      <c r="B48" s="3029" t="s">
        <v>3115</v>
      </c>
      <c r="C48" s="3029" t="s">
        <v>3116</v>
      </c>
      <c r="D48" s="3029" t="s">
        <v>3117</v>
      </c>
      <c r="E48" s="3029" t="s">
        <v>3207</v>
      </c>
      <c r="F48" s="3029" t="s">
        <v>3208</v>
      </c>
      <c r="G48" s="3029" t="s">
        <v>3120</v>
      </c>
      <c r="H48" s="3029" t="s">
        <v>3504</v>
      </c>
      <c r="I48" s="3029" t="s">
        <v>3505</v>
      </c>
      <c r="J48" s="3029">
        <v>77626.67</v>
      </c>
      <c r="K48" s="3029">
        <v>165765</v>
      </c>
      <c r="L48" s="3029">
        <v>2.14</v>
      </c>
      <c r="M48" s="3029" t="s">
        <v>1298</v>
      </c>
      <c r="N48" s="3029" t="s">
        <v>1298</v>
      </c>
      <c r="O48" s="3029" t="s">
        <v>1298</v>
      </c>
      <c r="P48" s="3029" t="s">
        <v>1298</v>
      </c>
      <c r="Q48" s="3029" t="s">
        <v>1298</v>
      </c>
      <c r="R48" s="3029" t="s">
        <v>1298</v>
      </c>
      <c r="S48" s="3029" t="s">
        <v>1298</v>
      </c>
      <c r="T48" s="3029" t="s">
        <v>1298</v>
      </c>
      <c r="U48" s="3029" t="s">
        <v>1298</v>
      </c>
      <c r="V48" s="3029" t="s">
        <v>1298</v>
      </c>
      <c r="W48" s="3029" t="s">
        <v>3362</v>
      </c>
      <c r="X48" s="3029" t="s">
        <v>3506</v>
      </c>
      <c r="Y48" s="3029" t="s">
        <v>3507</v>
      </c>
      <c r="Z48" s="3029" t="s">
        <v>3508</v>
      </c>
      <c r="AA48" s="3029" t="s">
        <v>3508</v>
      </c>
      <c r="AB48" s="3029" t="s">
        <v>3504</v>
      </c>
      <c r="AC48" s="3029" t="s">
        <v>3130</v>
      </c>
      <c r="AD48" s="3029" t="s">
        <v>3509</v>
      </c>
      <c r="AE48" s="3029" t="s">
        <v>3510</v>
      </c>
      <c r="AF48" s="3029">
        <v>82500</v>
      </c>
      <c r="AG48" s="3029">
        <v>275000</v>
      </c>
      <c r="AH48" s="3029">
        <v>442000</v>
      </c>
      <c r="AI48" s="3029">
        <v>2361.73</v>
      </c>
      <c r="AJ48" s="3029">
        <v>3795.95</v>
      </c>
      <c r="AK48" s="3029">
        <v>16589.75</v>
      </c>
      <c r="AL48" s="3029">
        <v>26664.25</v>
      </c>
      <c r="AM48" s="3029" t="s">
        <v>1298</v>
      </c>
      <c r="AN48" s="3029" t="s">
        <v>1298</v>
      </c>
      <c r="AO48" s="3029">
        <v>60.73</v>
      </c>
      <c r="AP48" s="3029" t="s">
        <v>3133</v>
      </c>
      <c r="AQ48" s="3029" t="s">
        <v>1298</v>
      </c>
      <c r="AR48" s="3029" t="s">
        <v>1298</v>
      </c>
      <c r="AS48" s="3029" t="s">
        <v>1298</v>
      </c>
      <c r="AT48" s="3029" t="s">
        <v>3149</v>
      </c>
    </row>
    <row r="49" spans="1:46" s="3029" customFormat="1" hidden="1">
      <c r="A49" s="3029" t="s">
        <v>3511</v>
      </c>
      <c r="B49" s="3029" t="s">
        <v>3115</v>
      </c>
      <c r="C49" s="3029" t="s">
        <v>3116</v>
      </c>
      <c r="D49" s="3029" t="s">
        <v>3117</v>
      </c>
      <c r="E49" s="3029" t="s">
        <v>3118</v>
      </c>
      <c r="F49" s="3029" t="s">
        <v>3119</v>
      </c>
      <c r="G49" s="3029" t="s">
        <v>3120</v>
      </c>
      <c r="H49" s="3029" t="s">
        <v>3512</v>
      </c>
      <c r="I49" s="3029" t="s">
        <v>3305</v>
      </c>
      <c r="J49" s="3029">
        <v>61030.67</v>
      </c>
      <c r="K49" s="3029">
        <v>152577</v>
      </c>
      <c r="L49" s="3029">
        <v>2.5</v>
      </c>
      <c r="M49" s="3029" t="s">
        <v>1298</v>
      </c>
      <c r="N49" s="3029" t="s">
        <v>1298</v>
      </c>
      <c r="O49" s="3029" t="s">
        <v>1298</v>
      </c>
      <c r="P49" s="3029" t="s">
        <v>3513</v>
      </c>
      <c r="Q49" s="3029">
        <v>34900</v>
      </c>
      <c r="R49" s="3029">
        <v>89900</v>
      </c>
      <c r="S49" s="3029" t="s">
        <v>1298</v>
      </c>
      <c r="T49" s="3029" t="s">
        <v>1298</v>
      </c>
      <c r="U49" s="3029" t="s">
        <v>1298</v>
      </c>
      <c r="V49" s="3029" t="s">
        <v>1298</v>
      </c>
      <c r="W49" s="3029" t="s">
        <v>3362</v>
      </c>
      <c r="X49" s="3029" t="s">
        <v>3514</v>
      </c>
      <c r="Y49" s="3029" t="s">
        <v>3515</v>
      </c>
      <c r="Z49" s="3029" t="s">
        <v>3516</v>
      </c>
      <c r="AA49" s="3029" t="s">
        <v>3516</v>
      </c>
      <c r="AB49" s="3029" t="s">
        <v>3512</v>
      </c>
      <c r="AC49" s="3029" t="s">
        <v>3130</v>
      </c>
      <c r="AD49" s="3029" t="s">
        <v>3517</v>
      </c>
      <c r="AE49" s="3029" t="s">
        <v>3191</v>
      </c>
      <c r="AF49" s="3029">
        <v>52000</v>
      </c>
      <c r="AG49" s="3029">
        <v>173000</v>
      </c>
      <c r="AH49" s="3029">
        <v>259500</v>
      </c>
      <c r="AI49" s="3029">
        <v>1889.76</v>
      </c>
      <c r="AJ49" s="3029">
        <v>2834.64</v>
      </c>
      <c r="AK49" s="3029">
        <v>11338.53</v>
      </c>
      <c r="AL49" s="3029">
        <v>17007.810000000001</v>
      </c>
      <c r="AM49" s="3029">
        <v>14701</v>
      </c>
      <c r="AN49" s="3029">
        <v>41403</v>
      </c>
      <c r="AO49" s="3029">
        <v>50</v>
      </c>
      <c r="AP49" s="3029" t="s">
        <v>3518</v>
      </c>
      <c r="AQ49" s="3029" t="s">
        <v>1298</v>
      </c>
      <c r="AR49" s="3029" t="s">
        <v>1298</v>
      </c>
      <c r="AS49" s="3029" t="s">
        <v>1298</v>
      </c>
      <c r="AT49" s="3029" t="s">
        <v>3149</v>
      </c>
    </row>
    <row r="50" spans="1:46" s="3029" customFormat="1" hidden="1">
      <c r="A50" s="3029" t="s">
        <v>3519</v>
      </c>
      <c r="B50" s="3029" t="s">
        <v>3115</v>
      </c>
      <c r="C50" s="3029" t="s">
        <v>3116</v>
      </c>
      <c r="D50" s="3029" t="s">
        <v>3117</v>
      </c>
      <c r="E50" s="3029" t="s">
        <v>3118</v>
      </c>
      <c r="F50" s="3029" t="s">
        <v>3119</v>
      </c>
      <c r="G50" s="3029" t="s">
        <v>3120</v>
      </c>
      <c r="H50" s="3029" t="s">
        <v>3520</v>
      </c>
      <c r="I50" s="3029" t="s">
        <v>3521</v>
      </c>
      <c r="J50" s="3029">
        <v>57931.55</v>
      </c>
      <c r="K50" s="3029">
        <v>137735</v>
      </c>
      <c r="L50" s="3029">
        <v>2.38</v>
      </c>
      <c r="M50" s="3029" t="s">
        <v>1298</v>
      </c>
      <c r="N50" s="3029" t="s">
        <v>1298</v>
      </c>
      <c r="O50" s="3029" t="s">
        <v>1298</v>
      </c>
      <c r="P50" s="3029" t="s">
        <v>3513</v>
      </c>
      <c r="Q50" s="3029">
        <v>30800</v>
      </c>
      <c r="R50" s="3029">
        <v>94078</v>
      </c>
      <c r="S50" s="3029" t="s">
        <v>1298</v>
      </c>
      <c r="T50" s="3029" t="s">
        <v>1298</v>
      </c>
      <c r="U50" s="3029" t="s">
        <v>1298</v>
      </c>
      <c r="V50" s="3029" t="s">
        <v>1298</v>
      </c>
      <c r="W50" s="3029" t="s">
        <v>3362</v>
      </c>
      <c r="X50" s="3029" t="s">
        <v>3522</v>
      </c>
      <c r="Y50" s="3029" t="s">
        <v>3523</v>
      </c>
      <c r="Z50" s="3029" t="s">
        <v>3524</v>
      </c>
      <c r="AA50" s="3029" t="s">
        <v>3524</v>
      </c>
      <c r="AB50" s="3029" t="s">
        <v>3520</v>
      </c>
      <c r="AC50" s="3029" t="s">
        <v>3130</v>
      </c>
      <c r="AD50" s="3029" t="s">
        <v>3525</v>
      </c>
      <c r="AE50" s="3029" t="s">
        <v>3318</v>
      </c>
      <c r="AF50" s="3029">
        <v>46000</v>
      </c>
      <c r="AG50" s="3029">
        <v>152000</v>
      </c>
      <c r="AH50" s="3029">
        <v>228000</v>
      </c>
      <c r="AI50" s="3029">
        <v>1749.19</v>
      </c>
      <c r="AJ50" s="3029">
        <v>2623.79</v>
      </c>
      <c r="AK50" s="3029">
        <v>11035.68</v>
      </c>
      <c r="AL50" s="3029">
        <v>16553.52</v>
      </c>
      <c r="AM50" s="3029">
        <v>14214</v>
      </c>
      <c r="AN50" s="3029">
        <v>52225</v>
      </c>
      <c r="AO50" s="3029">
        <v>50</v>
      </c>
      <c r="AP50" s="3029" t="s">
        <v>3518</v>
      </c>
      <c r="AQ50" s="3029" t="s">
        <v>1298</v>
      </c>
      <c r="AR50" s="3029" t="s">
        <v>1298</v>
      </c>
      <c r="AS50" s="3029" t="s">
        <v>1298</v>
      </c>
      <c r="AT50" s="3029" t="s">
        <v>3134</v>
      </c>
    </row>
    <row r="51" spans="1:46" s="3029" customFormat="1" hidden="1">
      <c r="A51" s="3029" t="s">
        <v>3526</v>
      </c>
      <c r="B51" s="3029" t="s">
        <v>3115</v>
      </c>
      <c r="C51" s="3029" t="s">
        <v>3116</v>
      </c>
      <c r="D51" s="3029" t="s">
        <v>3117</v>
      </c>
      <c r="E51" s="3029" t="s">
        <v>3258</v>
      </c>
      <c r="F51" s="3029" t="s">
        <v>3259</v>
      </c>
      <c r="G51" s="3029" t="s">
        <v>3120</v>
      </c>
      <c r="H51" s="3029" t="s">
        <v>3527</v>
      </c>
      <c r="I51" s="3029" t="s">
        <v>3528</v>
      </c>
      <c r="J51" s="3029">
        <v>118127</v>
      </c>
      <c r="K51" s="3029">
        <v>198800</v>
      </c>
      <c r="L51" s="3029">
        <v>1.68</v>
      </c>
      <c r="M51" s="3029" t="s">
        <v>1298</v>
      </c>
      <c r="N51" s="3029" t="s">
        <v>1298</v>
      </c>
      <c r="O51" s="3029" t="s">
        <v>1298</v>
      </c>
      <c r="P51" s="3029" t="s">
        <v>3513</v>
      </c>
      <c r="Q51" s="3029" t="s">
        <v>1298</v>
      </c>
      <c r="R51" s="3029">
        <v>44252</v>
      </c>
      <c r="S51" s="3029" t="s">
        <v>1298</v>
      </c>
      <c r="T51" s="3029" t="s">
        <v>1298</v>
      </c>
      <c r="U51" s="3029" t="s">
        <v>1298</v>
      </c>
      <c r="V51" s="3029" t="s">
        <v>1298</v>
      </c>
      <c r="W51" s="3029" t="s">
        <v>3362</v>
      </c>
      <c r="X51" s="3029" t="s">
        <v>3529</v>
      </c>
      <c r="Y51" s="3029" t="s">
        <v>3530</v>
      </c>
      <c r="Z51" s="3029" t="s">
        <v>3531</v>
      </c>
      <c r="AA51" s="3029" t="s">
        <v>3531</v>
      </c>
      <c r="AB51" s="3029" t="s">
        <v>3527</v>
      </c>
      <c r="AC51" s="3029" t="s">
        <v>3130</v>
      </c>
      <c r="AD51" s="3029" t="s">
        <v>3532</v>
      </c>
      <c r="AE51" s="3029" t="s">
        <v>1298</v>
      </c>
      <c r="AF51" s="3029">
        <v>35000</v>
      </c>
      <c r="AG51" s="3029">
        <v>117000</v>
      </c>
      <c r="AH51" s="3029">
        <v>200000</v>
      </c>
      <c r="AI51" s="3029">
        <v>660.31</v>
      </c>
      <c r="AJ51" s="3029">
        <v>1128.73</v>
      </c>
      <c r="AK51" s="3029">
        <v>5885.31</v>
      </c>
      <c r="AL51" s="3029">
        <v>10060.36</v>
      </c>
      <c r="AM51" s="3029" t="s">
        <v>1298</v>
      </c>
      <c r="AN51" s="3029">
        <v>12941</v>
      </c>
      <c r="AO51" s="3029">
        <v>70.94</v>
      </c>
      <c r="AP51" s="3029" t="s">
        <v>3518</v>
      </c>
      <c r="AQ51" s="3029" t="s">
        <v>1298</v>
      </c>
      <c r="AR51" s="3029" t="s">
        <v>1298</v>
      </c>
      <c r="AS51" s="3029" t="s">
        <v>1298</v>
      </c>
      <c r="AT51" s="3029" t="s">
        <v>3177</v>
      </c>
    </row>
  </sheetData>
  <phoneticPr fontId="140" type="noConversion"/>
  <pageMargins left="0.7" right="0.7" top="0.75" bottom="0.75" header="0.3" footer="0.3"/>
  <drawing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27"/>
  <sheetViews>
    <sheetView workbookViewId="0">
      <selection activeCell="D6" sqref="D6"/>
    </sheetView>
  </sheetViews>
  <sheetFormatPr defaultRowHeight="13.5"/>
  <cols>
    <col min="3" max="3" width="16.375" bestFit="1" customWidth="1"/>
    <col min="4" max="4" width="9.875" customWidth="1"/>
    <col min="5" max="5" width="11.875" customWidth="1"/>
    <col min="6" max="6" width="20.125" customWidth="1"/>
    <col min="7" max="7" width="27.125" customWidth="1"/>
  </cols>
  <sheetData>
    <row r="1" spans="1:9" ht="16.5">
      <c r="A1" s="3032" t="s">
        <v>3047</v>
      </c>
      <c r="B1" s="3032" t="s">
        <v>3536</v>
      </c>
      <c r="C1" s="3032" t="s">
        <v>3537</v>
      </c>
      <c r="D1" s="3032" t="s">
        <v>3563</v>
      </c>
      <c r="E1" s="3032" t="s">
        <v>3538</v>
      </c>
      <c r="F1" s="3032" t="s">
        <v>3556</v>
      </c>
    </row>
    <row r="2" spans="1:9" ht="16.5">
      <c r="A2" s="3032">
        <v>1</v>
      </c>
      <c r="B2" s="3032" t="s">
        <v>3540</v>
      </c>
      <c r="C2" s="3032" t="s">
        <v>3042</v>
      </c>
      <c r="D2" s="3032">
        <v>10083.780000000001</v>
      </c>
      <c r="E2" s="3032">
        <v>120</v>
      </c>
      <c r="F2" s="3032" t="s">
        <v>3557</v>
      </c>
    </row>
    <row r="3" spans="1:9" ht="16.5">
      <c r="A3" s="3032">
        <v>2</v>
      </c>
      <c r="B3" s="3032" t="s">
        <v>3540</v>
      </c>
      <c r="C3" s="3032" t="s">
        <v>3044</v>
      </c>
      <c r="D3" s="3032">
        <v>5074.3999999999996</v>
      </c>
      <c r="E3" s="3032">
        <v>60</v>
      </c>
      <c r="F3" s="3032" t="s">
        <v>3557</v>
      </c>
    </row>
    <row r="4" spans="1:9" ht="16.5">
      <c r="A4" s="3032">
        <v>3</v>
      </c>
      <c r="B4" s="3032" t="s">
        <v>3540</v>
      </c>
      <c r="C4" s="3032" t="s">
        <v>3045</v>
      </c>
      <c r="D4" s="3032">
        <v>4418.1000000000004</v>
      </c>
      <c r="E4" s="3032">
        <v>52</v>
      </c>
      <c r="F4" s="3032" t="s">
        <v>3557</v>
      </c>
    </row>
    <row r="5" spans="1:9" ht="16.5">
      <c r="A5" s="3032">
        <v>4</v>
      </c>
      <c r="B5" s="3032" t="s">
        <v>3540</v>
      </c>
      <c r="C5" s="3032" t="s">
        <v>3046</v>
      </c>
      <c r="D5" s="3032">
        <v>5089.9399999999996</v>
      </c>
      <c r="E5" s="3032">
        <v>60</v>
      </c>
      <c r="F5" s="3032" t="s">
        <v>3557</v>
      </c>
    </row>
    <row r="6" spans="1:9" ht="16.5">
      <c r="A6" s="3032">
        <v>5</v>
      </c>
      <c r="B6" s="3032" t="s">
        <v>3586</v>
      </c>
      <c r="C6" s="3032" t="s">
        <v>3587</v>
      </c>
      <c r="D6" s="3032">
        <v>4418.1000000000004</v>
      </c>
      <c r="E6" s="3032">
        <v>52</v>
      </c>
      <c r="F6" s="3032" t="s">
        <v>3557</v>
      </c>
    </row>
    <row r="7" spans="1:9">
      <c r="D7">
        <f>SUM(D2:D6)</f>
        <v>29084.32</v>
      </c>
      <c r="E7">
        <f>SUM(E2:E6)</f>
        <v>344</v>
      </c>
    </row>
    <row r="9" spans="1:9" ht="16.5">
      <c r="A9" s="3032" t="s">
        <v>3047</v>
      </c>
      <c r="B9" s="3032" t="s">
        <v>3536</v>
      </c>
      <c r="C9" s="3032" t="s">
        <v>3537</v>
      </c>
      <c r="D9" s="3032" t="s">
        <v>3561</v>
      </c>
      <c r="E9" s="3032" t="s">
        <v>3558</v>
      </c>
      <c r="F9" s="3032" t="s">
        <v>3564</v>
      </c>
      <c r="G9" s="3032" t="s">
        <v>3556</v>
      </c>
      <c r="I9">
        <v>3.2</v>
      </c>
    </row>
    <row r="10" spans="1:9" ht="16.5">
      <c r="A10" s="3032">
        <v>1</v>
      </c>
      <c r="B10" s="3032" t="s">
        <v>3539</v>
      </c>
      <c r="C10" s="3032" t="s">
        <v>3560</v>
      </c>
      <c r="D10" s="3032" t="s">
        <v>3562</v>
      </c>
      <c r="E10" s="3032">
        <v>101</v>
      </c>
      <c r="F10" s="3032">
        <v>89.02</v>
      </c>
      <c r="G10" s="3032" t="s">
        <v>3559</v>
      </c>
      <c r="I10">
        <f>$I$9*F10*30</f>
        <v>8545.92</v>
      </c>
    </row>
    <row r="11" spans="1:9" ht="16.5">
      <c r="A11" s="3032">
        <v>2</v>
      </c>
      <c r="B11" s="3032" t="s">
        <v>3539</v>
      </c>
      <c r="C11" s="3032" t="s">
        <v>3560</v>
      </c>
      <c r="D11" s="3032" t="s">
        <v>3562</v>
      </c>
      <c r="E11" s="3032">
        <v>102</v>
      </c>
      <c r="F11" s="3032">
        <v>79.22</v>
      </c>
      <c r="G11" s="3032" t="s">
        <v>3559</v>
      </c>
      <c r="I11">
        <f t="shared" ref="I11:I13" si="0">$I$9*F11*30</f>
        <v>7605.1200000000008</v>
      </c>
    </row>
    <row r="12" spans="1:9" ht="16.5">
      <c r="A12" s="3032">
        <v>3</v>
      </c>
      <c r="B12" s="3032" t="s">
        <v>3539</v>
      </c>
      <c r="C12" s="3032" t="s">
        <v>3560</v>
      </c>
      <c r="D12" s="3032" t="s">
        <v>3562</v>
      </c>
      <c r="E12" s="3032">
        <v>103</v>
      </c>
      <c r="F12" s="3032">
        <v>44.52</v>
      </c>
      <c r="G12" s="3032" t="s">
        <v>3559</v>
      </c>
      <c r="I12">
        <f t="shared" si="0"/>
        <v>4273.920000000001</v>
      </c>
    </row>
    <row r="13" spans="1:9" ht="16.5">
      <c r="A13" s="3032">
        <v>4</v>
      </c>
      <c r="B13" s="3032" t="s">
        <v>3539</v>
      </c>
      <c r="C13" s="3032" t="s">
        <v>3560</v>
      </c>
      <c r="D13" s="3032" t="s">
        <v>3562</v>
      </c>
      <c r="E13" s="3032">
        <v>104</v>
      </c>
      <c r="F13" s="3032">
        <v>79.22</v>
      </c>
      <c r="G13" s="3032" t="s">
        <v>3559</v>
      </c>
      <c r="I13">
        <f t="shared" si="0"/>
        <v>7605.1200000000008</v>
      </c>
    </row>
    <row r="14" spans="1:9" ht="16.5">
      <c r="A14" s="3032">
        <v>5</v>
      </c>
      <c r="B14" s="3032" t="s">
        <v>3539</v>
      </c>
      <c r="C14" s="3032" t="s">
        <v>3560</v>
      </c>
      <c r="D14" s="3032" t="s">
        <v>3562</v>
      </c>
      <c r="E14" s="3032">
        <v>105</v>
      </c>
      <c r="F14" s="3032">
        <v>86.07</v>
      </c>
      <c r="G14" s="3032" t="s">
        <v>3559</v>
      </c>
    </row>
    <row r="15" spans="1:9" ht="16.5">
      <c r="A15" s="3032">
        <v>6</v>
      </c>
      <c r="B15" s="3032" t="s">
        <v>3539</v>
      </c>
      <c r="C15" s="3032" t="s">
        <v>3560</v>
      </c>
      <c r="D15" s="3032" t="s">
        <v>3562</v>
      </c>
      <c r="E15" s="3032">
        <v>201</v>
      </c>
      <c r="F15" s="3032">
        <v>89.02</v>
      </c>
      <c r="G15" s="3032" t="s">
        <v>3559</v>
      </c>
    </row>
    <row r="16" spans="1:9" ht="16.5">
      <c r="A16" s="3032">
        <v>7</v>
      </c>
      <c r="B16" s="3032" t="s">
        <v>3539</v>
      </c>
      <c r="C16" s="3032" t="s">
        <v>3560</v>
      </c>
      <c r="D16" s="3032" t="s">
        <v>3562</v>
      </c>
      <c r="E16" s="3032">
        <v>202</v>
      </c>
      <c r="F16" s="3032">
        <v>79.22</v>
      </c>
      <c r="G16" s="3032" t="s">
        <v>3559</v>
      </c>
    </row>
    <row r="17" spans="1:7" ht="16.5">
      <c r="A17" s="3032">
        <v>8</v>
      </c>
      <c r="B17" s="3032" t="s">
        <v>3539</v>
      </c>
      <c r="C17" s="3032" t="s">
        <v>3560</v>
      </c>
      <c r="D17" s="3032" t="s">
        <v>3562</v>
      </c>
      <c r="E17" s="3032">
        <v>203</v>
      </c>
      <c r="F17" s="3032">
        <v>44.52</v>
      </c>
      <c r="G17" s="3032" t="s">
        <v>3559</v>
      </c>
    </row>
    <row r="18" spans="1:7" ht="16.5">
      <c r="A18" s="3032">
        <v>9</v>
      </c>
      <c r="B18" s="3032" t="s">
        <v>3539</v>
      </c>
      <c r="C18" s="3032" t="s">
        <v>3560</v>
      </c>
      <c r="D18" s="3032" t="s">
        <v>3562</v>
      </c>
      <c r="E18" s="3032">
        <v>204</v>
      </c>
      <c r="F18" s="3032">
        <v>44.52</v>
      </c>
      <c r="G18" s="3032" t="s">
        <v>3559</v>
      </c>
    </row>
    <row r="19" spans="1:7" ht="16.5">
      <c r="A19" s="3032">
        <v>10</v>
      </c>
      <c r="B19" s="3032" t="s">
        <v>3539</v>
      </c>
      <c r="C19" s="3032" t="s">
        <v>3560</v>
      </c>
      <c r="D19" s="3032" t="s">
        <v>3562</v>
      </c>
      <c r="E19" s="3032">
        <v>205</v>
      </c>
      <c r="F19" s="3032">
        <v>79.22</v>
      </c>
      <c r="G19" s="3032" t="s">
        <v>3559</v>
      </c>
    </row>
    <row r="20" spans="1:7" ht="16.5">
      <c r="A20" s="3032">
        <v>11</v>
      </c>
      <c r="B20" s="3032" t="s">
        <v>3539</v>
      </c>
      <c r="C20" s="3032" t="s">
        <v>3560</v>
      </c>
      <c r="D20" s="3032" t="s">
        <v>3562</v>
      </c>
      <c r="E20" s="3032">
        <v>206</v>
      </c>
      <c r="F20" s="3032">
        <v>86.07</v>
      </c>
      <c r="G20" s="3032" t="s">
        <v>3559</v>
      </c>
    </row>
    <row r="21" spans="1:7" ht="16.5">
      <c r="A21" s="3032">
        <v>12</v>
      </c>
      <c r="B21" s="3032" t="s">
        <v>3539</v>
      </c>
      <c r="C21" s="3032" t="s">
        <v>3560</v>
      </c>
      <c r="D21" s="3032" t="s">
        <v>3562</v>
      </c>
      <c r="E21" s="3032">
        <v>301</v>
      </c>
      <c r="F21" s="3032">
        <v>89.02</v>
      </c>
      <c r="G21" s="3032" t="s">
        <v>3559</v>
      </c>
    </row>
    <row r="22" spans="1:7" ht="16.5">
      <c r="A22" s="3032">
        <v>13</v>
      </c>
      <c r="B22" s="3032" t="s">
        <v>3539</v>
      </c>
      <c r="C22" s="3032" t="s">
        <v>3560</v>
      </c>
      <c r="D22" s="3032" t="s">
        <v>3562</v>
      </c>
      <c r="E22" s="3032">
        <v>302</v>
      </c>
      <c r="F22" s="3032">
        <v>79.22</v>
      </c>
      <c r="G22" s="3032" t="s">
        <v>3559</v>
      </c>
    </row>
    <row r="23" spans="1:7" ht="16.5">
      <c r="A23" s="3032">
        <v>14</v>
      </c>
      <c r="B23" s="3032" t="s">
        <v>3539</v>
      </c>
      <c r="C23" s="3032" t="s">
        <v>3560</v>
      </c>
      <c r="D23" s="3032" t="s">
        <v>3562</v>
      </c>
      <c r="E23" s="3032">
        <v>303</v>
      </c>
      <c r="F23" s="3032">
        <v>44.52</v>
      </c>
      <c r="G23" s="3032" t="s">
        <v>3559</v>
      </c>
    </row>
    <row r="24" spans="1:7" ht="16.5">
      <c r="A24" s="3032">
        <v>15</v>
      </c>
      <c r="B24" s="3032" t="s">
        <v>3539</v>
      </c>
      <c r="C24" s="3032" t="s">
        <v>3560</v>
      </c>
      <c r="D24" s="3032" t="s">
        <v>3562</v>
      </c>
      <c r="E24" s="3032">
        <v>304</v>
      </c>
      <c r="F24" s="3032">
        <v>44.52</v>
      </c>
      <c r="G24" s="3032" t="s">
        <v>3559</v>
      </c>
    </row>
    <row r="25" spans="1:7" ht="16.5">
      <c r="A25" s="3032">
        <v>16</v>
      </c>
      <c r="B25" s="3032" t="s">
        <v>3539</v>
      </c>
      <c r="C25" s="3032" t="s">
        <v>3560</v>
      </c>
      <c r="D25" s="3032" t="s">
        <v>3562</v>
      </c>
      <c r="E25" s="3032">
        <v>305</v>
      </c>
      <c r="F25" s="3032">
        <v>79.22</v>
      </c>
      <c r="G25" s="3032" t="s">
        <v>3559</v>
      </c>
    </row>
    <row r="26" spans="1:7" ht="16.5">
      <c r="A26" s="3032">
        <v>17</v>
      </c>
      <c r="B26" s="3032" t="s">
        <v>3539</v>
      </c>
      <c r="C26" s="3032" t="s">
        <v>3560</v>
      </c>
      <c r="D26" s="3032" t="s">
        <v>3562</v>
      </c>
      <c r="E26" s="3032">
        <v>306</v>
      </c>
      <c r="F26" s="3032">
        <v>86.07</v>
      </c>
      <c r="G26" s="3032" t="s">
        <v>3559</v>
      </c>
    </row>
    <row r="27" spans="1:7" ht="16.5">
      <c r="A27" s="3032">
        <v>18</v>
      </c>
      <c r="B27" s="3032" t="s">
        <v>3539</v>
      </c>
      <c r="C27" s="3032" t="s">
        <v>3560</v>
      </c>
      <c r="D27" s="3032" t="s">
        <v>3562</v>
      </c>
      <c r="E27" s="3032">
        <v>401</v>
      </c>
      <c r="F27" s="3032">
        <v>89.02</v>
      </c>
      <c r="G27" s="3032" t="s">
        <v>3559</v>
      </c>
    </row>
    <row r="28" spans="1:7" ht="16.5">
      <c r="A28" s="3032">
        <v>19</v>
      </c>
      <c r="B28" s="3032" t="s">
        <v>3539</v>
      </c>
      <c r="C28" s="3032" t="s">
        <v>3560</v>
      </c>
      <c r="D28" s="3032" t="s">
        <v>3562</v>
      </c>
      <c r="E28" s="3032">
        <v>402</v>
      </c>
      <c r="F28" s="3032">
        <v>79.22</v>
      </c>
      <c r="G28" s="3032" t="s">
        <v>3559</v>
      </c>
    </row>
    <row r="29" spans="1:7" ht="16.5">
      <c r="A29" s="3032">
        <v>20</v>
      </c>
      <c r="B29" s="3032" t="s">
        <v>3539</v>
      </c>
      <c r="C29" s="3032" t="s">
        <v>3560</v>
      </c>
      <c r="D29" s="3032" t="s">
        <v>3562</v>
      </c>
      <c r="E29" s="3032">
        <v>403</v>
      </c>
      <c r="F29" s="3032">
        <v>44.52</v>
      </c>
      <c r="G29" s="3032" t="s">
        <v>3559</v>
      </c>
    </row>
    <row r="30" spans="1:7" ht="16.5">
      <c r="A30" s="3032">
        <v>21</v>
      </c>
      <c r="B30" s="3032" t="s">
        <v>3539</v>
      </c>
      <c r="C30" s="3032" t="s">
        <v>3560</v>
      </c>
      <c r="D30" s="3032" t="s">
        <v>3562</v>
      </c>
      <c r="E30" s="3032">
        <v>404</v>
      </c>
      <c r="F30" s="3032">
        <v>44.52</v>
      </c>
      <c r="G30" s="3032" t="s">
        <v>3559</v>
      </c>
    </row>
    <row r="31" spans="1:7" ht="16.5">
      <c r="A31" s="3032">
        <v>22</v>
      </c>
      <c r="B31" s="3032" t="s">
        <v>3539</v>
      </c>
      <c r="C31" s="3032" t="s">
        <v>3560</v>
      </c>
      <c r="D31" s="3032" t="s">
        <v>3562</v>
      </c>
      <c r="E31" s="3032">
        <v>405</v>
      </c>
      <c r="F31" s="3032">
        <v>79.22</v>
      </c>
      <c r="G31" s="3032" t="s">
        <v>3559</v>
      </c>
    </row>
    <row r="32" spans="1:7" ht="16.5">
      <c r="A32" s="3032">
        <v>23</v>
      </c>
      <c r="B32" s="3032" t="s">
        <v>3539</v>
      </c>
      <c r="C32" s="3032" t="s">
        <v>3560</v>
      </c>
      <c r="D32" s="3032" t="s">
        <v>3562</v>
      </c>
      <c r="E32" s="3032">
        <v>406</v>
      </c>
      <c r="F32" s="3032">
        <v>86.07</v>
      </c>
      <c r="G32" s="3032" t="s">
        <v>3559</v>
      </c>
    </row>
    <row r="33" spans="1:7" ht="16.5">
      <c r="A33" s="3032">
        <v>24</v>
      </c>
      <c r="B33" s="3032" t="s">
        <v>3539</v>
      </c>
      <c r="C33" s="3032" t="s">
        <v>3560</v>
      </c>
      <c r="D33" s="3032" t="s">
        <v>3562</v>
      </c>
      <c r="E33" s="3032">
        <v>501</v>
      </c>
      <c r="F33" s="3032">
        <v>89.02</v>
      </c>
      <c r="G33" s="3032" t="s">
        <v>3559</v>
      </c>
    </row>
    <row r="34" spans="1:7" ht="16.5">
      <c r="A34" s="3032">
        <v>25</v>
      </c>
      <c r="B34" s="3032" t="s">
        <v>3539</v>
      </c>
      <c r="C34" s="3032" t="s">
        <v>3560</v>
      </c>
      <c r="D34" s="3032" t="s">
        <v>3562</v>
      </c>
      <c r="E34" s="3032">
        <v>502</v>
      </c>
      <c r="F34" s="3032">
        <v>79.22</v>
      </c>
      <c r="G34" s="3032" t="s">
        <v>3559</v>
      </c>
    </row>
    <row r="35" spans="1:7" ht="16.5">
      <c r="A35" s="3032">
        <v>26</v>
      </c>
      <c r="B35" s="3032" t="s">
        <v>3539</v>
      </c>
      <c r="C35" s="3032" t="s">
        <v>3560</v>
      </c>
      <c r="D35" s="3032" t="s">
        <v>3562</v>
      </c>
      <c r="E35" s="3032">
        <v>503</v>
      </c>
      <c r="F35" s="3032">
        <v>44.52</v>
      </c>
      <c r="G35" s="3032" t="s">
        <v>3559</v>
      </c>
    </row>
    <row r="36" spans="1:7" ht="16.5">
      <c r="A36" s="3032">
        <v>27</v>
      </c>
      <c r="B36" s="3032" t="s">
        <v>3539</v>
      </c>
      <c r="C36" s="3032" t="s">
        <v>3560</v>
      </c>
      <c r="D36" s="3032" t="s">
        <v>3562</v>
      </c>
      <c r="E36" s="3032">
        <v>504</v>
      </c>
      <c r="F36" s="3032">
        <v>44.52</v>
      </c>
      <c r="G36" s="3032" t="s">
        <v>3559</v>
      </c>
    </row>
    <row r="37" spans="1:7" ht="16.5">
      <c r="A37" s="3032">
        <v>28</v>
      </c>
      <c r="B37" s="3032" t="s">
        <v>3539</v>
      </c>
      <c r="C37" s="3032" t="s">
        <v>3560</v>
      </c>
      <c r="D37" s="3032" t="s">
        <v>3562</v>
      </c>
      <c r="E37" s="3032">
        <v>505</v>
      </c>
      <c r="F37" s="3032">
        <v>79.22</v>
      </c>
      <c r="G37" s="3032" t="s">
        <v>3559</v>
      </c>
    </row>
    <row r="38" spans="1:7" ht="16.5">
      <c r="A38" s="3032">
        <v>29</v>
      </c>
      <c r="B38" s="3032" t="s">
        <v>3539</v>
      </c>
      <c r="C38" s="3032" t="s">
        <v>3560</v>
      </c>
      <c r="D38" s="3032" t="s">
        <v>3562</v>
      </c>
      <c r="E38" s="3032">
        <v>506</v>
      </c>
      <c r="F38" s="3032">
        <v>86.07</v>
      </c>
      <c r="G38" s="3032" t="s">
        <v>3559</v>
      </c>
    </row>
    <row r="39" spans="1:7" ht="16.5">
      <c r="A39" s="3032">
        <v>30</v>
      </c>
      <c r="B39" s="3032" t="s">
        <v>3539</v>
      </c>
      <c r="C39" s="3032" t="s">
        <v>3560</v>
      </c>
      <c r="D39" s="3032" t="s">
        <v>3562</v>
      </c>
      <c r="E39" s="3032">
        <v>601</v>
      </c>
      <c r="F39" s="3032">
        <v>89.02</v>
      </c>
      <c r="G39" s="3032" t="s">
        <v>3559</v>
      </c>
    </row>
    <row r="40" spans="1:7" ht="16.5">
      <c r="A40" s="3032">
        <v>31</v>
      </c>
      <c r="B40" s="3032" t="s">
        <v>3539</v>
      </c>
      <c r="C40" s="3032" t="s">
        <v>3560</v>
      </c>
      <c r="D40" s="3032" t="s">
        <v>3562</v>
      </c>
      <c r="E40" s="3032">
        <v>602</v>
      </c>
      <c r="F40" s="3032">
        <v>79.22</v>
      </c>
      <c r="G40" s="3032" t="s">
        <v>3559</v>
      </c>
    </row>
    <row r="41" spans="1:7" ht="16.5">
      <c r="A41" s="3032">
        <v>32</v>
      </c>
      <c r="B41" s="3032" t="s">
        <v>3539</v>
      </c>
      <c r="C41" s="3032" t="s">
        <v>3560</v>
      </c>
      <c r="D41" s="3032" t="s">
        <v>3562</v>
      </c>
      <c r="E41" s="3032">
        <v>603</v>
      </c>
      <c r="F41" s="3032">
        <v>44.52</v>
      </c>
      <c r="G41" s="3032" t="s">
        <v>3559</v>
      </c>
    </row>
    <row r="42" spans="1:7" ht="16.5">
      <c r="A42" s="3032">
        <v>33</v>
      </c>
      <c r="B42" s="3032" t="s">
        <v>3539</v>
      </c>
      <c r="C42" s="3032" t="s">
        <v>3560</v>
      </c>
      <c r="D42" s="3032" t="s">
        <v>3562</v>
      </c>
      <c r="E42" s="3032">
        <v>604</v>
      </c>
      <c r="F42" s="3032">
        <v>44.52</v>
      </c>
      <c r="G42" s="3032" t="s">
        <v>3559</v>
      </c>
    </row>
    <row r="43" spans="1:7" ht="16.5">
      <c r="A43" s="3032">
        <v>34</v>
      </c>
      <c r="B43" s="3032" t="s">
        <v>3539</v>
      </c>
      <c r="C43" s="3032" t="s">
        <v>3560</v>
      </c>
      <c r="D43" s="3032" t="s">
        <v>3562</v>
      </c>
      <c r="E43" s="3032">
        <v>605</v>
      </c>
      <c r="F43" s="3032">
        <v>79.22</v>
      </c>
      <c r="G43" s="3032" t="s">
        <v>3559</v>
      </c>
    </row>
    <row r="44" spans="1:7" ht="16.5">
      <c r="A44" s="3032">
        <v>35</v>
      </c>
      <c r="B44" s="3032" t="s">
        <v>3539</v>
      </c>
      <c r="C44" s="3032" t="s">
        <v>3560</v>
      </c>
      <c r="D44" s="3032" t="s">
        <v>3562</v>
      </c>
      <c r="E44" s="3032">
        <v>606</v>
      </c>
      <c r="F44" s="3032">
        <v>86.07</v>
      </c>
      <c r="G44" s="3032" t="s">
        <v>3559</v>
      </c>
    </row>
    <row r="45" spans="1:7" ht="16.5">
      <c r="A45" s="3032">
        <v>36</v>
      </c>
      <c r="B45" s="3032" t="s">
        <v>3539</v>
      </c>
      <c r="C45" s="3032" t="s">
        <v>3560</v>
      </c>
      <c r="D45" s="3032" t="s">
        <v>3562</v>
      </c>
      <c r="E45" s="3032">
        <v>701</v>
      </c>
      <c r="F45" s="3032">
        <v>89.02</v>
      </c>
      <c r="G45" s="3032" t="s">
        <v>3559</v>
      </c>
    </row>
    <row r="46" spans="1:7" ht="16.5">
      <c r="A46" s="3032">
        <v>37</v>
      </c>
      <c r="B46" s="3032" t="s">
        <v>3539</v>
      </c>
      <c r="C46" s="3032" t="s">
        <v>3560</v>
      </c>
      <c r="D46" s="3032" t="s">
        <v>3562</v>
      </c>
      <c r="E46" s="3032">
        <v>702</v>
      </c>
      <c r="F46" s="3032">
        <v>79.22</v>
      </c>
      <c r="G46" s="3032" t="s">
        <v>3559</v>
      </c>
    </row>
    <row r="47" spans="1:7" ht="16.5">
      <c r="A47" s="3032">
        <v>38</v>
      </c>
      <c r="B47" s="3032" t="s">
        <v>3539</v>
      </c>
      <c r="C47" s="3032" t="s">
        <v>3560</v>
      </c>
      <c r="D47" s="3032" t="s">
        <v>3562</v>
      </c>
      <c r="E47" s="3032">
        <v>703</v>
      </c>
      <c r="F47" s="3032">
        <v>44.52</v>
      </c>
      <c r="G47" s="3032" t="s">
        <v>3559</v>
      </c>
    </row>
    <row r="48" spans="1:7" ht="16.5">
      <c r="A48" s="3032">
        <v>39</v>
      </c>
      <c r="B48" s="3032" t="s">
        <v>3539</v>
      </c>
      <c r="C48" s="3032" t="s">
        <v>3560</v>
      </c>
      <c r="D48" s="3032" t="s">
        <v>3562</v>
      </c>
      <c r="E48" s="3032">
        <v>704</v>
      </c>
      <c r="F48" s="3032">
        <v>44.52</v>
      </c>
      <c r="G48" s="3032" t="s">
        <v>3559</v>
      </c>
    </row>
    <row r="49" spans="1:7" ht="16.5">
      <c r="A49" s="3032">
        <v>40</v>
      </c>
      <c r="B49" s="3032" t="s">
        <v>3539</v>
      </c>
      <c r="C49" s="3032" t="s">
        <v>3560</v>
      </c>
      <c r="D49" s="3032" t="s">
        <v>3562</v>
      </c>
      <c r="E49" s="3032">
        <v>705</v>
      </c>
      <c r="F49" s="3032">
        <v>79.22</v>
      </c>
      <c r="G49" s="3032" t="s">
        <v>3559</v>
      </c>
    </row>
    <row r="50" spans="1:7" ht="16.5">
      <c r="A50" s="3032">
        <v>41</v>
      </c>
      <c r="B50" s="3032" t="s">
        <v>3539</v>
      </c>
      <c r="C50" s="3032" t="s">
        <v>3560</v>
      </c>
      <c r="D50" s="3032" t="s">
        <v>3562</v>
      </c>
      <c r="E50" s="3032">
        <v>706</v>
      </c>
      <c r="F50" s="3032">
        <v>86.07</v>
      </c>
      <c r="G50" s="3032" t="s">
        <v>3559</v>
      </c>
    </row>
    <row r="51" spans="1:7" ht="16.5">
      <c r="A51" s="3032">
        <v>42</v>
      </c>
      <c r="B51" s="3032" t="s">
        <v>3539</v>
      </c>
      <c r="C51" s="3032" t="s">
        <v>3560</v>
      </c>
      <c r="D51" s="3032" t="s">
        <v>3562</v>
      </c>
      <c r="E51" s="3032">
        <v>801</v>
      </c>
      <c r="F51" s="3032">
        <v>89.02</v>
      </c>
      <c r="G51" s="3032" t="s">
        <v>3559</v>
      </c>
    </row>
    <row r="52" spans="1:7" ht="16.5">
      <c r="A52" s="3032">
        <v>43</v>
      </c>
      <c r="B52" s="3032" t="s">
        <v>3539</v>
      </c>
      <c r="C52" s="3032" t="s">
        <v>3560</v>
      </c>
      <c r="D52" s="3032" t="s">
        <v>3562</v>
      </c>
      <c r="E52" s="3032">
        <v>802</v>
      </c>
      <c r="F52" s="3032">
        <v>79.22</v>
      </c>
      <c r="G52" s="3032" t="s">
        <v>3559</v>
      </c>
    </row>
    <row r="53" spans="1:7" ht="16.5">
      <c r="A53" s="3032">
        <v>44</v>
      </c>
      <c r="B53" s="3032" t="s">
        <v>3539</v>
      </c>
      <c r="C53" s="3032" t="s">
        <v>3560</v>
      </c>
      <c r="D53" s="3032" t="s">
        <v>3562</v>
      </c>
      <c r="E53" s="3032">
        <v>803</v>
      </c>
      <c r="F53" s="3032">
        <v>44.52</v>
      </c>
      <c r="G53" s="3032" t="s">
        <v>3559</v>
      </c>
    </row>
    <row r="54" spans="1:7" ht="16.5">
      <c r="A54" s="3032">
        <v>45</v>
      </c>
      <c r="B54" s="3032" t="s">
        <v>3539</v>
      </c>
      <c r="C54" s="3032" t="s">
        <v>3560</v>
      </c>
      <c r="D54" s="3032" t="s">
        <v>3562</v>
      </c>
      <c r="E54" s="3032">
        <v>804</v>
      </c>
      <c r="F54" s="3032">
        <v>44.52</v>
      </c>
      <c r="G54" s="3032" t="s">
        <v>3559</v>
      </c>
    </row>
    <row r="55" spans="1:7" ht="16.5">
      <c r="A55" s="3032">
        <v>46</v>
      </c>
      <c r="B55" s="3032" t="s">
        <v>3539</v>
      </c>
      <c r="C55" s="3032" t="s">
        <v>3560</v>
      </c>
      <c r="D55" s="3032" t="s">
        <v>3562</v>
      </c>
      <c r="E55" s="3032">
        <v>805</v>
      </c>
      <c r="F55" s="3032">
        <v>79.22</v>
      </c>
      <c r="G55" s="3032" t="s">
        <v>3559</v>
      </c>
    </row>
    <row r="56" spans="1:7" ht="16.5">
      <c r="A56" s="3032">
        <v>47</v>
      </c>
      <c r="B56" s="3032" t="s">
        <v>3539</v>
      </c>
      <c r="C56" s="3032" t="s">
        <v>3560</v>
      </c>
      <c r="D56" s="3032" t="s">
        <v>3562</v>
      </c>
      <c r="E56" s="3032">
        <v>806</v>
      </c>
      <c r="F56" s="3032">
        <v>86.07</v>
      </c>
      <c r="G56" s="3032" t="s">
        <v>3559</v>
      </c>
    </row>
    <row r="57" spans="1:7" ht="16.5">
      <c r="A57" s="3032">
        <v>48</v>
      </c>
      <c r="B57" s="3032" t="s">
        <v>3539</v>
      </c>
      <c r="C57" s="3032" t="s">
        <v>3560</v>
      </c>
      <c r="D57" s="3032" t="s">
        <v>3562</v>
      </c>
      <c r="E57" s="3032">
        <v>901</v>
      </c>
      <c r="F57" s="3032">
        <v>89.02</v>
      </c>
      <c r="G57" s="3032" t="s">
        <v>3559</v>
      </c>
    </row>
    <row r="58" spans="1:7" ht="16.5">
      <c r="A58" s="3032">
        <v>49</v>
      </c>
      <c r="B58" s="3032" t="s">
        <v>3539</v>
      </c>
      <c r="C58" s="3032" t="s">
        <v>3560</v>
      </c>
      <c r="D58" s="3032" t="s">
        <v>3562</v>
      </c>
      <c r="E58" s="3032">
        <v>902</v>
      </c>
      <c r="F58" s="3032">
        <v>79.22</v>
      </c>
      <c r="G58" s="3032" t="s">
        <v>3559</v>
      </c>
    </row>
    <row r="59" spans="1:7" ht="16.5">
      <c r="A59" s="3032">
        <v>50</v>
      </c>
      <c r="B59" s="3032" t="s">
        <v>3539</v>
      </c>
      <c r="C59" s="3032" t="s">
        <v>3560</v>
      </c>
      <c r="D59" s="3032" t="s">
        <v>3562</v>
      </c>
      <c r="E59" s="3032">
        <v>903</v>
      </c>
      <c r="F59" s="3032">
        <v>44.52</v>
      </c>
      <c r="G59" s="3032" t="s">
        <v>3559</v>
      </c>
    </row>
    <row r="60" spans="1:7" ht="16.5">
      <c r="A60" s="3032">
        <v>51</v>
      </c>
      <c r="B60" s="3032" t="s">
        <v>3539</v>
      </c>
      <c r="C60" s="3032" t="s">
        <v>3560</v>
      </c>
      <c r="D60" s="3032" t="s">
        <v>3562</v>
      </c>
      <c r="E60" s="3032">
        <v>904</v>
      </c>
      <c r="F60" s="3032">
        <v>44.52</v>
      </c>
      <c r="G60" s="3032" t="s">
        <v>3559</v>
      </c>
    </row>
    <row r="61" spans="1:7" ht="16.5">
      <c r="A61" s="3032">
        <v>52</v>
      </c>
      <c r="B61" s="3032" t="s">
        <v>3539</v>
      </c>
      <c r="C61" s="3032" t="s">
        <v>3560</v>
      </c>
      <c r="D61" s="3032" t="s">
        <v>3562</v>
      </c>
      <c r="E61" s="3032">
        <v>905</v>
      </c>
      <c r="F61" s="3032">
        <v>79.22</v>
      </c>
      <c r="G61" s="3032" t="s">
        <v>3559</v>
      </c>
    </row>
    <row r="62" spans="1:7" ht="16.5">
      <c r="A62" s="3032">
        <v>53</v>
      </c>
      <c r="B62" s="3032" t="s">
        <v>3539</v>
      </c>
      <c r="C62" s="3032" t="s">
        <v>3560</v>
      </c>
      <c r="D62" s="3032" t="s">
        <v>3562</v>
      </c>
      <c r="E62" s="3032">
        <v>906</v>
      </c>
      <c r="F62" s="3032">
        <v>86.07</v>
      </c>
      <c r="G62" s="3032" t="s">
        <v>3559</v>
      </c>
    </row>
    <row r="63" spans="1:7" ht="16.5">
      <c r="A63" s="3032">
        <v>54</v>
      </c>
      <c r="B63" s="3032" t="s">
        <v>3539</v>
      </c>
      <c r="C63" s="3032" t="s">
        <v>3560</v>
      </c>
      <c r="D63" s="3032" t="s">
        <v>3562</v>
      </c>
      <c r="E63" s="3032">
        <v>1001</v>
      </c>
      <c r="F63" s="3032">
        <v>89.02</v>
      </c>
      <c r="G63" s="3032" t="s">
        <v>3559</v>
      </c>
    </row>
    <row r="64" spans="1:7" ht="16.5">
      <c r="A64" s="3032">
        <v>55</v>
      </c>
      <c r="B64" s="3032" t="s">
        <v>3539</v>
      </c>
      <c r="C64" s="3032" t="s">
        <v>3560</v>
      </c>
      <c r="D64" s="3032" t="s">
        <v>3562</v>
      </c>
      <c r="E64" s="3032">
        <v>1002</v>
      </c>
      <c r="F64" s="3032">
        <v>79.22</v>
      </c>
      <c r="G64" s="3032" t="s">
        <v>3559</v>
      </c>
    </row>
    <row r="65" spans="1:7" ht="16.5">
      <c r="A65" s="3032">
        <v>56</v>
      </c>
      <c r="B65" s="3032" t="s">
        <v>3539</v>
      </c>
      <c r="C65" s="3032" t="s">
        <v>3560</v>
      </c>
      <c r="D65" s="3032" t="s">
        <v>3562</v>
      </c>
      <c r="E65" s="3032">
        <v>1003</v>
      </c>
      <c r="F65" s="3032">
        <v>44.52</v>
      </c>
      <c r="G65" s="3032" t="s">
        <v>3559</v>
      </c>
    </row>
    <row r="66" spans="1:7" ht="16.5">
      <c r="A66" s="3032">
        <v>57</v>
      </c>
      <c r="B66" s="3032" t="s">
        <v>3539</v>
      </c>
      <c r="C66" s="3032" t="s">
        <v>3560</v>
      </c>
      <c r="D66" s="3032" t="s">
        <v>3562</v>
      </c>
      <c r="E66" s="3032">
        <v>1004</v>
      </c>
      <c r="F66" s="3032">
        <v>44.52</v>
      </c>
      <c r="G66" s="3032" t="s">
        <v>3559</v>
      </c>
    </row>
    <row r="67" spans="1:7" ht="16.5">
      <c r="A67" s="3032">
        <v>58</v>
      </c>
      <c r="B67" s="3032" t="s">
        <v>3539</v>
      </c>
      <c r="C67" s="3032" t="s">
        <v>3560</v>
      </c>
      <c r="D67" s="3032" t="s">
        <v>3562</v>
      </c>
      <c r="E67" s="3032">
        <v>1005</v>
      </c>
      <c r="F67" s="3032">
        <v>79.22</v>
      </c>
      <c r="G67" s="3032" t="s">
        <v>3559</v>
      </c>
    </row>
    <row r="68" spans="1:7" ht="16.5">
      <c r="A68" s="3032">
        <v>59</v>
      </c>
      <c r="B68" s="3032" t="s">
        <v>3539</v>
      </c>
      <c r="C68" s="3032" t="s">
        <v>3560</v>
      </c>
      <c r="D68" s="3032" t="s">
        <v>3562</v>
      </c>
      <c r="E68" s="3032">
        <v>1006</v>
      </c>
      <c r="F68" s="3032">
        <v>86.07</v>
      </c>
      <c r="G68" s="3032" t="s">
        <v>3559</v>
      </c>
    </row>
    <row r="69" spans="1:7" ht="16.5">
      <c r="A69" s="3032">
        <v>60</v>
      </c>
      <c r="B69" s="3032" t="s">
        <v>3539</v>
      </c>
      <c r="C69" s="3032" t="s">
        <v>3560</v>
      </c>
      <c r="D69" s="3032" t="s">
        <v>3562</v>
      </c>
      <c r="E69" s="3032">
        <v>1101</v>
      </c>
      <c r="F69" s="3032">
        <v>89.02</v>
      </c>
      <c r="G69" s="3032" t="s">
        <v>3559</v>
      </c>
    </row>
    <row r="70" spans="1:7" ht="16.5">
      <c r="A70" s="3032">
        <v>61</v>
      </c>
      <c r="B70" s="3032" t="s">
        <v>3539</v>
      </c>
      <c r="C70" s="3032" t="s">
        <v>3560</v>
      </c>
      <c r="D70" s="3032" t="s">
        <v>3562</v>
      </c>
      <c r="E70" s="3032">
        <v>1102</v>
      </c>
      <c r="F70" s="3032">
        <v>79.22</v>
      </c>
      <c r="G70" s="3032" t="s">
        <v>3559</v>
      </c>
    </row>
    <row r="71" spans="1:7" ht="16.5">
      <c r="A71" s="3032">
        <v>62</v>
      </c>
      <c r="B71" s="3032" t="s">
        <v>3539</v>
      </c>
      <c r="C71" s="3032" t="s">
        <v>3560</v>
      </c>
      <c r="D71" s="3032" t="s">
        <v>3562</v>
      </c>
      <c r="E71" s="3032">
        <v>1103</v>
      </c>
      <c r="F71" s="3032">
        <v>44.52</v>
      </c>
      <c r="G71" s="3032" t="s">
        <v>3559</v>
      </c>
    </row>
    <row r="72" spans="1:7" ht="16.5">
      <c r="A72" s="3032">
        <v>63</v>
      </c>
      <c r="B72" s="3032" t="s">
        <v>3539</v>
      </c>
      <c r="C72" s="3032" t="s">
        <v>3560</v>
      </c>
      <c r="D72" s="3032" t="s">
        <v>3562</v>
      </c>
      <c r="E72" s="3032">
        <v>1104</v>
      </c>
      <c r="F72" s="3032">
        <v>44.52</v>
      </c>
      <c r="G72" s="3032" t="s">
        <v>3559</v>
      </c>
    </row>
    <row r="73" spans="1:7" ht="16.5">
      <c r="A73" s="3032">
        <v>64</v>
      </c>
      <c r="B73" s="3032" t="s">
        <v>3539</v>
      </c>
      <c r="C73" s="3032" t="s">
        <v>3560</v>
      </c>
      <c r="D73" s="3032" t="s">
        <v>3562</v>
      </c>
      <c r="E73" s="3032">
        <v>1105</v>
      </c>
      <c r="F73" s="3032">
        <v>79.22</v>
      </c>
      <c r="G73" s="3032" t="s">
        <v>3559</v>
      </c>
    </row>
    <row r="74" spans="1:7" ht="16.5">
      <c r="A74" s="3032">
        <v>65</v>
      </c>
      <c r="B74" s="3032" t="s">
        <v>3539</v>
      </c>
      <c r="C74" s="3032" t="s">
        <v>3560</v>
      </c>
      <c r="D74" s="3032" t="s">
        <v>3562</v>
      </c>
      <c r="E74" s="3032">
        <v>1106</v>
      </c>
      <c r="F74" s="3032">
        <v>86.07</v>
      </c>
      <c r="G74" s="3032" t="s">
        <v>3559</v>
      </c>
    </row>
    <row r="75" spans="1:7" ht="16.5">
      <c r="A75" s="3032">
        <v>66</v>
      </c>
      <c r="B75" s="3032" t="s">
        <v>3539</v>
      </c>
      <c r="C75" s="3032" t="s">
        <v>3560</v>
      </c>
      <c r="D75" s="3032" t="s">
        <v>3562</v>
      </c>
      <c r="E75" s="3032">
        <v>1201</v>
      </c>
      <c r="F75" s="3032">
        <v>89.02</v>
      </c>
      <c r="G75" s="3032" t="s">
        <v>3559</v>
      </c>
    </row>
    <row r="76" spans="1:7" ht="16.5">
      <c r="A76" s="3032">
        <v>67</v>
      </c>
      <c r="B76" s="3032" t="s">
        <v>3539</v>
      </c>
      <c r="C76" s="3032" t="s">
        <v>3560</v>
      </c>
      <c r="D76" s="3032" t="s">
        <v>3562</v>
      </c>
      <c r="E76" s="3032">
        <v>1202</v>
      </c>
      <c r="F76" s="3032">
        <v>79.22</v>
      </c>
      <c r="G76" s="3032" t="s">
        <v>3559</v>
      </c>
    </row>
    <row r="77" spans="1:7" ht="16.5">
      <c r="A77" s="3032">
        <v>68</v>
      </c>
      <c r="B77" s="3032" t="s">
        <v>3539</v>
      </c>
      <c r="C77" s="3032" t="s">
        <v>3560</v>
      </c>
      <c r="D77" s="3032" t="s">
        <v>3562</v>
      </c>
      <c r="E77" s="3032">
        <v>1203</v>
      </c>
      <c r="F77" s="3032">
        <v>44.52</v>
      </c>
      <c r="G77" s="3032" t="s">
        <v>3559</v>
      </c>
    </row>
    <row r="78" spans="1:7" ht="16.5">
      <c r="A78" s="3032">
        <v>69</v>
      </c>
      <c r="B78" s="3032" t="s">
        <v>3539</v>
      </c>
      <c r="C78" s="3032" t="s">
        <v>3560</v>
      </c>
      <c r="D78" s="3032" t="s">
        <v>3562</v>
      </c>
      <c r="E78" s="3032">
        <v>1204</v>
      </c>
      <c r="F78" s="3032">
        <v>44.52</v>
      </c>
      <c r="G78" s="3032" t="s">
        <v>3559</v>
      </c>
    </row>
    <row r="79" spans="1:7" ht="16.5">
      <c r="A79" s="3032">
        <v>70</v>
      </c>
      <c r="B79" s="3032" t="s">
        <v>3539</v>
      </c>
      <c r="C79" s="3032" t="s">
        <v>3560</v>
      </c>
      <c r="D79" s="3032" t="s">
        <v>3562</v>
      </c>
      <c r="E79" s="3032">
        <v>1205</v>
      </c>
      <c r="F79" s="3032">
        <v>79.22</v>
      </c>
      <c r="G79" s="3032" t="s">
        <v>3559</v>
      </c>
    </row>
    <row r="80" spans="1:7" ht="16.5">
      <c r="A80" s="3032">
        <v>71</v>
      </c>
      <c r="B80" s="3032" t="s">
        <v>3539</v>
      </c>
      <c r="C80" s="3032" t="s">
        <v>3560</v>
      </c>
      <c r="D80" s="3032" t="s">
        <v>3562</v>
      </c>
      <c r="E80" s="3032">
        <v>1206</v>
      </c>
      <c r="F80" s="3032">
        <v>86.07</v>
      </c>
      <c r="G80" s="3032" t="s">
        <v>3559</v>
      </c>
    </row>
    <row r="81" spans="1:7" ht="16.5">
      <c r="A81" s="3032">
        <v>72</v>
      </c>
      <c r="B81" s="3032" t="s">
        <v>3539</v>
      </c>
      <c r="C81" s="3032" t="s">
        <v>3560</v>
      </c>
      <c r="D81" s="3032" t="s">
        <v>3562</v>
      </c>
      <c r="E81" s="3032">
        <v>1301</v>
      </c>
      <c r="F81" s="3032">
        <v>89.02</v>
      </c>
      <c r="G81" s="3032" t="s">
        <v>3559</v>
      </c>
    </row>
    <row r="82" spans="1:7" ht="16.5">
      <c r="A82" s="3032">
        <v>73</v>
      </c>
      <c r="B82" s="3032" t="s">
        <v>3539</v>
      </c>
      <c r="C82" s="3032" t="s">
        <v>3560</v>
      </c>
      <c r="D82" s="3032" t="s">
        <v>3562</v>
      </c>
      <c r="E82" s="3032">
        <v>1302</v>
      </c>
      <c r="F82" s="3032">
        <v>79.22</v>
      </c>
      <c r="G82" s="3032" t="s">
        <v>3559</v>
      </c>
    </row>
    <row r="83" spans="1:7" ht="16.5">
      <c r="A83" s="3032">
        <v>74</v>
      </c>
      <c r="B83" s="3032" t="s">
        <v>3539</v>
      </c>
      <c r="C83" s="3032" t="s">
        <v>3560</v>
      </c>
      <c r="D83" s="3032" t="s">
        <v>3562</v>
      </c>
      <c r="E83" s="3032">
        <v>1303</v>
      </c>
      <c r="F83" s="3032">
        <v>44.52</v>
      </c>
      <c r="G83" s="3032" t="s">
        <v>3559</v>
      </c>
    </row>
    <row r="84" spans="1:7" ht="16.5">
      <c r="A84" s="3032">
        <v>75</v>
      </c>
      <c r="B84" s="3032" t="s">
        <v>3539</v>
      </c>
      <c r="C84" s="3032" t="s">
        <v>3560</v>
      </c>
      <c r="D84" s="3032" t="s">
        <v>3562</v>
      </c>
      <c r="E84" s="3032">
        <v>1304</v>
      </c>
      <c r="F84" s="3032">
        <v>44.52</v>
      </c>
      <c r="G84" s="3032" t="s">
        <v>3559</v>
      </c>
    </row>
    <row r="85" spans="1:7" ht="16.5">
      <c r="A85" s="3032">
        <v>76</v>
      </c>
      <c r="B85" s="3032" t="s">
        <v>3539</v>
      </c>
      <c r="C85" s="3032" t="s">
        <v>3560</v>
      </c>
      <c r="D85" s="3032" t="s">
        <v>3562</v>
      </c>
      <c r="E85" s="3032">
        <v>1305</v>
      </c>
      <c r="F85" s="3032">
        <v>79.22</v>
      </c>
      <c r="G85" s="3032" t="s">
        <v>3559</v>
      </c>
    </row>
    <row r="86" spans="1:7" ht="16.5">
      <c r="A86" s="3032">
        <v>77</v>
      </c>
      <c r="B86" s="3032" t="s">
        <v>3539</v>
      </c>
      <c r="C86" s="3032" t="s">
        <v>3560</v>
      </c>
      <c r="D86" s="3032" t="s">
        <v>3562</v>
      </c>
      <c r="E86" s="3032">
        <v>1306</v>
      </c>
      <c r="F86" s="3032">
        <v>86.07</v>
      </c>
      <c r="G86" s="3032" t="s">
        <v>3559</v>
      </c>
    </row>
    <row r="87" spans="1:7" ht="16.5">
      <c r="A87" s="3032">
        <v>78</v>
      </c>
      <c r="B87" s="3032" t="s">
        <v>3539</v>
      </c>
      <c r="C87" s="3032" t="s">
        <v>3560</v>
      </c>
      <c r="D87" s="3032" t="s">
        <v>3562</v>
      </c>
      <c r="E87" s="3032">
        <v>1401</v>
      </c>
      <c r="F87" s="3032">
        <v>89.02</v>
      </c>
      <c r="G87" s="3032" t="s">
        <v>3559</v>
      </c>
    </row>
    <row r="88" spans="1:7" ht="16.5">
      <c r="A88" s="3032">
        <v>79</v>
      </c>
      <c r="B88" s="3032" t="s">
        <v>3539</v>
      </c>
      <c r="C88" s="3032" t="s">
        <v>3560</v>
      </c>
      <c r="D88" s="3032" t="s">
        <v>3562</v>
      </c>
      <c r="E88" s="3032">
        <v>1402</v>
      </c>
      <c r="F88" s="3032">
        <v>79.22</v>
      </c>
      <c r="G88" s="3032" t="s">
        <v>3559</v>
      </c>
    </row>
    <row r="89" spans="1:7" ht="16.5">
      <c r="A89" s="3032">
        <v>80</v>
      </c>
      <c r="B89" s="3032" t="s">
        <v>3539</v>
      </c>
      <c r="C89" s="3032" t="s">
        <v>3560</v>
      </c>
      <c r="D89" s="3032" t="s">
        <v>3562</v>
      </c>
      <c r="E89" s="3032">
        <v>1403</v>
      </c>
      <c r="F89" s="3032">
        <v>44.52</v>
      </c>
      <c r="G89" s="3032" t="s">
        <v>3559</v>
      </c>
    </row>
    <row r="90" spans="1:7" ht="16.5">
      <c r="A90" s="3032">
        <v>81</v>
      </c>
      <c r="B90" s="3032" t="s">
        <v>3539</v>
      </c>
      <c r="C90" s="3032" t="s">
        <v>3560</v>
      </c>
      <c r="D90" s="3032" t="s">
        <v>3562</v>
      </c>
      <c r="E90" s="3032">
        <v>1404</v>
      </c>
      <c r="F90" s="3032">
        <v>44.52</v>
      </c>
      <c r="G90" s="3032" t="s">
        <v>3559</v>
      </c>
    </row>
    <row r="91" spans="1:7" ht="16.5">
      <c r="A91" s="3032">
        <v>82</v>
      </c>
      <c r="B91" s="3032" t="s">
        <v>3539</v>
      </c>
      <c r="C91" s="3032" t="s">
        <v>3560</v>
      </c>
      <c r="D91" s="3032" t="s">
        <v>3562</v>
      </c>
      <c r="E91" s="3032">
        <v>1405</v>
      </c>
      <c r="F91" s="3032">
        <v>79.22</v>
      </c>
      <c r="G91" s="3032" t="s">
        <v>3559</v>
      </c>
    </row>
    <row r="92" spans="1:7" ht="16.5">
      <c r="A92" s="3032">
        <v>83</v>
      </c>
      <c r="B92" s="3032" t="s">
        <v>3539</v>
      </c>
      <c r="C92" s="3032" t="s">
        <v>3560</v>
      </c>
      <c r="D92" s="3032" t="s">
        <v>3562</v>
      </c>
      <c r="E92" s="3032">
        <v>1406</v>
      </c>
      <c r="F92" s="3032">
        <v>86.07</v>
      </c>
      <c r="G92" s="3032" t="s">
        <v>3559</v>
      </c>
    </row>
    <row r="93" spans="1:7" ht="16.5">
      <c r="A93" s="3032">
        <v>84</v>
      </c>
      <c r="B93" s="3032" t="s">
        <v>3539</v>
      </c>
      <c r="C93" s="3032" t="s">
        <v>3560</v>
      </c>
      <c r="D93" s="3032" t="s">
        <v>3562</v>
      </c>
      <c r="E93" s="3032">
        <v>1501</v>
      </c>
      <c r="F93" s="3032">
        <v>89.02</v>
      </c>
      <c r="G93" s="3032" t="s">
        <v>3559</v>
      </c>
    </row>
    <row r="94" spans="1:7" ht="16.5">
      <c r="A94" s="3032">
        <v>85</v>
      </c>
      <c r="B94" s="3032" t="s">
        <v>3539</v>
      </c>
      <c r="C94" s="3032" t="s">
        <v>3560</v>
      </c>
      <c r="D94" s="3032" t="s">
        <v>3562</v>
      </c>
      <c r="E94" s="3032">
        <v>1502</v>
      </c>
      <c r="F94" s="3032">
        <v>79.22</v>
      </c>
      <c r="G94" s="3032" t="s">
        <v>3559</v>
      </c>
    </row>
    <row r="95" spans="1:7" ht="16.5">
      <c r="A95" s="3032">
        <v>86</v>
      </c>
      <c r="B95" s="3032" t="s">
        <v>3539</v>
      </c>
      <c r="C95" s="3032" t="s">
        <v>3560</v>
      </c>
      <c r="D95" s="3032" t="s">
        <v>3562</v>
      </c>
      <c r="E95" s="3032">
        <v>1503</v>
      </c>
      <c r="F95" s="3032">
        <v>44.52</v>
      </c>
      <c r="G95" s="3032" t="s">
        <v>3559</v>
      </c>
    </row>
    <row r="96" spans="1:7" ht="16.5">
      <c r="A96" s="3032">
        <v>87</v>
      </c>
      <c r="B96" s="3032" t="s">
        <v>3539</v>
      </c>
      <c r="C96" s="3032" t="s">
        <v>3560</v>
      </c>
      <c r="D96" s="3032" t="s">
        <v>3562</v>
      </c>
      <c r="E96" s="3032">
        <v>1504</v>
      </c>
      <c r="F96" s="3032">
        <v>44.52</v>
      </c>
      <c r="G96" s="3032" t="s">
        <v>3559</v>
      </c>
    </row>
    <row r="97" spans="1:7" ht="16.5">
      <c r="A97" s="3032">
        <v>88</v>
      </c>
      <c r="B97" s="3032" t="s">
        <v>3539</v>
      </c>
      <c r="C97" s="3032" t="s">
        <v>3560</v>
      </c>
      <c r="D97" s="3032" t="s">
        <v>3562</v>
      </c>
      <c r="E97" s="3032">
        <v>1505</v>
      </c>
      <c r="F97" s="3032">
        <v>79.22</v>
      </c>
      <c r="G97" s="3032" t="s">
        <v>3559</v>
      </c>
    </row>
    <row r="98" spans="1:7" ht="16.5">
      <c r="A98" s="3032">
        <v>89</v>
      </c>
      <c r="B98" s="3032" t="s">
        <v>3539</v>
      </c>
      <c r="C98" s="3032" t="s">
        <v>3560</v>
      </c>
      <c r="D98" s="3032" t="s">
        <v>3562</v>
      </c>
      <c r="E98" s="3032">
        <v>1506</v>
      </c>
      <c r="F98" s="3032">
        <v>86.07</v>
      </c>
      <c r="G98" s="3032" t="s">
        <v>3559</v>
      </c>
    </row>
    <row r="99" spans="1:7" ht="16.5">
      <c r="A99" s="3032">
        <v>90</v>
      </c>
      <c r="B99" s="3032" t="s">
        <v>3539</v>
      </c>
      <c r="C99" s="3032" t="s">
        <v>3560</v>
      </c>
      <c r="D99" s="3032" t="s">
        <v>3562</v>
      </c>
      <c r="E99" s="3032">
        <v>1601</v>
      </c>
      <c r="F99" s="3032">
        <v>89.02</v>
      </c>
      <c r="G99" s="3032" t="s">
        <v>3559</v>
      </c>
    </row>
    <row r="100" spans="1:7" ht="16.5">
      <c r="A100" s="3032">
        <v>91</v>
      </c>
      <c r="B100" s="3032" t="s">
        <v>3539</v>
      </c>
      <c r="C100" s="3032" t="s">
        <v>3560</v>
      </c>
      <c r="D100" s="3032" t="s">
        <v>3562</v>
      </c>
      <c r="E100" s="3032">
        <v>1602</v>
      </c>
      <c r="F100" s="3032">
        <v>79.22</v>
      </c>
      <c r="G100" s="3032" t="s">
        <v>3559</v>
      </c>
    </row>
    <row r="101" spans="1:7" ht="16.5">
      <c r="A101" s="3032">
        <v>92</v>
      </c>
      <c r="B101" s="3032" t="s">
        <v>3539</v>
      </c>
      <c r="C101" s="3032" t="s">
        <v>3560</v>
      </c>
      <c r="D101" s="3032" t="s">
        <v>3562</v>
      </c>
      <c r="E101" s="3032">
        <v>1603</v>
      </c>
      <c r="F101" s="3032">
        <v>44.52</v>
      </c>
      <c r="G101" s="3032" t="s">
        <v>3559</v>
      </c>
    </row>
    <row r="102" spans="1:7" ht="16.5">
      <c r="A102" s="3032">
        <v>93</v>
      </c>
      <c r="B102" s="3032" t="s">
        <v>3539</v>
      </c>
      <c r="C102" s="3032" t="s">
        <v>3560</v>
      </c>
      <c r="D102" s="3032" t="s">
        <v>3562</v>
      </c>
      <c r="E102" s="3032">
        <v>1604</v>
      </c>
      <c r="F102" s="3032">
        <v>44.52</v>
      </c>
      <c r="G102" s="3032" t="s">
        <v>3559</v>
      </c>
    </row>
    <row r="103" spans="1:7" ht="16.5">
      <c r="A103" s="3032">
        <v>94</v>
      </c>
      <c r="B103" s="3032" t="s">
        <v>3539</v>
      </c>
      <c r="C103" s="3032" t="s">
        <v>3560</v>
      </c>
      <c r="D103" s="3032" t="s">
        <v>3562</v>
      </c>
      <c r="E103" s="3032">
        <v>1605</v>
      </c>
      <c r="F103" s="3032">
        <v>79.22</v>
      </c>
      <c r="G103" s="3032" t="s">
        <v>3559</v>
      </c>
    </row>
    <row r="104" spans="1:7" ht="16.5">
      <c r="A104" s="3032">
        <v>95</v>
      </c>
      <c r="B104" s="3032" t="s">
        <v>3539</v>
      </c>
      <c r="C104" s="3032" t="s">
        <v>3560</v>
      </c>
      <c r="D104" s="3032" t="s">
        <v>3562</v>
      </c>
      <c r="E104" s="3032">
        <v>1606</v>
      </c>
      <c r="F104" s="3032">
        <v>86.07</v>
      </c>
      <c r="G104" s="3032" t="s">
        <v>3559</v>
      </c>
    </row>
    <row r="105" spans="1:7" ht="16.5">
      <c r="A105" s="3032">
        <v>96</v>
      </c>
      <c r="B105" s="3032" t="s">
        <v>3539</v>
      </c>
      <c r="C105" s="3032" t="s">
        <v>3560</v>
      </c>
      <c r="D105" s="3032" t="s">
        <v>3562</v>
      </c>
      <c r="E105" s="3032">
        <v>1701</v>
      </c>
      <c r="F105" s="3032">
        <v>89.02</v>
      </c>
      <c r="G105" s="3032" t="s">
        <v>3559</v>
      </c>
    </row>
    <row r="106" spans="1:7" ht="16.5">
      <c r="A106" s="3032">
        <v>97</v>
      </c>
      <c r="B106" s="3032" t="s">
        <v>3539</v>
      </c>
      <c r="C106" s="3032" t="s">
        <v>3560</v>
      </c>
      <c r="D106" s="3032" t="s">
        <v>3562</v>
      </c>
      <c r="E106" s="3032">
        <v>1702</v>
      </c>
      <c r="F106" s="3032">
        <v>79.22</v>
      </c>
      <c r="G106" s="3032" t="s">
        <v>3559</v>
      </c>
    </row>
    <row r="107" spans="1:7" ht="16.5">
      <c r="A107" s="3032">
        <v>98</v>
      </c>
      <c r="B107" s="3032" t="s">
        <v>3539</v>
      </c>
      <c r="C107" s="3032" t="s">
        <v>3560</v>
      </c>
      <c r="D107" s="3032" t="s">
        <v>3562</v>
      </c>
      <c r="E107" s="3032">
        <v>1703</v>
      </c>
      <c r="F107" s="3032">
        <v>44.52</v>
      </c>
      <c r="G107" s="3032" t="s">
        <v>3559</v>
      </c>
    </row>
    <row r="108" spans="1:7" ht="16.5">
      <c r="A108" s="3032">
        <v>99</v>
      </c>
      <c r="B108" s="3032" t="s">
        <v>3539</v>
      </c>
      <c r="C108" s="3032" t="s">
        <v>3560</v>
      </c>
      <c r="D108" s="3032" t="s">
        <v>3562</v>
      </c>
      <c r="E108" s="3032">
        <v>1704</v>
      </c>
      <c r="F108" s="3032">
        <v>44.52</v>
      </c>
      <c r="G108" s="3032" t="s">
        <v>3559</v>
      </c>
    </row>
    <row r="109" spans="1:7" ht="16.5">
      <c r="A109" s="3032">
        <v>100</v>
      </c>
      <c r="B109" s="3032" t="s">
        <v>3539</v>
      </c>
      <c r="C109" s="3032" t="s">
        <v>3560</v>
      </c>
      <c r="D109" s="3032" t="s">
        <v>3562</v>
      </c>
      <c r="E109" s="3032">
        <v>1705</v>
      </c>
      <c r="F109" s="3032">
        <v>79.22</v>
      </c>
      <c r="G109" s="3032" t="s">
        <v>3559</v>
      </c>
    </row>
    <row r="110" spans="1:7" ht="16.5">
      <c r="A110" s="3032">
        <v>101</v>
      </c>
      <c r="B110" s="3032" t="s">
        <v>3539</v>
      </c>
      <c r="C110" s="3032" t="s">
        <v>3560</v>
      </c>
      <c r="D110" s="3032" t="s">
        <v>3562</v>
      </c>
      <c r="E110" s="3032">
        <v>1706</v>
      </c>
      <c r="F110" s="3032">
        <v>86.07</v>
      </c>
      <c r="G110" s="3032" t="s">
        <v>3559</v>
      </c>
    </row>
    <row r="111" spans="1:7" ht="16.5">
      <c r="A111" s="3032">
        <v>102</v>
      </c>
      <c r="B111" s="3032" t="s">
        <v>3539</v>
      </c>
      <c r="C111" s="3032" t="s">
        <v>3560</v>
      </c>
      <c r="D111" s="3032" t="s">
        <v>3565</v>
      </c>
      <c r="E111" s="3032">
        <v>101</v>
      </c>
      <c r="F111" s="3032">
        <v>89.02</v>
      </c>
      <c r="G111" s="3032" t="s">
        <v>3559</v>
      </c>
    </row>
    <row r="112" spans="1:7" ht="16.5">
      <c r="A112" s="3032">
        <v>103</v>
      </c>
      <c r="B112" s="3032" t="s">
        <v>3539</v>
      </c>
      <c r="C112" s="3032" t="s">
        <v>3560</v>
      </c>
      <c r="D112" s="3032" t="s">
        <v>3565</v>
      </c>
      <c r="E112" s="3032">
        <v>102</v>
      </c>
      <c r="F112" s="3032">
        <v>79.22</v>
      </c>
      <c r="G112" s="3032" t="s">
        <v>3559</v>
      </c>
    </row>
    <row r="113" spans="1:7" ht="16.5">
      <c r="A113" s="3032">
        <v>104</v>
      </c>
      <c r="B113" s="3032" t="s">
        <v>3539</v>
      </c>
      <c r="C113" s="3032" t="s">
        <v>3560</v>
      </c>
      <c r="D113" s="3032" t="s">
        <v>3565</v>
      </c>
      <c r="E113" s="3032">
        <v>103</v>
      </c>
      <c r="F113" s="3032">
        <v>44.52</v>
      </c>
      <c r="G113" s="3032" t="s">
        <v>3559</v>
      </c>
    </row>
    <row r="114" spans="1:7" ht="16.5">
      <c r="A114" s="3032">
        <v>105</v>
      </c>
      <c r="B114" s="3032" t="s">
        <v>3539</v>
      </c>
      <c r="C114" s="3032" t="s">
        <v>3560</v>
      </c>
      <c r="D114" s="3032" t="s">
        <v>3565</v>
      </c>
      <c r="E114" s="3032">
        <v>104</v>
      </c>
      <c r="F114" s="3032">
        <v>79.22</v>
      </c>
      <c r="G114" s="3032" t="s">
        <v>3559</v>
      </c>
    </row>
    <row r="115" spans="1:7" ht="16.5">
      <c r="A115" s="3032">
        <v>106</v>
      </c>
      <c r="B115" s="3032" t="s">
        <v>3539</v>
      </c>
      <c r="C115" s="3032" t="s">
        <v>3560</v>
      </c>
      <c r="D115" s="3032" t="s">
        <v>3565</v>
      </c>
      <c r="E115" s="3032">
        <v>105</v>
      </c>
      <c r="F115" s="3032">
        <v>86.07</v>
      </c>
      <c r="G115" s="3032" t="s">
        <v>3559</v>
      </c>
    </row>
    <row r="116" spans="1:7" ht="16.5">
      <c r="A116" s="3032">
        <v>107</v>
      </c>
      <c r="B116" s="3032" t="s">
        <v>3539</v>
      </c>
      <c r="C116" s="3032" t="s">
        <v>3560</v>
      </c>
      <c r="D116" s="3032" t="s">
        <v>3565</v>
      </c>
      <c r="E116" s="3032">
        <v>201</v>
      </c>
      <c r="F116" s="3032">
        <v>89.02</v>
      </c>
      <c r="G116" s="3032" t="s">
        <v>3559</v>
      </c>
    </row>
    <row r="117" spans="1:7" ht="16.5">
      <c r="A117" s="3032">
        <v>108</v>
      </c>
      <c r="B117" s="3032" t="s">
        <v>3539</v>
      </c>
      <c r="C117" s="3032" t="s">
        <v>3560</v>
      </c>
      <c r="D117" s="3032" t="s">
        <v>3565</v>
      </c>
      <c r="E117" s="3032">
        <v>202</v>
      </c>
      <c r="F117" s="3032">
        <v>79.22</v>
      </c>
      <c r="G117" s="3032" t="s">
        <v>3559</v>
      </c>
    </row>
    <row r="118" spans="1:7" ht="16.5">
      <c r="A118" s="3032">
        <v>109</v>
      </c>
      <c r="B118" s="3032" t="s">
        <v>3539</v>
      </c>
      <c r="C118" s="3032" t="s">
        <v>3560</v>
      </c>
      <c r="D118" s="3032" t="s">
        <v>3565</v>
      </c>
      <c r="E118" s="3032">
        <v>203</v>
      </c>
      <c r="F118" s="3032">
        <v>44.52</v>
      </c>
      <c r="G118" s="3032" t="s">
        <v>3559</v>
      </c>
    </row>
    <row r="119" spans="1:7" ht="16.5">
      <c r="A119" s="3032">
        <v>110</v>
      </c>
      <c r="B119" s="3032" t="s">
        <v>3539</v>
      </c>
      <c r="C119" s="3032" t="s">
        <v>3560</v>
      </c>
      <c r="D119" s="3032" t="s">
        <v>3565</v>
      </c>
      <c r="E119" s="3032">
        <v>204</v>
      </c>
      <c r="F119" s="3032">
        <v>44.52</v>
      </c>
      <c r="G119" s="3032" t="s">
        <v>3559</v>
      </c>
    </row>
    <row r="120" spans="1:7" ht="16.5">
      <c r="A120" s="3032">
        <v>111</v>
      </c>
      <c r="B120" s="3032" t="s">
        <v>3539</v>
      </c>
      <c r="C120" s="3032" t="s">
        <v>3560</v>
      </c>
      <c r="D120" s="3032" t="s">
        <v>3565</v>
      </c>
      <c r="E120" s="3032">
        <v>205</v>
      </c>
      <c r="F120" s="3032">
        <v>79.22</v>
      </c>
      <c r="G120" s="3032" t="s">
        <v>3559</v>
      </c>
    </row>
    <row r="121" spans="1:7" ht="16.5">
      <c r="A121" s="3032">
        <v>112</v>
      </c>
      <c r="B121" s="3032" t="s">
        <v>3539</v>
      </c>
      <c r="C121" s="3032" t="s">
        <v>3560</v>
      </c>
      <c r="D121" s="3032" t="s">
        <v>3565</v>
      </c>
      <c r="E121" s="3032">
        <v>206</v>
      </c>
      <c r="F121" s="3032">
        <v>86.07</v>
      </c>
      <c r="G121" s="3032" t="s">
        <v>3559</v>
      </c>
    </row>
    <row r="122" spans="1:7" ht="16.5">
      <c r="A122" s="3032">
        <v>113</v>
      </c>
      <c r="B122" s="3032" t="s">
        <v>3539</v>
      </c>
      <c r="C122" s="3032" t="s">
        <v>3560</v>
      </c>
      <c r="D122" s="3032" t="s">
        <v>3565</v>
      </c>
      <c r="E122" s="3032">
        <v>301</v>
      </c>
      <c r="F122" s="3032">
        <v>89.02</v>
      </c>
      <c r="G122" s="3032" t="s">
        <v>3559</v>
      </c>
    </row>
    <row r="123" spans="1:7" ht="16.5">
      <c r="A123" s="3032">
        <v>114</v>
      </c>
      <c r="B123" s="3032" t="s">
        <v>3539</v>
      </c>
      <c r="C123" s="3032" t="s">
        <v>3560</v>
      </c>
      <c r="D123" s="3032" t="s">
        <v>3565</v>
      </c>
      <c r="E123" s="3032">
        <v>302</v>
      </c>
      <c r="F123" s="3032">
        <v>79.22</v>
      </c>
      <c r="G123" s="3032" t="s">
        <v>3559</v>
      </c>
    </row>
    <row r="124" spans="1:7" ht="16.5">
      <c r="A124" s="3032">
        <v>115</v>
      </c>
      <c r="B124" s="3032" t="s">
        <v>3539</v>
      </c>
      <c r="C124" s="3032" t="s">
        <v>3560</v>
      </c>
      <c r="D124" s="3032" t="s">
        <v>3565</v>
      </c>
      <c r="E124" s="3032">
        <v>303</v>
      </c>
      <c r="F124" s="3032">
        <v>44.52</v>
      </c>
      <c r="G124" s="3032" t="s">
        <v>3559</v>
      </c>
    </row>
    <row r="125" spans="1:7" ht="16.5">
      <c r="A125" s="3032">
        <v>116</v>
      </c>
      <c r="B125" s="3032" t="s">
        <v>3539</v>
      </c>
      <c r="C125" s="3032" t="s">
        <v>3560</v>
      </c>
      <c r="D125" s="3032" t="s">
        <v>3565</v>
      </c>
      <c r="E125" s="3032">
        <v>304</v>
      </c>
      <c r="F125" s="3032">
        <v>44.52</v>
      </c>
      <c r="G125" s="3032" t="s">
        <v>3559</v>
      </c>
    </row>
    <row r="126" spans="1:7" ht="16.5">
      <c r="A126" s="3032">
        <v>117</v>
      </c>
      <c r="B126" s="3032" t="s">
        <v>3539</v>
      </c>
      <c r="C126" s="3032" t="s">
        <v>3560</v>
      </c>
      <c r="D126" s="3032" t="s">
        <v>3565</v>
      </c>
      <c r="E126" s="3032">
        <v>305</v>
      </c>
      <c r="F126" s="3032">
        <v>79.22</v>
      </c>
      <c r="G126" s="3032" t="s">
        <v>3559</v>
      </c>
    </row>
    <row r="127" spans="1:7" ht="16.5">
      <c r="A127" s="3032">
        <v>118</v>
      </c>
      <c r="B127" s="3032" t="s">
        <v>3539</v>
      </c>
      <c r="C127" s="3032" t="s">
        <v>3560</v>
      </c>
      <c r="D127" s="3032" t="s">
        <v>3565</v>
      </c>
      <c r="E127" s="3032">
        <v>306</v>
      </c>
      <c r="F127" s="3032">
        <v>86.07</v>
      </c>
      <c r="G127" s="3032" t="s">
        <v>3559</v>
      </c>
    </row>
    <row r="128" spans="1:7" ht="16.5">
      <c r="A128" s="3032">
        <v>119</v>
      </c>
      <c r="B128" s="3032" t="s">
        <v>3539</v>
      </c>
      <c r="C128" s="3032" t="s">
        <v>3560</v>
      </c>
      <c r="D128" s="3032" t="s">
        <v>3565</v>
      </c>
      <c r="E128" s="3032">
        <v>401</v>
      </c>
      <c r="F128" s="3032">
        <v>89.02</v>
      </c>
      <c r="G128" s="3032" t="s">
        <v>3559</v>
      </c>
    </row>
    <row r="129" spans="1:7" ht="16.5">
      <c r="A129" s="3032">
        <v>120</v>
      </c>
      <c r="B129" s="3032" t="s">
        <v>3539</v>
      </c>
      <c r="C129" s="3032" t="s">
        <v>3560</v>
      </c>
      <c r="D129" s="3032" t="s">
        <v>3565</v>
      </c>
      <c r="E129" s="3032">
        <v>402</v>
      </c>
      <c r="F129" s="3032">
        <v>79.22</v>
      </c>
      <c r="G129" s="3032" t="s">
        <v>3559</v>
      </c>
    </row>
    <row r="130" spans="1:7" ht="16.5">
      <c r="A130" s="3032">
        <v>121</v>
      </c>
      <c r="B130" s="3032" t="s">
        <v>3539</v>
      </c>
      <c r="C130" s="3032" t="s">
        <v>3560</v>
      </c>
      <c r="D130" s="3032" t="s">
        <v>3565</v>
      </c>
      <c r="E130" s="3032">
        <v>403</v>
      </c>
      <c r="F130" s="3032">
        <v>44.52</v>
      </c>
      <c r="G130" s="3032" t="s">
        <v>3559</v>
      </c>
    </row>
    <row r="131" spans="1:7" ht="16.5">
      <c r="A131" s="3032">
        <v>122</v>
      </c>
      <c r="B131" s="3032" t="s">
        <v>3539</v>
      </c>
      <c r="C131" s="3032" t="s">
        <v>3560</v>
      </c>
      <c r="D131" s="3032" t="s">
        <v>3565</v>
      </c>
      <c r="E131" s="3032">
        <v>404</v>
      </c>
      <c r="F131" s="3032">
        <v>44.52</v>
      </c>
      <c r="G131" s="3032" t="s">
        <v>3559</v>
      </c>
    </row>
    <row r="132" spans="1:7" ht="16.5">
      <c r="A132" s="3032">
        <v>123</v>
      </c>
      <c r="B132" s="3032" t="s">
        <v>3539</v>
      </c>
      <c r="C132" s="3032" t="s">
        <v>3560</v>
      </c>
      <c r="D132" s="3032" t="s">
        <v>3565</v>
      </c>
      <c r="E132" s="3032">
        <v>405</v>
      </c>
      <c r="F132" s="3032">
        <v>79.22</v>
      </c>
      <c r="G132" s="3032" t="s">
        <v>3559</v>
      </c>
    </row>
    <row r="133" spans="1:7" ht="16.5">
      <c r="A133" s="3032">
        <v>124</v>
      </c>
      <c r="B133" s="3032" t="s">
        <v>3539</v>
      </c>
      <c r="C133" s="3032" t="s">
        <v>3560</v>
      </c>
      <c r="D133" s="3032" t="s">
        <v>3565</v>
      </c>
      <c r="E133" s="3032">
        <v>406</v>
      </c>
      <c r="F133" s="3032">
        <v>86.07</v>
      </c>
      <c r="G133" s="3032" t="s">
        <v>3559</v>
      </c>
    </row>
    <row r="134" spans="1:7" ht="16.5">
      <c r="A134" s="3032">
        <v>125</v>
      </c>
      <c r="B134" s="3032" t="s">
        <v>3539</v>
      </c>
      <c r="C134" s="3032" t="s">
        <v>3560</v>
      </c>
      <c r="D134" s="3032" t="s">
        <v>3565</v>
      </c>
      <c r="E134" s="3032">
        <v>501</v>
      </c>
      <c r="F134" s="3032">
        <v>89.02</v>
      </c>
      <c r="G134" s="3032" t="s">
        <v>3559</v>
      </c>
    </row>
    <row r="135" spans="1:7" ht="16.5">
      <c r="A135" s="3032">
        <v>126</v>
      </c>
      <c r="B135" s="3032" t="s">
        <v>3539</v>
      </c>
      <c r="C135" s="3032" t="s">
        <v>3560</v>
      </c>
      <c r="D135" s="3032" t="s">
        <v>3565</v>
      </c>
      <c r="E135" s="3032">
        <v>502</v>
      </c>
      <c r="F135" s="3032">
        <v>79.22</v>
      </c>
      <c r="G135" s="3032" t="s">
        <v>3559</v>
      </c>
    </row>
    <row r="136" spans="1:7" ht="16.5">
      <c r="A136" s="3032">
        <v>127</v>
      </c>
      <c r="B136" s="3032" t="s">
        <v>3539</v>
      </c>
      <c r="C136" s="3032" t="s">
        <v>3560</v>
      </c>
      <c r="D136" s="3032" t="s">
        <v>3565</v>
      </c>
      <c r="E136" s="3032">
        <v>503</v>
      </c>
      <c r="F136" s="3032">
        <v>44.52</v>
      </c>
      <c r="G136" s="3032" t="s">
        <v>3559</v>
      </c>
    </row>
    <row r="137" spans="1:7" ht="16.5">
      <c r="A137" s="3032">
        <v>128</v>
      </c>
      <c r="B137" s="3032" t="s">
        <v>3539</v>
      </c>
      <c r="C137" s="3032" t="s">
        <v>3560</v>
      </c>
      <c r="D137" s="3032" t="s">
        <v>3565</v>
      </c>
      <c r="E137" s="3032">
        <v>504</v>
      </c>
      <c r="F137" s="3032">
        <v>44.52</v>
      </c>
      <c r="G137" s="3032" t="s">
        <v>3559</v>
      </c>
    </row>
    <row r="138" spans="1:7" ht="16.5">
      <c r="A138" s="3032">
        <v>129</v>
      </c>
      <c r="B138" s="3032" t="s">
        <v>3539</v>
      </c>
      <c r="C138" s="3032" t="s">
        <v>3560</v>
      </c>
      <c r="D138" s="3032" t="s">
        <v>3565</v>
      </c>
      <c r="E138" s="3032">
        <v>505</v>
      </c>
      <c r="F138" s="3032">
        <v>79.22</v>
      </c>
      <c r="G138" s="3032" t="s">
        <v>3559</v>
      </c>
    </row>
    <row r="139" spans="1:7" ht="16.5">
      <c r="A139" s="3032">
        <v>130</v>
      </c>
      <c r="B139" s="3032" t="s">
        <v>3539</v>
      </c>
      <c r="C139" s="3032" t="s">
        <v>3560</v>
      </c>
      <c r="D139" s="3032" t="s">
        <v>3565</v>
      </c>
      <c r="E139" s="3032">
        <v>506</v>
      </c>
      <c r="F139" s="3032">
        <v>86.07</v>
      </c>
      <c r="G139" s="3032" t="s">
        <v>3559</v>
      </c>
    </row>
    <row r="140" spans="1:7" ht="16.5">
      <c r="A140" s="3032">
        <v>131</v>
      </c>
      <c r="B140" s="3032" t="s">
        <v>3539</v>
      </c>
      <c r="C140" s="3032" t="s">
        <v>3560</v>
      </c>
      <c r="D140" s="3032" t="s">
        <v>3565</v>
      </c>
      <c r="E140" s="3032">
        <v>601</v>
      </c>
      <c r="F140" s="3032">
        <v>89.02</v>
      </c>
      <c r="G140" s="3032" t="s">
        <v>3559</v>
      </c>
    </row>
    <row r="141" spans="1:7" ht="16.5">
      <c r="A141" s="3032">
        <v>132</v>
      </c>
      <c r="B141" s="3032" t="s">
        <v>3539</v>
      </c>
      <c r="C141" s="3032" t="s">
        <v>3560</v>
      </c>
      <c r="D141" s="3032" t="s">
        <v>3565</v>
      </c>
      <c r="E141" s="3032">
        <v>602</v>
      </c>
      <c r="F141" s="3032">
        <v>79.22</v>
      </c>
      <c r="G141" s="3032" t="s">
        <v>3559</v>
      </c>
    </row>
    <row r="142" spans="1:7" ht="16.5">
      <c r="A142" s="3032">
        <v>133</v>
      </c>
      <c r="B142" s="3032" t="s">
        <v>3539</v>
      </c>
      <c r="C142" s="3032" t="s">
        <v>3560</v>
      </c>
      <c r="D142" s="3032" t="s">
        <v>3565</v>
      </c>
      <c r="E142" s="3032">
        <v>603</v>
      </c>
      <c r="F142" s="3032">
        <v>44.52</v>
      </c>
      <c r="G142" s="3032" t="s">
        <v>3559</v>
      </c>
    </row>
    <row r="143" spans="1:7" ht="16.5">
      <c r="A143" s="3032">
        <v>134</v>
      </c>
      <c r="B143" s="3032" t="s">
        <v>3539</v>
      </c>
      <c r="C143" s="3032" t="s">
        <v>3560</v>
      </c>
      <c r="D143" s="3032" t="s">
        <v>3565</v>
      </c>
      <c r="E143" s="3032">
        <v>604</v>
      </c>
      <c r="F143" s="3032">
        <v>44.52</v>
      </c>
      <c r="G143" s="3032" t="s">
        <v>3559</v>
      </c>
    </row>
    <row r="144" spans="1:7" ht="16.5">
      <c r="A144" s="3032">
        <v>135</v>
      </c>
      <c r="B144" s="3032" t="s">
        <v>3539</v>
      </c>
      <c r="C144" s="3032" t="s">
        <v>3560</v>
      </c>
      <c r="D144" s="3032" t="s">
        <v>3565</v>
      </c>
      <c r="E144" s="3032">
        <v>605</v>
      </c>
      <c r="F144" s="3032">
        <v>79.22</v>
      </c>
      <c r="G144" s="3032" t="s">
        <v>3559</v>
      </c>
    </row>
    <row r="145" spans="1:7" ht="16.5">
      <c r="A145" s="3032">
        <v>136</v>
      </c>
      <c r="B145" s="3032" t="s">
        <v>3539</v>
      </c>
      <c r="C145" s="3032" t="s">
        <v>3560</v>
      </c>
      <c r="D145" s="3032" t="s">
        <v>3565</v>
      </c>
      <c r="E145" s="3032">
        <v>606</v>
      </c>
      <c r="F145" s="3032">
        <v>86.07</v>
      </c>
      <c r="G145" s="3032" t="s">
        <v>3559</v>
      </c>
    </row>
    <row r="146" spans="1:7" ht="16.5">
      <c r="A146" s="3032">
        <v>137</v>
      </c>
      <c r="B146" s="3032" t="s">
        <v>3539</v>
      </c>
      <c r="C146" s="3032" t="s">
        <v>3560</v>
      </c>
      <c r="D146" s="3032" t="s">
        <v>3565</v>
      </c>
      <c r="E146" s="3032">
        <v>701</v>
      </c>
      <c r="F146" s="3032">
        <v>89.02</v>
      </c>
      <c r="G146" s="3032" t="s">
        <v>3559</v>
      </c>
    </row>
    <row r="147" spans="1:7" ht="16.5">
      <c r="A147" s="3032">
        <v>138</v>
      </c>
      <c r="B147" s="3032" t="s">
        <v>3539</v>
      </c>
      <c r="C147" s="3032" t="s">
        <v>3560</v>
      </c>
      <c r="D147" s="3032" t="s">
        <v>3565</v>
      </c>
      <c r="E147" s="3032">
        <v>702</v>
      </c>
      <c r="F147" s="3032">
        <v>79.22</v>
      </c>
      <c r="G147" s="3032" t="s">
        <v>3559</v>
      </c>
    </row>
    <row r="148" spans="1:7" ht="16.5">
      <c r="A148" s="3032">
        <v>139</v>
      </c>
      <c r="B148" s="3032" t="s">
        <v>3539</v>
      </c>
      <c r="C148" s="3032" t="s">
        <v>3560</v>
      </c>
      <c r="D148" s="3032" t="s">
        <v>3565</v>
      </c>
      <c r="E148" s="3032">
        <v>703</v>
      </c>
      <c r="F148" s="3032">
        <v>44.52</v>
      </c>
      <c r="G148" s="3032" t="s">
        <v>3559</v>
      </c>
    </row>
    <row r="149" spans="1:7" ht="16.5">
      <c r="A149" s="3032">
        <v>140</v>
      </c>
      <c r="B149" s="3032" t="s">
        <v>3539</v>
      </c>
      <c r="C149" s="3032" t="s">
        <v>3560</v>
      </c>
      <c r="D149" s="3032" t="s">
        <v>3565</v>
      </c>
      <c r="E149" s="3032">
        <v>704</v>
      </c>
      <c r="F149" s="3032">
        <v>44.52</v>
      </c>
      <c r="G149" s="3032" t="s">
        <v>3559</v>
      </c>
    </row>
    <row r="150" spans="1:7" ht="16.5">
      <c r="A150" s="3032">
        <v>141</v>
      </c>
      <c r="B150" s="3032" t="s">
        <v>3539</v>
      </c>
      <c r="C150" s="3032" t="s">
        <v>3560</v>
      </c>
      <c r="D150" s="3032" t="s">
        <v>3565</v>
      </c>
      <c r="E150" s="3032">
        <v>705</v>
      </c>
      <c r="F150" s="3032">
        <v>79.22</v>
      </c>
      <c r="G150" s="3032" t="s">
        <v>3559</v>
      </c>
    </row>
    <row r="151" spans="1:7" ht="16.5">
      <c r="A151" s="3032">
        <v>142</v>
      </c>
      <c r="B151" s="3032" t="s">
        <v>3539</v>
      </c>
      <c r="C151" s="3032" t="s">
        <v>3560</v>
      </c>
      <c r="D151" s="3032" t="s">
        <v>3565</v>
      </c>
      <c r="E151" s="3032">
        <v>706</v>
      </c>
      <c r="F151" s="3032">
        <v>86.07</v>
      </c>
      <c r="G151" s="3032" t="s">
        <v>3559</v>
      </c>
    </row>
    <row r="152" spans="1:7" ht="16.5">
      <c r="A152" s="3032">
        <v>143</v>
      </c>
      <c r="B152" s="3032" t="s">
        <v>3539</v>
      </c>
      <c r="C152" s="3032" t="s">
        <v>3560</v>
      </c>
      <c r="D152" s="3032" t="s">
        <v>3565</v>
      </c>
      <c r="E152" s="3032">
        <v>801</v>
      </c>
      <c r="F152" s="3032">
        <v>89.02</v>
      </c>
      <c r="G152" s="3032" t="s">
        <v>3559</v>
      </c>
    </row>
    <row r="153" spans="1:7" ht="16.5">
      <c r="A153" s="3032">
        <v>144</v>
      </c>
      <c r="B153" s="3032" t="s">
        <v>3539</v>
      </c>
      <c r="C153" s="3032" t="s">
        <v>3560</v>
      </c>
      <c r="D153" s="3032" t="s">
        <v>3565</v>
      </c>
      <c r="E153" s="3032">
        <v>802</v>
      </c>
      <c r="F153" s="3032">
        <v>79.22</v>
      </c>
      <c r="G153" s="3032" t="s">
        <v>3559</v>
      </c>
    </row>
    <row r="154" spans="1:7" ht="16.5">
      <c r="A154" s="3032">
        <v>145</v>
      </c>
      <c r="B154" s="3032" t="s">
        <v>3539</v>
      </c>
      <c r="C154" s="3032" t="s">
        <v>3560</v>
      </c>
      <c r="D154" s="3032" t="s">
        <v>3565</v>
      </c>
      <c r="E154" s="3032">
        <v>803</v>
      </c>
      <c r="F154" s="3032">
        <v>44.52</v>
      </c>
      <c r="G154" s="3032" t="s">
        <v>3559</v>
      </c>
    </row>
    <row r="155" spans="1:7" ht="16.5">
      <c r="A155" s="3032">
        <v>146</v>
      </c>
      <c r="B155" s="3032" t="s">
        <v>3539</v>
      </c>
      <c r="C155" s="3032" t="s">
        <v>3560</v>
      </c>
      <c r="D155" s="3032" t="s">
        <v>3565</v>
      </c>
      <c r="E155" s="3032">
        <v>804</v>
      </c>
      <c r="F155" s="3032">
        <v>44.52</v>
      </c>
      <c r="G155" s="3032" t="s">
        <v>3559</v>
      </c>
    </row>
    <row r="156" spans="1:7" ht="16.5">
      <c r="A156" s="3032">
        <v>147</v>
      </c>
      <c r="B156" s="3032" t="s">
        <v>3539</v>
      </c>
      <c r="C156" s="3032" t="s">
        <v>3560</v>
      </c>
      <c r="D156" s="3032" t="s">
        <v>3565</v>
      </c>
      <c r="E156" s="3032">
        <v>805</v>
      </c>
      <c r="F156" s="3032">
        <v>79.22</v>
      </c>
      <c r="G156" s="3032" t="s">
        <v>3559</v>
      </c>
    </row>
    <row r="157" spans="1:7" ht="16.5">
      <c r="A157" s="3032">
        <v>148</v>
      </c>
      <c r="B157" s="3032" t="s">
        <v>3539</v>
      </c>
      <c r="C157" s="3032" t="s">
        <v>3560</v>
      </c>
      <c r="D157" s="3032" t="s">
        <v>3565</v>
      </c>
      <c r="E157" s="3032">
        <v>806</v>
      </c>
      <c r="F157" s="3032">
        <v>86.07</v>
      </c>
      <c r="G157" s="3032" t="s">
        <v>3559</v>
      </c>
    </row>
    <row r="158" spans="1:7" ht="16.5">
      <c r="A158" s="3032">
        <v>149</v>
      </c>
      <c r="B158" s="3032" t="s">
        <v>3539</v>
      </c>
      <c r="C158" s="3032" t="s">
        <v>3560</v>
      </c>
      <c r="D158" s="3032" t="s">
        <v>3565</v>
      </c>
      <c r="E158" s="3032">
        <v>901</v>
      </c>
      <c r="F158" s="3032">
        <v>89.02</v>
      </c>
      <c r="G158" s="3032" t="s">
        <v>3559</v>
      </c>
    </row>
    <row r="159" spans="1:7" ht="16.5">
      <c r="A159" s="3032">
        <v>150</v>
      </c>
      <c r="B159" s="3032" t="s">
        <v>3539</v>
      </c>
      <c r="C159" s="3032" t="s">
        <v>3560</v>
      </c>
      <c r="D159" s="3032" t="s">
        <v>3565</v>
      </c>
      <c r="E159" s="3032">
        <v>902</v>
      </c>
      <c r="F159" s="3032">
        <v>79.22</v>
      </c>
      <c r="G159" s="3032" t="s">
        <v>3559</v>
      </c>
    </row>
    <row r="160" spans="1:7" ht="16.5">
      <c r="A160" s="3032">
        <v>151</v>
      </c>
      <c r="B160" s="3032" t="s">
        <v>3539</v>
      </c>
      <c r="C160" s="3032" t="s">
        <v>3560</v>
      </c>
      <c r="D160" s="3032" t="s">
        <v>3565</v>
      </c>
      <c r="E160" s="3032">
        <v>903</v>
      </c>
      <c r="F160" s="3032">
        <v>44.52</v>
      </c>
      <c r="G160" s="3032" t="s">
        <v>3559</v>
      </c>
    </row>
    <row r="161" spans="1:7" ht="16.5">
      <c r="A161" s="3032">
        <v>152</v>
      </c>
      <c r="B161" s="3032" t="s">
        <v>3539</v>
      </c>
      <c r="C161" s="3032" t="s">
        <v>3560</v>
      </c>
      <c r="D161" s="3032" t="s">
        <v>3565</v>
      </c>
      <c r="E161" s="3032">
        <v>904</v>
      </c>
      <c r="F161" s="3032">
        <v>44.52</v>
      </c>
      <c r="G161" s="3032" t="s">
        <v>3559</v>
      </c>
    </row>
    <row r="162" spans="1:7" ht="16.5">
      <c r="A162" s="3032">
        <v>153</v>
      </c>
      <c r="B162" s="3032" t="s">
        <v>3539</v>
      </c>
      <c r="C162" s="3032" t="s">
        <v>3560</v>
      </c>
      <c r="D162" s="3032" t="s">
        <v>3565</v>
      </c>
      <c r="E162" s="3032">
        <v>905</v>
      </c>
      <c r="F162" s="3032">
        <v>79.22</v>
      </c>
      <c r="G162" s="3032" t="s">
        <v>3559</v>
      </c>
    </row>
    <row r="163" spans="1:7" ht="16.5">
      <c r="A163" s="3032">
        <v>154</v>
      </c>
      <c r="B163" s="3032" t="s">
        <v>3539</v>
      </c>
      <c r="C163" s="3032" t="s">
        <v>3560</v>
      </c>
      <c r="D163" s="3032" t="s">
        <v>3565</v>
      </c>
      <c r="E163" s="3032">
        <v>906</v>
      </c>
      <c r="F163" s="3032">
        <v>86.07</v>
      </c>
      <c r="G163" s="3032" t="s">
        <v>3559</v>
      </c>
    </row>
    <row r="164" spans="1:7" ht="16.5">
      <c r="A164" s="3032">
        <v>155</v>
      </c>
      <c r="B164" s="3032" t="s">
        <v>3539</v>
      </c>
      <c r="C164" s="3032" t="s">
        <v>3560</v>
      </c>
      <c r="D164" s="3032" t="s">
        <v>3565</v>
      </c>
      <c r="E164" s="3032">
        <v>1001</v>
      </c>
      <c r="F164" s="3032">
        <v>89.02</v>
      </c>
      <c r="G164" s="3032" t="s">
        <v>3559</v>
      </c>
    </row>
    <row r="165" spans="1:7" ht="16.5">
      <c r="A165" s="3032">
        <v>156</v>
      </c>
      <c r="B165" s="3032" t="s">
        <v>3539</v>
      </c>
      <c r="C165" s="3032" t="s">
        <v>3560</v>
      </c>
      <c r="D165" s="3032" t="s">
        <v>3565</v>
      </c>
      <c r="E165" s="3032">
        <v>1002</v>
      </c>
      <c r="F165" s="3032">
        <v>79.22</v>
      </c>
      <c r="G165" s="3032" t="s">
        <v>3559</v>
      </c>
    </row>
    <row r="166" spans="1:7" ht="16.5">
      <c r="A166" s="3032">
        <v>157</v>
      </c>
      <c r="B166" s="3032" t="s">
        <v>3539</v>
      </c>
      <c r="C166" s="3032" t="s">
        <v>3560</v>
      </c>
      <c r="D166" s="3032" t="s">
        <v>3565</v>
      </c>
      <c r="E166" s="3032">
        <v>1003</v>
      </c>
      <c r="F166" s="3032">
        <v>44.52</v>
      </c>
      <c r="G166" s="3032" t="s">
        <v>3559</v>
      </c>
    </row>
    <row r="167" spans="1:7" ht="16.5">
      <c r="A167" s="3032">
        <v>158</v>
      </c>
      <c r="B167" s="3032" t="s">
        <v>3539</v>
      </c>
      <c r="C167" s="3032" t="s">
        <v>3560</v>
      </c>
      <c r="D167" s="3032" t="s">
        <v>3565</v>
      </c>
      <c r="E167" s="3032">
        <v>1004</v>
      </c>
      <c r="F167" s="3032">
        <v>44.52</v>
      </c>
      <c r="G167" s="3032" t="s">
        <v>3559</v>
      </c>
    </row>
    <row r="168" spans="1:7" ht="16.5">
      <c r="A168" s="3032">
        <v>159</v>
      </c>
      <c r="B168" s="3032" t="s">
        <v>3539</v>
      </c>
      <c r="C168" s="3032" t="s">
        <v>3560</v>
      </c>
      <c r="D168" s="3032" t="s">
        <v>3565</v>
      </c>
      <c r="E168" s="3032">
        <v>1005</v>
      </c>
      <c r="F168" s="3032">
        <v>79.22</v>
      </c>
      <c r="G168" s="3032" t="s">
        <v>3559</v>
      </c>
    </row>
    <row r="169" spans="1:7" ht="16.5">
      <c r="A169" s="3032">
        <v>160</v>
      </c>
      <c r="B169" s="3032" t="s">
        <v>3539</v>
      </c>
      <c r="C169" s="3032" t="s">
        <v>3560</v>
      </c>
      <c r="D169" s="3032" t="s">
        <v>3565</v>
      </c>
      <c r="E169" s="3032">
        <v>1006</v>
      </c>
      <c r="F169" s="3032">
        <v>86.07</v>
      </c>
      <c r="G169" s="3032" t="s">
        <v>3559</v>
      </c>
    </row>
    <row r="170" spans="1:7" ht="16.5">
      <c r="A170" s="3032">
        <v>161</v>
      </c>
      <c r="B170" s="3032" t="s">
        <v>3539</v>
      </c>
      <c r="C170" s="3032" t="s">
        <v>3560</v>
      </c>
      <c r="D170" s="3032" t="s">
        <v>3565</v>
      </c>
      <c r="E170" s="3032">
        <v>1101</v>
      </c>
      <c r="F170" s="3032">
        <v>89.02</v>
      </c>
      <c r="G170" s="3032" t="s">
        <v>3559</v>
      </c>
    </row>
    <row r="171" spans="1:7" ht="16.5">
      <c r="A171" s="3032">
        <v>162</v>
      </c>
      <c r="B171" s="3032" t="s">
        <v>3539</v>
      </c>
      <c r="C171" s="3032" t="s">
        <v>3560</v>
      </c>
      <c r="D171" s="3032" t="s">
        <v>3565</v>
      </c>
      <c r="E171" s="3032">
        <v>1102</v>
      </c>
      <c r="F171" s="3032">
        <v>79.22</v>
      </c>
      <c r="G171" s="3032" t="s">
        <v>3559</v>
      </c>
    </row>
    <row r="172" spans="1:7" ht="16.5">
      <c r="A172" s="3032">
        <v>163</v>
      </c>
      <c r="B172" s="3032" t="s">
        <v>3539</v>
      </c>
      <c r="C172" s="3032" t="s">
        <v>3560</v>
      </c>
      <c r="D172" s="3032" t="s">
        <v>3565</v>
      </c>
      <c r="E172" s="3032">
        <v>1103</v>
      </c>
      <c r="F172" s="3032">
        <v>44.52</v>
      </c>
      <c r="G172" s="3032" t="s">
        <v>3559</v>
      </c>
    </row>
    <row r="173" spans="1:7" ht="16.5">
      <c r="A173" s="3032">
        <v>164</v>
      </c>
      <c r="B173" s="3032" t="s">
        <v>3539</v>
      </c>
      <c r="C173" s="3032" t="s">
        <v>3560</v>
      </c>
      <c r="D173" s="3032" t="s">
        <v>3565</v>
      </c>
      <c r="E173" s="3032">
        <v>1104</v>
      </c>
      <c r="F173" s="3032">
        <v>44.52</v>
      </c>
      <c r="G173" s="3032" t="s">
        <v>3559</v>
      </c>
    </row>
    <row r="174" spans="1:7" ht="16.5">
      <c r="A174" s="3032">
        <v>165</v>
      </c>
      <c r="B174" s="3032" t="s">
        <v>3539</v>
      </c>
      <c r="C174" s="3032" t="s">
        <v>3560</v>
      </c>
      <c r="D174" s="3032" t="s">
        <v>3565</v>
      </c>
      <c r="E174" s="3032">
        <v>1105</v>
      </c>
      <c r="F174" s="3032">
        <v>79.22</v>
      </c>
      <c r="G174" s="3032" t="s">
        <v>3559</v>
      </c>
    </row>
    <row r="175" spans="1:7" ht="16.5">
      <c r="A175" s="3032">
        <v>166</v>
      </c>
      <c r="B175" s="3032" t="s">
        <v>3539</v>
      </c>
      <c r="C175" s="3032" t="s">
        <v>3560</v>
      </c>
      <c r="D175" s="3032" t="s">
        <v>3565</v>
      </c>
      <c r="E175" s="3032">
        <v>1106</v>
      </c>
      <c r="F175" s="3032">
        <v>86.07</v>
      </c>
      <c r="G175" s="3032" t="s">
        <v>3559</v>
      </c>
    </row>
    <row r="176" spans="1:7" ht="16.5">
      <c r="A176" s="3032">
        <v>167</v>
      </c>
      <c r="B176" s="3032" t="s">
        <v>3539</v>
      </c>
      <c r="C176" s="3032" t="s">
        <v>3560</v>
      </c>
      <c r="D176" s="3032" t="s">
        <v>3565</v>
      </c>
      <c r="E176" s="3032">
        <v>1201</v>
      </c>
      <c r="F176" s="3032">
        <v>89.02</v>
      </c>
      <c r="G176" s="3032" t="s">
        <v>3559</v>
      </c>
    </row>
    <row r="177" spans="1:7" ht="16.5">
      <c r="A177" s="3032">
        <v>168</v>
      </c>
      <c r="B177" s="3032" t="s">
        <v>3539</v>
      </c>
      <c r="C177" s="3032" t="s">
        <v>3560</v>
      </c>
      <c r="D177" s="3032" t="s">
        <v>3565</v>
      </c>
      <c r="E177" s="3032">
        <v>1202</v>
      </c>
      <c r="F177" s="3032">
        <v>79.22</v>
      </c>
      <c r="G177" s="3032" t="s">
        <v>3559</v>
      </c>
    </row>
    <row r="178" spans="1:7" ht="16.5">
      <c r="A178" s="3032">
        <v>169</v>
      </c>
      <c r="B178" s="3032" t="s">
        <v>3539</v>
      </c>
      <c r="C178" s="3032" t="s">
        <v>3560</v>
      </c>
      <c r="D178" s="3032" t="s">
        <v>3565</v>
      </c>
      <c r="E178" s="3032">
        <v>1203</v>
      </c>
      <c r="F178" s="3032">
        <v>44.52</v>
      </c>
      <c r="G178" s="3032" t="s">
        <v>3559</v>
      </c>
    </row>
    <row r="179" spans="1:7" ht="16.5">
      <c r="A179" s="3032">
        <v>170</v>
      </c>
      <c r="B179" s="3032" t="s">
        <v>3539</v>
      </c>
      <c r="C179" s="3032" t="s">
        <v>3560</v>
      </c>
      <c r="D179" s="3032" t="s">
        <v>3565</v>
      </c>
      <c r="E179" s="3032">
        <v>1204</v>
      </c>
      <c r="F179" s="3032">
        <v>44.52</v>
      </c>
      <c r="G179" s="3032" t="s">
        <v>3559</v>
      </c>
    </row>
    <row r="180" spans="1:7" ht="16.5">
      <c r="A180" s="3032">
        <v>171</v>
      </c>
      <c r="B180" s="3032" t="s">
        <v>3539</v>
      </c>
      <c r="C180" s="3032" t="s">
        <v>3560</v>
      </c>
      <c r="D180" s="3032" t="s">
        <v>3565</v>
      </c>
      <c r="E180" s="3032">
        <v>1205</v>
      </c>
      <c r="F180" s="3032">
        <v>79.22</v>
      </c>
      <c r="G180" s="3032" t="s">
        <v>3559</v>
      </c>
    </row>
    <row r="181" spans="1:7" ht="16.5">
      <c r="A181" s="3032">
        <v>172</v>
      </c>
      <c r="B181" s="3032" t="s">
        <v>3539</v>
      </c>
      <c r="C181" s="3032" t="s">
        <v>3560</v>
      </c>
      <c r="D181" s="3032" t="s">
        <v>3565</v>
      </c>
      <c r="E181" s="3032">
        <v>1206</v>
      </c>
      <c r="F181" s="3032">
        <v>86.07</v>
      </c>
      <c r="G181" s="3032" t="s">
        <v>3559</v>
      </c>
    </row>
    <row r="182" spans="1:7" ht="16.5">
      <c r="A182" s="3032">
        <v>173</v>
      </c>
      <c r="B182" s="3032" t="s">
        <v>3539</v>
      </c>
      <c r="C182" s="3032" t="s">
        <v>3560</v>
      </c>
      <c r="D182" s="3032" t="s">
        <v>3565</v>
      </c>
      <c r="E182" s="3032">
        <v>1301</v>
      </c>
      <c r="F182" s="3032">
        <v>89.02</v>
      </c>
      <c r="G182" s="3032" t="s">
        <v>3559</v>
      </c>
    </row>
    <row r="183" spans="1:7" ht="16.5">
      <c r="A183" s="3032">
        <v>174</v>
      </c>
      <c r="B183" s="3032" t="s">
        <v>3539</v>
      </c>
      <c r="C183" s="3032" t="s">
        <v>3560</v>
      </c>
      <c r="D183" s="3032" t="s">
        <v>3565</v>
      </c>
      <c r="E183" s="3032">
        <v>1302</v>
      </c>
      <c r="F183" s="3032">
        <v>79.22</v>
      </c>
      <c r="G183" s="3032" t="s">
        <v>3559</v>
      </c>
    </row>
    <row r="184" spans="1:7" ht="16.5">
      <c r="A184" s="3032">
        <v>175</v>
      </c>
      <c r="B184" s="3032" t="s">
        <v>3539</v>
      </c>
      <c r="C184" s="3032" t="s">
        <v>3560</v>
      </c>
      <c r="D184" s="3032" t="s">
        <v>3565</v>
      </c>
      <c r="E184" s="3032">
        <v>1303</v>
      </c>
      <c r="F184" s="3032">
        <v>44.52</v>
      </c>
      <c r="G184" s="3032" t="s">
        <v>3559</v>
      </c>
    </row>
    <row r="185" spans="1:7" ht="16.5">
      <c r="A185" s="3032">
        <v>176</v>
      </c>
      <c r="B185" s="3032" t="s">
        <v>3539</v>
      </c>
      <c r="C185" s="3032" t="s">
        <v>3560</v>
      </c>
      <c r="D185" s="3032" t="s">
        <v>3565</v>
      </c>
      <c r="E185" s="3032">
        <v>1304</v>
      </c>
      <c r="F185" s="3032">
        <v>44.52</v>
      </c>
      <c r="G185" s="3032" t="s">
        <v>3559</v>
      </c>
    </row>
    <row r="186" spans="1:7" ht="16.5">
      <c r="A186" s="3032">
        <v>177</v>
      </c>
      <c r="B186" s="3032" t="s">
        <v>3539</v>
      </c>
      <c r="C186" s="3032" t="s">
        <v>3560</v>
      </c>
      <c r="D186" s="3032" t="s">
        <v>3565</v>
      </c>
      <c r="E186" s="3032">
        <v>1305</v>
      </c>
      <c r="F186" s="3032">
        <v>79.22</v>
      </c>
      <c r="G186" s="3032" t="s">
        <v>3559</v>
      </c>
    </row>
    <row r="187" spans="1:7" ht="16.5">
      <c r="A187" s="3032">
        <v>178</v>
      </c>
      <c r="B187" s="3032" t="s">
        <v>3539</v>
      </c>
      <c r="C187" s="3032" t="s">
        <v>3560</v>
      </c>
      <c r="D187" s="3032" t="s">
        <v>3565</v>
      </c>
      <c r="E187" s="3032">
        <v>1306</v>
      </c>
      <c r="F187" s="3032">
        <v>86.07</v>
      </c>
      <c r="G187" s="3032" t="s">
        <v>3559</v>
      </c>
    </row>
    <row r="188" spans="1:7" ht="16.5">
      <c r="A188" s="3032">
        <v>179</v>
      </c>
      <c r="B188" s="3032" t="s">
        <v>3539</v>
      </c>
      <c r="C188" s="3032" t="s">
        <v>3560</v>
      </c>
      <c r="D188" s="3032" t="s">
        <v>3565</v>
      </c>
      <c r="E188" s="3032">
        <v>1401</v>
      </c>
      <c r="F188" s="3032">
        <v>89.02</v>
      </c>
      <c r="G188" s="3032" t="s">
        <v>3559</v>
      </c>
    </row>
    <row r="189" spans="1:7" ht="16.5">
      <c r="A189" s="3032">
        <v>180</v>
      </c>
      <c r="B189" s="3032" t="s">
        <v>3539</v>
      </c>
      <c r="C189" s="3032" t="s">
        <v>3560</v>
      </c>
      <c r="D189" s="3032" t="s">
        <v>3565</v>
      </c>
      <c r="E189" s="3032">
        <v>1402</v>
      </c>
      <c r="F189" s="3032">
        <v>79.22</v>
      </c>
      <c r="G189" s="3032" t="s">
        <v>3559</v>
      </c>
    </row>
    <row r="190" spans="1:7" ht="16.5">
      <c r="A190" s="3032">
        <v>181</v>
      </c>
      <c r="B190" s="3032" t="s">
        <v>3539</v>
      </c>
      <c r="C190" s="3032" t="s">
        <v>3560</v>
      </c>
      <c r="D190" s="3032" t="s">
        <v>3565</v>
      </c>
      <c r="E190" s="3032">
        <v>1403</v>
      </c>
      <c r="F190" s="3032">
        <v>44.52</v>
      </c>
      <c r="G190" s="3032" t="s">
        <v>3559</v>
      </c>
    </row>
    <row r="191" spans="1:7" ht="16.5">
      <c r="A191" s="3032">
        <v>182</v>
      </c>
      <c r="B191" s="3032" t="s">
        <v>3539</v>
      </c>
      <c r="C191" s="3032" t="s">
        <v>3560</v>
      </c>
      <c r="D191" s="3032" t="s">
        <v>3565</v>
      </c>
      <c r="E191" s="3032">
        <v>1404</v>
      </c>
      <c r="F191" s="3032">
        <v>44.52</v>
      </c>
      <c r="G191" s="3032" t="s">
        <v>3559</v>
      </c>
    </row>
    <row r="192" spans="1:7" ht="16.5">
      <c r="A192" s="3032">
        <v>183</v>
      </c>
      <c r="B192" s="3032" t="s">
        <v>3539</v>
      </c>
      <c r="C192" s="3032" t="s">
        <v>3560</v>
      </c>
      <c r="D192" s="3032" t="s">
        <v>3565</v>
      </c>
      <c r="E192" s="3032">
        <v>1405</v>
      </c>
      <c r="F192" s="3032">
        <v>79.22</v>
      </c>
      <c r="G192" s="3032" t="s">
        <v>3559</v>
      </c>
    </row>
    <row r="193" spans="1:7" ht="16.5">
      <c r="A193" s="3032">
        <v>184</v>
      </c>
      <c r="B193" s="3032" t="s">
        <v>3539</v>
      </c>
      <c r="C193" s="3032" t="s">
        <v>3560</v>
      </c>
      <c r="D193" s="3032" t="s">
        <v>3565</v>
      </c>
      <c r="E193" s="3032">
        <v>1406</v>
      </c>
      <c r="F193" s="3032">
        <v>86.07</v>
      </c>
      <c r="G193" s="3032" t="s">
        <v>3559</v>
      </c>
    </row>
    <row r="194" spans="1:7" ht="16.5">
      <c r="A194" s="3032">
        <v>185</v>
      </c>
      <c r="B194" s="3032" t="s">
        <v>3539</v>
      </c>
      <c r="C194" s="3032" t="s">
        <v>3560</v>
      </c>
      <c r="D194" s="3032" t="s">
        <v>3565</v>
      </c>
      <c r="E194" s="3032">
        <v>1501</v>
      </c>
      <c r="F194" s="3032">
        <v>89.02</v>
      </c>
      <c r="G194" s="3032" t="s">
        <v>3559</v>
      </c>
    </row>
    <row r="195" spans="1:7" ht="16.5">
      <c r="A195" s="3032">
        <v>186</v>
      </c>
      <c r="B195" s="3032" t="s">
        <v>3539</v>
      </c>
      <c r="C195" s="3032" t="s">
        <v>3560</v>
      </c>
      <c r="D195" s="3032" t="s">
        <v>3565</v>
      </c>
      <c r="E195" s="3032">
        <v>1502</v>
      </c>
      <c r="F195" s="3032">
        <v>79.22</v>
      </c>
      <c r="G195" s="3032" t="s">
        <v>3559</v>
      </c>
    </row>
    <row r="196" spans="1:7" ht="16.5">
      <c r="A196" s="3032">
        <v>187</v>
      </c>
      <c r="B196" s="3032" t="s">
        <v>3539</v>
      </c>
      <c r="C196" s="3032" t="s">
        <v>3560</v>
      </c>
      <c r="D196" s="3032" t="s">
        <v>3565</v>
      </c>
      <c r="E196" s="3032">
        <v>1503</v>
      </c>
      <c r="F196" s="3032">
        <v>44.52</v>
      </c>
      <c r="G196" s="3032" t="s">
        <v>3559</v>
      </c>
    </row>
    <row r="197" spans="1:7" ht="16.5">
      <c r="A197" s="3032">
        <v>188</v>
      </c>
      <c r="B197" s="3032" t="s">
        <v>3539</v>
      </c>
      <c r="C197" s="3032" t="s">
        <v>3560</v>
      </c>
      <c r="D197" s="3032" t="s">
        <v>3565</v>
      </c>
      <c r="E197" s="3032">
        <v>1504</v>
      </c>
      <c r="F197" s="3032">
        <v>44.52</v>
      </c>
      <c r="G197" s="3032" t="s">
        <v>3559</v>
      </c>
    </row>
    <row r="198" spans="1:7" ht="16.5">
      <c r="A198" s="3032">
        <v>189</v>
      </c>
      <c r="B198" s="3032" t="s">
        <v>3539</v>
      </c>
      <c r="C198" s="3032" t="s">
        <v>3560</v>
      </c>
      <c r="D198" s="3032" t="s">
        <v>3565</v>
      </c>
      <c r="E198" s="3032">
        <v>1505</v>
      </c>
      <c r="F198" s="3032">
        <v>79.22</v>
      </c>
      <c r="G198" s="3032" t="s">
        <v>3559</v>
      </c>
    </row>
    <row r="199" spans="1:7" ht="16.5">
      <c r="A199" s="3032">
        <v>190</v>
      </c>
      <c r="B199" s="3032" t="s">
        <v>3539</v>
      </c>
      <c r="C199" s="3032" t="s">
        <v>3560</v>
      </c>
      <c r="D199" s="3032" t="s">
        <v>3565</v>
      </c>
      <c r="E199" s="3032">
        <v>1506</v>
      </c>
      <c r="F199" s="3032">
        <v>86.07</v>
      </c>
      <c r="G199" s="3032" t="s">
        <v>3559</v>
      </c>
    </row>
    <row r="200" spans="1:7" ht="16.5">
      <c r="A200" s="3032">
        <v>191</v>
      </c>
      <c r="B200" s="3032" t="s">
        <v>3539</v>
      </c>
      <c r="C200" s="3032" t="s">
        <v>3560</v>
      </c>
      <c r="D200" s="3032" t="s">
        <v>3565</v>
      </c>
      <c r="E200" s="3032">
        <v>1601</v>
      </c>
      <c r="F200" s="3032">
        <v>89.02</v>
      </c>
      <c r="G200" s="3032" t="s">
        <v>3559</v>
      </c>
    </row>
    <row r="201" spans="1:7" ht="16.5">
      <c r="A201" s="3032">
        <v>192</v>
      </c>
      <c r="B201" s="3032" t="s">
        <v>3539</v>
      </c>
      <c r="C201" s="3032" t="s">
        <v>3560</v>
      </c>
      <c r="D201" s="3032" t="s">
        <v>3565</v>
      </c>
      <c r="E201" s="3032">
        <v>1602</v>
      </c>
      <c r="F201" s="3032">
        <v>79.22</v>
      </c>
      <c r="G201" s="3032" t="s">
        <v>3559</v>
      </c>
    </row>
    <row r="202" spans="1:7" ht="16.5">
      <c r="A202" s="3032">
        <v>193</v>
      </c>
      <c r="B202" s="3032" t="s">
        <v>3539</v>
      </c>
      <c r="C202" s="3032" t="s">
        <v>3560</v>
      </c>
      <c r="D202" s="3032" t="s">
        <v>3565</v>
      </c>
      <c r="E202" s="3032">
        <v>1603</v>
      </c>
      <c r="F202" s="3032">
        <v>44.52</v>
      </c>
      <c r="G202" s="3032" t="s">
        <v>3559</v>
      </c>
    </row>
    <row r="203" spans="1:7" ht="16.5">
      <c r="A203" s="3032">
        <v>194</v>
      </c>
      <c r="B203" s="3032" t="s">
        <v>3539</v>
      </c>
      <c r="C203" s="3032" t="s">
        <v>3560</v>
      </c>
      <c r="D203" s="3032" t="s">
        <v>3565</v>
      </c>
      <c r="E203" s="3032">
        <v>1604</v>
      </c>
      <c r="F203" s="3032">
        <v>44.52</v>
      </c>
      <c r="G203" s="3032" t="s">
        <v>3559</v>
      </c>
    </row>
    <row r="204" spans="1:7" ht="16.5">
      <c r="A204" s="3032">
        <v>195</v>
      </c>
      <c r="B204" s="3032" t="s">
        <v>3539</v>
      </c>
      <c r="C204" s="3032" t="s">
        <v>3560</v>
      </c>
      <c r="D204" s="3032" t="s">
        <v>3565</v>
      </c>
      <c r="E204" s="3032">
        <v>1605</v>
      </c>
      <c r="F204" s="3032">
        <v>79.22</v>
      </c>
      <c r="G204" s="3032" t="s">
        <v>3559</v>
      </c>
    </row>
    <row r="205" spans="1:7" ht="16.5">
      <c r="A205" s="3032">
        <v>196</v>
      </c>
      <c r="B205" s="3032" t="s">
        <v>3539</v>
      </c>
      <c r="C205" s="3032" t="s">
        <v>3560</v>
      </c>
      <c r="D205" s="3032" t="s">
        <v>3565</v>
      </c>
      <c r="E205" s="3032">
        <v>1606</v>
      </c>
      <c r="F205" s="3032">
        <v>86.07</v>
      </c>
      <c r="G205" s="3032" t="s">
        <v>3559</v>
      </c>
    </row>
    <row r="206" spans="1:7" ht="16.5">
      <c r="A206" s="3032">
        <v>197</v>
      </c>
      <c r="B206" s="3032" t="s">
        <v>3539</v>
      </c>
      <c r="C206" s="3032" t="s">
        <v>3560</v>
      </c>
      <c r="D206" s="3032" t="s">
        <v>3565</v>
      </c>
      <c r="E206" s="3032">
        <v>1701</v>
      </c>
      <c r="F206" s="3032">
        <v>89.02</v>
      </c>
      <c r="G206" s="3032" t="s">
        <v>3559</v>
      </c>
    </row>
    <row r="207" spans="1:7" ht="16.5">
      <c r="A207" s="3032">
        <v>198</v>
      </c>
      <c r="B207" s="3032" t="s">
        <v>3539</v>
      </c>
      <c r="C207" s="3032" t="s">
        <v>3560</v>
      </c>
      <c r="D207" s="3032" t="s">
        <v>3565</v>
      </c>
      <c r="E207" s="3032">
        <v>1702</v>
      </c>
      <c r="F207" s="3032">
        <v>79.22</v>
      </c>
      <c r="G207" s="3032" t="s">
        <v>3559</v>
      </c>
    </row>
    <row r="208" spans="1:7" ht="16.5">
      <c r="A208" s="3032">
        <v>199</v>
      </c>
      <c r="B208" s="3032" t="s">
        <v>3539</v>
      </c>
      <c r="C208" s="3032" t="s">
        <v>3560</v>
      </c>
      <c r="D208" s="3032" t="s">
        <v>3565</v>
      </c>
      <c r="E208" s="3032">
        <v>1703</v>
      </c>
      <c r="F208" s="3032">
        <v>44.52</v>
      </c>
      <c r="G208" s="3032" t="s">
        <v>3559</v>
      </c>
    </row>
    <row r="209" spans="1:7" ht="16.5">
      <c r="A209" s="3032">
        <v>200</v>
      </c>
      <c r="B209" s="3032" t="s">
        <v>3539</v>
      </c>
      <c r="C209" s="3032" t="s">
        <v>3560</v>
      </c>
      <c r="D209" s="3032" t="s">
        <v>3565</v>
      </c>
      <c r="E209" s="3032">
        <v>1704</v>
      </c>
      <c r="F209" s="3032">
        <v>44.52</v>
      </c>
      <c r="G209" s="3032" t="s">
        <v>3559</v>
      </c>
    </row>
    <row r="210" spans="1:7" ht="16.5">
      <c r="A210" s="3032">
        <v>201</v>
      </c>
      <c r="B210" s="3032" t="s">
        <v>3539</v>
      </c>
      <c r="C210" s="3032" t="s">
        <v>3560</v>
      </c>
      <c r="D210" s="3032" t="s">
        <v>3565</v>
      </c>
      <c r="E210" s="3032">
        <v>1705</v>
      </c>
      <c r="F210" s="3032">
        <v>79.22</v>
      </c>
      <c r="G210" s="3032" t="s">
        <v>3559</v>
      </c>
    </row>
    <row r="211" spans="1:7" ht="16.5">
      <c r="A211" s="3032">
        <v>202</v>
      </c>
      <c r="B211" s="3032" t="s">
        <v>3539</v>
      </c>
      <c r="C211" s="3032" t="s">
        <v>3560</v>
      </c>
      <c r="D211" s="3032" t="s">
        <v>3565</v>
      </c>
      <c r="E211" s="3032">
        <v>1706</v>
      </c>
      <c r="F211" s="3032">
        <v>86.07</v>
      </c>
      <c r="G211" s="3032" t="s">
        <v>3559</v>
      </c>
    </row>
    <row r="212" spans="1:7" ht="16.5">
      <c r="A212" s="3032"/>
      <c r="B212" s="3032"/>
      <c r="C212" s="3032" t="s">
        <v>3566</v>
      </c>
      <c r="D212" s="3032"/>
      <c r="E212" s="3032"/>
      <c r="F212" s="3032">
        <f>SUM(F10:F211)</f>
        <v>14278.340000000007</v>
      </c>
      <c r="G212" s="3032"/>
    </row>
    <row r="213" spans="1:7" ht="16.5">
      <c r="A213" s="3032">
        <v>203</v>
      </c>
      <c r="B213" s="3032" t="s">
        <v>3539</v>
      </c>
      <c r="C213" s="3032" t="s">
        <v>3567</v>
      </c>
      <c r="D213" s="3032" t="s">
        <v>3562</v>
      </c>
      <c r="E213" s="3032">
        <v>201</v>
      </c>
      <c r="F213" s="3032">
        <v>89.75</v>
      </c>
      <c r="G213" s="3032" t="s">
        <v>3559</v>
      </c>
    </row>
    <row r="214" spans="1:7" ht="16.5">
      <c r="A214" s="3032">
        <v>204</v>
      </c>
      <c r="B214" s="3032" t="s">
        <v>3539</v>
      </c>
      <c r="C214" s="3032" t="s">
        <v>3567</v>
      </c>
      <c r="D214" s="3032" t="s">
        <v>3562</v>
      </c>
      <c r="E214" s="3032">
        <v>202</v>
      </c>
      <c r="F214" s="3032">
        <v>88.61</v>
      </c>
      <c r="G214" s="3032" t="s">
        <v>3559</v>
      </c>
    </row>
    <row r="215" spans="1:7" ht="16.5">
      <c r="A215" s="3032">
        <v>205</v>
      </c>
      <c r="B215" s="3032" t="s">
        <v>3539</v>
      </c>
      <c r="C215" s="3032" t="s">
        <v>3567</v>
      </c>
      <c r="D215" s="3032" t="s">
        <v>3562</v>
      </c>
      <c r="E215" s="3032">
        <v>203</v>
      </c>
      <c r="F215" s="3032">
        <v>88.61</v>
      </c>
      <c r="G215" s="3032" t="s">
        <v>3559</v>
      </c>
    </row>
    <row r="216" spans="1:7" ht="16.5">
      <c r="A216" s="3032">
        <v>206</v>
      </c>
      <c r="B216" s="3032" t="s">
        <v>3539</v>
      </c>
      <c r="C216" s="3032" t="s">
        <v>3567</v>
      </c>
      <c r="D216" s="3032" t="s">
        <v>3562</v>
      </c>
      <c r="E216" s="3032">
        <v>204</v>
      </c>
      <c r="F216" s="3032">
        <v>86.7</v>
      </c>
      <c r="G216" s="3032" t="s">
        <v>3559</v>
      </c>
    </row>
    <row r="217" spans="1:7" ht="16.5">
      <c r="A217" s="3032">
        <v>207</v>
      </c>
      <c r="B217" s="3032" t="s">
        <v>3539</v>
      </c>
      <c r="C217" s="3032" t="s">
        <v>3567</v>
      </c>
      <c r="D217" s="3032" t="s">
        <v>3562</v>
      </c>
      <c r="E217" s="3032">
        <v>301</v>
      </c>
      <c r="F217" s="3032">
        <v>89.75</v>
      </c>
      <c r="G217" s="3032" t="s">
        <v>3559</v>
      </c>
    </row>
    <row r="218" spans="1:7" ht="16.5">
      <c r="A218" s="3032">
        <v>208</v>
      </c>
      <c r="B218" s="3032" t="s">
        <v>3539</v>
      </c>
      <c r="C218" s="3032" t="s">
        <v>3567</v>
      </c>
      <c r="D218" s="3032" t="s">
        <v>3562</v>
      </c>
      <c r="E218" s="3032">
        <v>302</v>
      </c>
      <c r="F218" s="3032">
        <v>88.61</v>
      </c>
      <c r="G218" s="3032" t="s">
        <v>3559</v>
      </c>
    </row>
    <row r="219" spans="1:7" ht="16.5">
      <c r="A219" s="3032">
        <v>209</v>
      </c>
      <c r="B219" s="3032" t="s">
        <v>3539</v>
      </c>
      <c r="C219" s="3032" t="s">
        <v>3567</v>
      </c>
      <c r="D219" s="3032" t="s">
        <v>3562</v>
      </c>
      <c r="E219" s="3032">
        <v>303</v>
      </c>
      <c r="F219" s="3032">
        <v>88.61</v>
      </c>
      <c r="G219" s="3032" t="s">
        <v>3559</v>
      </c>
    </row>
    <row r="220" spans="1:7" ht="16.5">
      <c r="A220" s="3032">
        <v>210</v>
      </c>
      <c r="B220" s="3032" t="s">
        <v>3539</v>
      </c>
      <c r="C220" s="3032" t="s">
        <v>3567</v>
      </c>
      <c r="D220" s="3032" t="s">
        <v>3562</v>
      </c>
      <c r="E220" s="3032">
        <v>304</v>
      </c>
      <c r="F220" s="3032">
        <v>86.7</v>
      </c>
      <c r="G220" s="3032" t="s">
        <v>3559</v>
      </c>
    </row>
    <row r="221" spans="1:7" ht="16.5">
      <c r="A221" s="3032">
        <v>211</v>
      </c>
      <c r="B221" s="3032" t="s">
        <v>3539</v>
      </c>
      <c r="C221" s="3032" t="s">
        <v>3567</v>
      </c>
      <c r="D221" s="3032" t="s">
        <v>3562</v>
      </c>
      <c r="E221" s="3032">
        <v>401</v>
      </c>
      <c r="F221" s="3032">
        <v>89.75</v>
      </c>
      <c r="G221" s="3032" t="s">
        <v>3559</v>
      </c>
    </row>
    <row r="222" spans="1:7" ht="16.5">
      <c r="A222" s="3032">
        <v>212</v>
      </c>
      <c r="B222" s="3032" t="s">
        <v>3539</v>
      </c>
      <c r="C222" s="3032" t="s">
        <v>3567</v>
      </c>
      <c r="D222" s="3032" t="s">
        <v>3562</v>
      </c>
      <c r="E222" s="3032">
        <v>402</v>
      </c>
      <c r="F222" s="3032">
        <v>88.61</v>
      </c>
      <c r="G222" s="3032" t="s">
        <v>3559</v>
      </c>
    </row>
    <row r="223" spans="1:7" ht="16.5">
      <c r="A223" s="3032">
        <v>213</v>
      </c>
      <c r="B223" s="3032" t="s">
        <v>3539</v>
      </c>
      <c r="C223" s="3032" t="s">
        <v>3567</v>
      </c>
      <c r="D223" s="3032" t="s">
        <v>3562</v>
      </c>
      <c r="E223" s="3032">
        <v>403</v>
      </c>
      <c r="F223" s="3032">
        <v>88.61</v>
      </c>
      <c r="G223" s="3032" t="s">
        <v>3559</v>
      </c>
    </row>
    <row r="224" spans="1:7" ht="16.5">
      <c r="A224" s="3032">
        <v>214</v>
      </c>
      <c r="B224" s="3032" t="s">
        <v>3539</v>
      </c>
      <c r="C224" s="3032" t="s">
        <v>3567</v>
      </c>
      <c r="D224" s="3032" t="s">
        <v>3562</v>
      </c>
      <c r="E224" s="3032">
        <v>404</v>
      </c>
      <c r="F224" s="3032">
        <v>86.7</v>
      </c>
      <c r="G224" s="3032" t="s">
        <v>3559</v>
      </c>
    </row>
    <row r="225" spans="1:7" ht="16.5">
      <c r="A225" s="3032">
        <v>215</v>
      </c>
      <c r="B225" s="3032" t="s">
        <v>3539</v>
      </c>
      <c r="C225" s="3032" t="s">
        <v>3567</v>
      </c>
      <c r="D225" s="3032" t="s">
        <v>3562</v>
      </c>
      <c r="E225" s="3032">
        <v>501</v>
      </c>
      <c r="F225" s="3032">
        <v>89.75</v>
      </c>
      <c r="G225" s="3032" t="s">
        <v>3559</v>
      </c>
    </row>
    <row r="226" spans="1:7" ht="16.5">
      <c r="A226" s="3032">
        <v>216</v>
      </c>
      <c r="B226" s="3032" t="s">
        <v>3539</v>
      </c>
      <c r="C226" s="3032" t="s">
        <v>3567</v>
      </c>
      <c r="D226" s="3032" t="s">
        <v>3562</v>
      </c>
      <c r="E226" s="3032">
        <v>502</v>
      </c>
      <c r="F226" s="3032">
        <v>88.61</v>
      </c>
      <c r="G226" s="3032" t="s">
        <v>3559</v>
      </c>
    </row>
    <row r="227" spans="1:7" ht="16.5">
      <c r="A227" s="3032">
        <v>217</v>
      </c>
      <c r="B227" s="3032" t="s">
        <v>3539</v>
      </c>
      <c r="C227" s="3032" t="s">
        <v>3567</v>
      </c>
      <c r="D227" s="3032" t="s">
        <v>3562</v>
      </c>
      <c r="E227" s="3032">
        <v>503</v>
      </c>
      <c r="F227" s="3032">
        <v>88.61</v>
      </c>
      <c r="G227" s="3032" t="s">
        <v>3559</v>
      </c>
    </row>
    <row r="228" spans="1:7" ht="16.5">
      <c r="A228" s="3032">
        <v>218</v>
      </c>
      <c r="B228" s="3032" t="s">
        <v>3539</v>
      </c>
      <c r="C228" s="3032" t="s">
        <v>3567</v>
      </c>
      <c r="D228" s="3032" t="s">
        <v>3562</v>
      </c>
      <c r="E228" s="3032">
        <v>504</v>
      </c>
      <c r="F228" s="3032">
        <v>86.7</v>
      </c>
      <c r="G228" s="3032" t="s">
        <v>3559</v>
      </c>
    </row>
    <row r="229" spans="1:7" ht="16.5">
      <c r="A229" s="3032">
        <v>219</v>
      </c>
      <c r="B229" s="3032" t="s">
        <v>3539</v>
      </c>
      <c r="C229" s="3032" t="s">
        <v>3567</v>
      </c>
      <c r="D229" s="3032" t="s">
        <v>3562</v>
      </c>
      <c r="E229" s="3032">
        <v>601</v>
      </c>
      <c r="F229" s="3032">
        <v>89.75</v>
      </c>
      <c r="G229" s="3032" t="s">
        <v>3559</v>
      </c>
    </row>
    <row r="230" spans="1:7" ht="16.5">
      <c r="A230" s="3032">
        <v>220</v>
      </c>
      <c r="B230" s="3032" t="s">
        <v>3539</v>
      </c>
      <c r="C230" s="3032" t="s">
        <v>3567</v>
      </c>
      <c r="D230" s="3032" t="s">
        <v>3562</v>
      </c>
      <c r="E230" s="3032">
        <v>602</v>
      </c>
      <c r="F230" s="3032">
        <v>88.61</v>
      </c>
      <c r="G230" s="3032" t="s">
        <v>3559</v>
      </c>
    </row>
    <row r="231" spans="1:7" ht="16.5">
      <c r="A231" s="3032">
        <v>221</v>
      </c>
      <c r="B231" s="3032" t="s">
        <v>3539</v>
      </c>
      <c r="C231" s="3032" t="s">
        <v>3567</v>
      </c>
      <c r="D231" s="3032" t="s">
        <v>3562</v>
      </c>
      <c r="E231" s="3032">
        <v>603</v>
      </c>
      <c r="F231" s="3032">
        <v>88.61</v>
      </c>
      <c r="G231" s="3032" t="s">
        <v>3559</v>
      </c>
    </row>
    <row r="232" spans="1:7" ht="16.5">
      <c r="A232" s="3032">
        <v>222</v>
      </c>
      <c r="B232" s="3032" t="s">
        <v>3539</v>
      </c>
      <c r="C232" s="3032" t="s">
        <v>3567</v>
      </c>
      <c r="D232" s="3032" t="s">
        <v>3562</v>
      </c>
      <c r="E232" s="3032">
        <v>604</v>
      </c>
      <c r="F232" s="3032">
        <v>86.7</v>
      </c>
      <c r="G232" s="3032" t="s">
        <v>3559</v>
      </c>
    </row>
    <row r="233" spans="1:7" ht="16.5">
      <c r="A233" s="3032">
        <v>223</v>
      </c>
      <c r="B233" s="3032" t="s">
        <v>3539</v>
      </c>
      <c r="C233" s="3032" t="s">
        <v>3567</v>
      </c>
      <c r="D233" s="3032" t="s">
        <v>3562</v>
      </c>
      <c r="E233" s="3032">
        <v>701</v>
      </c>
      <c r="F233" s="3032">
        <v>89.75</v>
      </c>
      <c r="G233" s="3032" t="s">
        <v>3559</v>
      </c>
    </row>
    <row r="234" spans="1:7" ht="16.5">
      <c r="A234" s="3032">
        <v>224</v>
      </c>
      <c r="B234" s="3032" t="s">
        <v>3539</v>
      </c>
      <c r="C234" s="3032" t="s">
        <v>3567</v>
      </c>
      <c r="D234" s="3032" t="s">
        <v>3562</v>
      </c>
      <c r="E234" s="3032">
        <v>702</v>
      </c>
      <c r="F234" s="3032">
        <v>88.61</v>
      </c>
      <c r="G234" s="3032" t="s">
        <v>3559</v>
      </c>
    </row>
    <row r="235" spans="1:7" ht="16.5">
      <c r="A235" s="3032">
        <v>225</v>
      </c>
      <c r="B235" s="3032" t="s">
        <v>3539</v>
      </c>
      <c r="C235" s="3032" t="s">
        <v>3567</v>
      </c>
      <c r="D235" s="3032" t="s">
        <v>3562</v>
      </c>
      <c r="E235" s="3032">
        <v>703</v>
      </c>
      <c r="F235" s="3032">
        <v>88.61</v>
      </c>
      <c r="G235" s="3032" t="s">
        <v>3559</v>
      </c>
    </row>
    <row r="236" spans="1:7" ht="16.5">
      <c r="A236" s="3032">
        <v>226</v>
      </c>
      <c r="B236" s="3032" t="s">
        <v>3539</v>
      </c>
      <c r="C236" s="3032" t="s">
        <v>3567</v>
      </c>
      <c r="D236" s="3032" t="s">
        <v>3562</v>
      </c>
      <c r="E236" s="3032">
        <v>704</v>
      </c>
      <c r="F236" s="3032">
        <v>86.7</v>
      </c>
      <c r="G236" s="3032" t="s">
        <v>3559</v>
      </c>
    </row>
    <row r="237" spans="1:7" ht="16.5">
      <c r="A237" s="3032">
        <v>227</v>
      </c>
      <c r="B237" s="3032" t="s">
        <v>3539</v>
      </c>
      <c r="C237" s="3032" t="s">
        <v>3567</v>
      </c>
      <c r="D237" s="3032" t="s">
        <v>3562</v>
      </c>
      <c r="E237" s="3032">
        <v>801</v>
      </c>
      <c r="F237" s="3032">
        <v>89.75</v>
      </c>
      <c r="G237" s="3032" t="s">
        <v>3559</v>
      </c>
    </row>
    <row r="238" spans="1:7" ht="16.5">
      <c r="A238" s="3032">
        <v>228</v>
      </c>
      <c r="B238" s="3032" t="s">
        <v>3539</v>
      </c>
      <c r="C238" s="3032" t="s">
        <v>3567</v>
      </c>
      <c r="D238" s="3032" t="s">
        <v>3562</v>
      </c>
      <c r="E238" s="3032">
        <v>802</v>
      </c>
      <c r="F238" s="3032">
        <v>88.61</v>
      </c>
      <c r="G238" s="3032" t="s">
        <v>3559</v>
      </c>
    </row>
    <row r="239" spans="1:7" ht="16.5">
      <c r="A239" s="3032">
        <v>229</v>
      </c>
      <c r="B239" s="3032" t="s">
        <v>3539</v>
      </c>
      <c r="C239" s="3032" t="s">
        <v>3567</v>
      </c>
      <c r="D239" s="3032" t="s">
        <v>3562</v>
      </c>
      <c r="E239" s="3032">
        <v>803</v>
      </c>
      <c r="F239" s="3032">
        <v>88.61</v>
      </c>
      <c r="G239" s="3032" t="s">
        <v>3559</v>
      </c>
    </row>
    <row r="240" spans="1:7" ht="16.5">
      <c r="A240" s="3032">
        <v>230</v>
      </c>
      <c r="B240" s="3032" t="s">
        <v>3539</v>
      </c>
      <c r="C240" s="3032" t="s">
        <v>3567</v>
      </c>
      <c r="D240" s="3032" t="s">
        <v>3562</v>
      </c>
      <c r="E240" s="3032">
        <v>804</v>
      </c>
      <c r="F240" s="3032">
        <v>86.7</v>
      </c>
      <c r="G240" s="3032" t="s">
        <v>3559</v>
      </c>
    </row>
    <row r="241" spans="1:7" ht="16.5">
      <c r="A241" s="3032">
        <v>231</v>
      </c>
      <c r="B241" s="3032" t="s">
        <v>3539</v>
      </c>
      <c r="C241" s="3032" t="s">
        <v>3567</v>
      </c>
      <c r="D241" s="3032" t="s">
        <v>3562</v>
      </c>
      <c r="E241" s="3032">
        <v>901</v>
      </c>
      <c r="F241" s="3032">
        <v>89.75</v>
      </c>
      <c r="G241" s="3032" t="s">
        <v>3559</v>
      </c>
    </row>
    <row r="242" spans="1:7" ht="16.5">
      <c r="A242" s="3032">
        <v>232</v>
      </c>
      <c r="B242" s="3032" t="s">
        <v>3539</v>
      </c>
      <c r="C242" s="3032" t="s">
        <v>3567</v>
      </c>
      <c r="D242" s="3032" t="s">
        <v>3562</v>
      </c>
      <c r="E242" s="3032">
        <v>902</v>
      </c>
      <c r="F242" s="3032">
        <v>88.61</v>
      </c>
      <c r="G242" s="3032" t="s">
        <v>3559</v>
      </c>
    </row>
    <row r="243" spans="1:7" ht="16.5">
      <c r="A243" s="3032">
        <v>233</v>
      </c>
      <c r="B243" s="3032" t="s">
        <v>3539</v>
      </c>
      <c r="C243" s="3032" t="s">
        <v>3567</v>
      </c>
      <c r="D243" s="3032" t="s">
        <v>3562</v>
      </c>
      <c r="E243" s="3032">
        <v>903</v>
      </c>
      <c r="F243" s="3032">
        <v>88.61</v>
      </c>
      <c r="G243" s="3032" t="s">
        <v>3559</v>
      </c>
    </row>
    <row r="244" spans="1:7" ht="16.5">
      <c r="A244" s="3032">
        <v>234</v>
      </c>
      <c r="B244" s="3032" t="s">
        <v>3539</v>
      </c>
      <c r="C244" s="3032" t="s">
        <v>3567</v>
      </c>
      <c r="D244" s="3032" t="s">
        <v>3562</v>
      </c>
      <c r="E244" s="3032">
        <v>904</v>
      </c>
      <c r="F244" s="3032">
        <v>86.7</v>
      </c>
      <c r="G244" s="3032" t="s">
        <v>3559</v>
      </c>
    </row>
    <row r="245" spans="1:7" ht="16.5">
      <c r="A245" s="3032">
        <v>235</v>
      </c>
      <c r="B245" s="3032" t="s">
        <v>3539</v>
      </c>
      <c r="C245" s="3032" t="s">
        <v>3567</v>
      </c>
      <c r="D245" s="3032" t="s">
        <v>3562</v>
      </c>
      <c r="E245" s="3032">
        <v>1001</v>
      </c>
      <c r="F245" s="3032">
        <v>89.75</v>
      </c>
      <c r="G245" s="3032" t="s">
        <v>3559</v>
      </c>
    </row>
    <row r="246" spans="1:7" ht="16.5">
      <c r="A246" s="3032">
        <v>236</v>
      </c>
      <c r="B246" s="3032" t="s">
        <v>3539</v>
      </c>
      <c r="C246" s="3032" t="s">
        <v>3567</v>
      </c>
      <c r="D246" s="3032" t="s">
        <v>3562</v>
      </c>
      <c r="E246" s="3032">
        <v>1002</v>
      </c>
      <c r="F246" s="3032">
        <v>88.61</v>
      </c>
      <c r="G246" s="3032" t="s">
        <v>3559</v>
      </c>
    </row>
    <row r="247" spans="1:7" ht="16.5">
      <c r="A247" s="3032">
        <v>237</v>
      </c>
      <c r="B247" s="3032" t="s">
        <v>3539</v>
      </c>
      <c r="C247" s="3032" t="s">
        <v>3567</v>
      </c>
      <c r="D247" s="3032" t="s">
        <v>3562</v>
      </c>
      <c r="E247" s="3032">
        <v>1003</v>
      </c>
      <c r="F247" s="3032">
        <v>88.61</v>
      </c>
      <c r="G247" s="3032" t="s">
        <v>3559</v>
      </c>
    </row>
    <row r="248" spans="1:7" ht="16.5">
      <c r="A248" s="3032">
        <v>238</v>
      </c>
      <c r="B248" s="3032" t="s">
        <v>3539</v>
      </c>
      <c r="C248" s="3032" t="s">
        <v>3567</v>
      </c>
      <c r="D248" s="3032" t="s">
        <v>3562</v>
      </c>
      <c r="E248" s="3032">
        <v>1004</v>
      </c>
      <c r="F248" s="3032">
        <v>86.7</v>
      </c>
      <c r="G248" s="3032" t="s">
        <v>3559</v>
      </c>
    </row>
    <row r="249" spans="1:7" ht="16.5">
      <c r="A249" s="3032">
        <v>239</v>
      </c>
      <c r="B249" s="3032" t="s">
        <v>3539</v>
      </c>
      <c r="C249" s="3032" t="s">
        <v>3567</v>
      </c>
      <c r="D249" s="3032" t="s">
        <v>3562</v>
      </c>
      <c r="E249" s="3032">
        <v>1101</v>
      </c>
      <c r="F249" s="3032">
        <v>89.75</v>
      </c>
      <c r="G249" s="3032" t="s">
        <v>3559</v>
      </c>
    </row>
    <row r="250" spans="1:7" ht="16.5">
      <c r="A250" s="3032">
        <v>240</v>
      </c>
      <c r="B250" s="3032" t="s">
        <v>3539</v>
      </c>
      <c r="C250" s="3032" t="s">
        <v>3567</v>
      </c>
      <c r="D250" s="3032" t="s">
        <v>3562</v>
      </c>
      <c r="E250" s="3032">
        <v>1102</v>
      </c>
      <c r="F250" s="3032">
        <v>88.61</v>
      </c>
      <c r="G250" s="3032" t="s">
        <v>3559</v>
      </c>
    </row>
    <row r="251" spans="1:7" ht="16.5">
      <c r="A251" s="3032">
        <v>241</v>
      </c>
      <c r="B251" s="3032" t="s">
        <v>3539</v>
      </c>
      <c r="C251" s="3032" t="s">
        <v>3567</v>
      </c>
      <c r="D251" s="3032" t="s">
        <v>3562</v>
      </c>
      <c r="E251" s="3032">
        <v>1103</v>
      </c>
      <c r="F251" s="3032">
        <v>88.61</v>
      </c>
      <c r="G251" s="3032" t="s">
        <v>3559</v>
      </c>
    </row>
    <row r="252" spans="1:7" ht="16.5">
      <c r="A252" s="3032">
        <v>242</v>
      </c>
      <c r="B252" s="3032" t="s">
        <v>3539</v>
      </c>
      <c r="C252" s="3032" t="s">
        <v>3567</v>
      </c>
      <c r="D252" s="3032" t="s">
        <v>3562</v>
      </c>
      <c r="E252" s="3032">
        <v>1104</v>
      </c>
      <c r="F252" s="3032">
        <v>86.7</v>
      </c>
      <c r="G252" s="3032" t="s">
        <v>3559</v>
      </c>
    </row>
    <row r="253" spans="1:7" ht="16.5">
      <c r="A253" s="3032">
        <v>243</v>
      </c>
      <c r="B253" s="3032" t="s">
        <v>3539</v>
      </c>
      <c r="C253" s="3032" t="s">
        <v>3567</v>
      </c>
      <c r="D253" s="3032" t="s">
        <v>3562</v>
      </c>
      <c r="E253" s="3032">
        <v>1201</v>
      </c>
      <c r="F253" s="3032">
        <v>89.75</v>
      </c>
      <c r="G253" s="3032" t="s">
        <v>3559</v>
      </c>
    </row>
    <row r="254" spans="1:7" ht="16.5">
      <c r="A254" s="3032">
        <v>244</v>
      </c>
      <c r="B254" s="3032" t="s">
        <v>3539</v>
      </c>
      <c r="C254" s="3032" t="s">
        <v>3567</v>
      </c>
      <c r="D254" s="3032" t="s">
        <v>3562</v>
      </c>
      <c r="E254" s="3032">
        <v>1202</v>
      </c>
      <c r="F254" s="3032">
        <v>88.61</v>
      </c>
      <c r="G254" s="3032" t="s">
        <v>3559</v>
      </c>
    </row>
    <row r="255" spans="1:7" ht="16.5">
      <c r="A255" s="3032">
        <v>245</v>
      </c>
      <c r="B255" s="3032" t="s">
        <v>3539</v>
      </c>
      <c r="C255" s="3032" t="s">
        <v>3567</v>
      </c>
      <c r="D255" s="3032" t="s">
        <v>3562</v>
      </c>
      <c r="E255" s="3032">
        <v>1203</v>
      </c>
      <c r="F255" s="3032">
        <v>88.61</v>
      </c>
      <c r="G255" s="3032" t="s">
        <v>3559</v>
      </c>
    </row>
    <row r="256" spans="1:7" ht="16.5">
      <c r="A256" s="3032">
        <v>246</v>
      </c>
      <c r="B256" s="3032" t="s">
        <v>3539</v>
      </c>
      <c r="C256" s="3032" t="s">
        <v>3567</v>
      </c>
      <c r="D256" s="3032" t="s">
        <v>3562</v>
      </c>
      <c r="E256" s="3032">
        <v>1204</v>
      </c>
      <c r="F256" s="3032">
        <v>86.7</v>
      </c>
      <c r="G256" s="3032" t="s">
        <v>3559</v>
      </c>
    </row>
    <row r="257" spans="1:7" ht="16.5">
      <c r="A257" s="3032">
        <v>247</v>
      </c>
      <c r="B257" s="3032" t="s">
        <v>3539</v>
      </c>
      <c r="C257" s="3032" t="s">
        <v>3567</v>
      </c>
      <c r="D257" s="3032" t="s">
        <v>3562</v>
      </c>
      <c r="E257" s="3032">
        <v>1301</v>
      </c>
      <c r="F257" s="3032">
        <v>89.75</v>
      </c>
      <c r="G257" s="3032" t="s">
        <v>3559</v>
      </c>
    </row>
    <row r="258" spans="1:7" ht="16.5">
      <c r="A258" s="3032">
        <v>248</v>
      </c>
      <c r="B258" s="3032" t="s">
        <v>3539</v>
      </c>
      <c r="C258" s="3032" t="s">
        <v>3567</v>
      </c>
      <c r="D258" s="3032" t="s">
        <v>3562</v>
      </c>
      <c r="E258" s="3032">
        <v>1302</v>
      </c>
      <c r="F258" s="3032">
        <v>88.61</v>
      </c>
      <c r="G258" s="3032" t="s">
        <v>3559</v>
      </c>
    </row>
    <row r="259" spans="1:7" ht="16.5">
      <c r="A259" s="3032">
        <v>249</v>
      </c>
      <c r="B259" s="3032" t="s">
        <v>3539</v>
      </c>
      <c r="C259" s="3032" t="s">
        <v>3567</v>
      </c>
      <c r="D259" s="3032" t="s">
        <v>3562</v>
      </c>
      <c r="E259" s="3032">
        <v>1303</v>
      </c>
      <c r="F259" s="3032">
        <v>88.61</v>
      </c>
      <c r="G259" s="3032" t="s">
        <v>3559</v>
      </c>
    </row>
    <row r="260" spans="1:7" ht="16.5">
      <c r="A260" s="3032">
        <v>250</v>
      </c>
      <c r="B260" s="3032" t="s">
        <v>3539</v>
      </c>
      <c r="C260" s="3032" t="s">
        <v>3567</v>
      </c>
      <c r="D260" s="3032" t="s">
        <v>3562</v>
      </c>
      <c r="E260" s="3032">
        <v>1304</v>
      </c>
      <c r="F260" s="3032">
        <v>86.7</v>
      </c>
      <c r="G260" s="3032" t="s">
        <v>3559</v>
      </c>
    </row>
    <row r="261" spans="1:7" ht="16.5">
      <c r="A261" s="3032">
        <v>251</v>
      </c>
      <c r="B261" s="3032" t="s">
        <v>3539</v>
      </c>
      <c r="C261" s="3032" t="s">
        <v>3567</v>
      </c>
      <c r="D261" s="3032" t="s">
        <v>3562</v>
      </c>
      <c r="E261" s="3032">
        <v>1401</v>
      </c>
      <c r="F261" s="3032">
        <v>89.75</v>
      </c>
      <c r="G261" s="3032" t="s">
        <v>3559</v>
      </c>
    </row>
    <row r="262" spans="1:7" ht="16.5">
      <c r="A262" s="3032">
        <v>252</v>
      </c>
      <c r="B262" s="3032" t="s">
        <v>3539</v>
      </c>
      <c r="C262" s="3032" t="s">
        <v>3567</v>
      </c>
      <c r="D262" s="3032" t="s">
        <v>3562</v>
      </c>
      <c r="E262" s="3032">
        <v>1402</v>
      </c>
      <c r="F262" s="3032">
        <v>88.61</v>
      </c>
      <c r="G262" s="3032" t="s">
        <v>3559</v>
      </c>
    </row>
    <row r="263" spans="1:7" ht="16.5">
      <c r="A263" s="3032">
        <v>253</v>
      </c>
      <c r="B263" s="3032" t="s">
        <v>3539</v>
      </c>
      <c r="C263" s="3032" t="s">
        <v>3567</v>
      </c>
      <c r="D263" s="3032" t="s">
        <v>3562</v>
      </c>
      <c r="E263" s="3032">
        <v>1403</v>
      </c>
      <c r="F263" s="3032">
        <v>88.61</v>
      </c>
      <c r="G263" s="3032" t="s">
        <v>3559</v>
      </c>
    </row>
    <row r="264" spans="1:7" ht="16.5">
      <c r="A264" s="3032">
        <v>254</v>
      </c>
      <c r="B264" s="3032" t="s">
        <v>3539</v>
      </c>
      <c r="C264" s="3032" t="s">
        <v>3567</v>
      </c>
      <c r="D264" s="3032" t="s">
        <v>3562</v>
      </c>
      <c r="E264" s="3032">
        <v>1404</v>
      </c>
      <c r="F264" s="3032">
        <v>86.7</v>
      </c>
      <c r="G264" s="3032" t="s">
        <v>3559</v>
      </c>
    </row>
    <row r="265" spans="1:7" ht="16.5">
      <c r="A265" s="3032">
        <v>255</v>
      </c>
      <c r="B265" s="3032" t="s">
        <v>3539</v>
      </c>
      <c r="C265" s="3032" t="s">
        <v>3567</v>
      </c>
      <c r="D265" s="3032" t="s">
        <v>3562</v>
      </c>
      <c r="E265" s="3032">
        <v>1501</v>
      </c>
      <c r="F265" s="3032">
        <v>89.75</v>
      </c>
      <c r="G265" s="3032" t="s">
        <v>3559</v>
      </c>
    </row>
    <row r="266" spans="1:7" ht="16.5">
      <c r="A266" s="3032">
        <v>256</v>
      </c>
      <c r="B266" s="3032" t="s">
        <v>3539</v>
      </c>
      <c r="C266" s="3032" t="s">
        <v>3567</v>
      </c>
      <c r="D266" s="3032" t="s">
        <v>3562</v>
      </c>
      <c r="E266" s="3032">
        <v>1502</v>
      </c>
      <c r="F266" s="3032">
        <v>88.61</v>
      </c>
      <c r="G266" s="3032" t="s">
        <v>3559</v>
      </c>
    </row>
    <row r="267" spans="1:7" ht="16.5">
      <c r="A267" s="3032">
        <v>257</v>
      </c>
      <c r="B267" s="3032" t="s">
        <v>3539</v>
      </c>
      <c r="C267" s="3032" t="s">
        <v>3567</v>
      </c>
      <c r="D267" s="3032" t="s">
        <v>3562</v>
      </c>
      <c r="E267" s="3032">
        <v>1503</v>
      </c>
      <c r="F267" s="3032">
        <v>88.61</v>
      </c>
      <c r="G267" s="3032" t="s">
        <v>3559</v>
      </c>
    </row>
    <row r="268" spans="1:7" ht="16.5">
      <c r="A268" s="3032">
        <v>258</v>
      </c>
      <c r="B268" s="3032" t="s">
        <v>3539</v>
      </c>
      <c r="C268" s="3032" t="s">
        <v>3567</v>
      </c>
      <c r="D268" s="3032" t="s">
        <v>3562</v>
      </c>
      <c r="E268" s="3032">
        <v>1504</v>
      </c>
      <c r="F268" s="3032">
        <v>86.7</v>
      </c>
      <c r="G268" s="3032" t="s">
        <v>3559</v>
      </c>
    </row>
    <row r="269" spans="1:7" ht="16.5">
      <c r="A269" s="3032">
        <v>259</v>
      </c>
      <c r="B269" s="3032" t="s">
        <v>3539</v>
      </c>
      <c r="C269" s="3032" t="s">
        <v>3567</v>
      </c>
      <c r="D269" s="3032" t="s">
        <v>3562</v>
      </c>
      <c r="E269" s="3032">
        <v>1601</v>
      </c>
      <c r="F269" s="3032">
        <v>89.75</v>
      </c>
      <c r="G269" s="3032" t="s">
        <v>3559</v>
      </c>
    </row>
    <row r="270" spans="1:7" ht="16.5">
      <c r="A270" s="3032">
        <v>260</v>
      </c>
      <c r="B270" s="3032" t="s">
        <v>3539</v>
      </c>
      <c r="C270" s="3032" t="s">
        <v>3567</v>
      </c>
      <c r="D270" s="3032" t="s">
        <v>3562</v>
      </c>
      <c r="E270" s="3032">
        <v>1602</v>
      </c>
      <c r="F270" s="3032">
        <v>88.61</v>
      </c>
      <c r="G270" s="3032" t="s">
        <v>3559</v>
      </c>
    </row>
    <row r="271" spans="1:7" ht="16.5">
      <c r="A271" s="3032">
        <v>261</v>
      </c>
      <c r="B271" s="3032" t="s">
        <v>3539</v>
      </c>
      <c r="C271" s="3032" t="s">
        <v>3567</v>
      </c>
      <c r="D271" s="3032" t="s">
        <v>3562</v>
      </c>
      <c r="E271" s="3032">
        <v>1603</v>
      </c>
      <c r="F271" s="3032">
        <v>88.61</v>
      </c>
      <c r="G271" s="3032" t="s">
        <v>3559</v>
      </c>
    </row>
    <row r="272" spans="1:7" ht="16.5">
      <c r="A272" s="3032">
        <v>262</v>
      </c>
      <c r="B272" s="3032" t="s">
        <v>3539</v>
      </c>
      <c r="C272" s="3032" t="s">
        <v>3567</v>
      </c>
      <c r="D272" s="3032" t="s">
        <v>3562</v>
      </c>
      <c r="E272" s="3032">
        <v>1604</v>
      </c>
      <c r="F272" s="3032">
        <v>86.7</v>
      </c>
      <c r="G272" s="3032" t="s">
        <v>3559</v>
      </c>
    </row>
    <row r="273" spans="1:7" ht="16.5">
      <c r="A273" s="3032">
        <v>263</v>
      </c>
      <c r="B273" s="3032" t="s">
        <v>3539</v>
      </c>
      <c r="C273" s="3032" t="s">
        <v>3567</v>
      </c>
      <c r="D273" s="3032" t="s">
        <v>3562</v>
      </c>
      <c r="E273" s="3032">
        <v>1701</v>
      </c>
      <c r="F273" s="3032">
        <v>89.75</v>
      </c>
      <c r="G273" s="3032" t="s">
        <v>3559</v>
      </c>
    </row>
    <row r="274" spans="1:7" ht="16.5">
      <c r="A274" s="3032">
        <v>264</v>
      </c>
      <c r="B274" s="3032" t="s">
        <v>3539</v>
      </c>
      <c r="C274" s="3032" t="s">
        <v>3567</v>
      </c>
      <c r="D274" s="3032" t="s">
        <v>3562</v>
      </c>
      <c r="E274" s="3032">
        <v>1702</v>
      </c>
      <c r="F274" s="3032">
        <v>88.61</v>
      </c>
      <c r="G274" s="3032" t="s">
        <v>3559</v>
      </c>
    </row>
    <row r="275" spans="1:7" ht="16.5">
      <c r="A275" s="3032">
        <v>265</v>
      </c>
      <c r="B275" s="3032" t="s">
        <v>3539</v>
      </c>
      <c r="C275" s="3032" t="s">
        <v>3567</v>
      </c>
      <c r="D275" s="3032" t="s">
        <v>3562</v>
      </c>
      <c r="E275" s="3032">
        <v>1703</v>
      </c>
      <c r="F275" s="3032">
        <v>88.61</v>
      </c>
      <c r="G275" s="3032" t="s">
        <v>3559</v>
      </c>
    </row>
    <row r="276" spans="1:7" ht="16.5">
      <c r="A276" s="3032">
        <v>266</v>
      </c>
      <c r="B276" s="3032" t="s">
        <v>3539</v>
      </c>
      <c r="C276" s="3032" t="s">
        <v>3567</v>
      </c>
      <c r="D276" s="3032" t="s">
        <v>3562</v>
      </c>
      <c r="E276" s="3032">
        <v>1704</v>
      </c>
      <c r="F276" s="3032">
        <v>86.7</v>
      </c>
      <c r="G276" s="3032" t="s">
        <v>3559</v>
      </c>
    </row>
    <row r="277" spans="1:7" ht="16.5">
      <c r="A277" s="3032">
        <v>267</v>
      </c>
      <c r="B277" s="3032" t="s">
        <v>3539</v>
      </c>
      <c r="C277" s="3032" t="s">
        <v>3567</v>
      </c>
      <c r="D277" s="3032" t="s">
        <v>3565</v>
      </c>
      <c r="E277" s="3032">
        <v>201</v>
      </c>
      <c r="F277" s="3032">
        <v>89.75</v>
      </c>
      <c r="G277" s="3032" t="s">
        <v>3559</v>
      </c>
    </row>
    <row r="278" spans="1:7" ht="16.5">
      <c r="A278" s="3032">
        <v>268</v>
      </c>
      <c r="B278" s="3032" t="s">
        <v>3539</v>
      </c>
      <c r="C278" s="3032" t="s">
        <v>3567</v>
      </c>
      <c r="D278" s="3032" t="s">
        <v>3565</v>
      </c>
      <c r="E278" s="3032">
        <v>202</v>
      </c>
      <c r="F278" s="3032">
        <v>88.61</v>
      </c>
      <c r="G278" s="3032" t="s">
        <v>3559</v>
      </c>
    </row>
    <row r="279" spans="1:7" ht="16.5">
      <c r="A279" s="3032">
        <v>269</v>
      </c>
      <c r="B279" s="3032" t="s">
        <v>3539</v>
      </c>
      <c r="C279" s="3032" t="s">
        <v>3567</v>
      </c>
      <c r="D279" s="3032" t="s">
        <v>3565</v>
      </c>
      <c r="E279" s="3032">
        <v>203</v>
      </c>
      <c r="F279" s="3032">
        <v>88.61</v>
      </c>
      <c r="G279" s="3032" t="s">
        <v>3559</v>
      </c>
    </row>
    <row r="280" spans="1:7" ht="16.5">
      <c r="A280" s="3032">
        <v>270</v>
      </c>
      <c r="B280" s="3032" t="s">
        <v>3539</v>
      </c>
      <c r="C280" s="3032" t="s">
        <v>3567</v>
      </c>
      <c r="D280" s="3032" t="s">
        <v>3565</v>
      </c>
      <c r="E280" s="3032">
        <v>204</v>
      </c>
      <c r="F280" s="3032">
        <v>86.7</v>
      </c>
      <c r="G280" s="3032" t="s">
        <v>3559</v>
      </c>
    </row>
    <row r="281" spans="1:7" ht="16.5">
      <c r="A281" s="3032">
        <v>271</v>
      </c>
      <c r="B281" s="3032" t="s">
        <v>3539</v>
      </c>
      <c r="C281" s="3032" t="s">
        <v>3567</v>
      </c>
      <c r="D281" s="3032" t="s">
        <v>3565</v>
      </c>
      <c r="E281" s="3032">
        <v>301</v>
      </c>
      <c r="F281" s="3032">
        <v>89.75</v>
      </c>
      <c r="G281" s="3032" t="s">
        <v>3559</v>
      </c>
    </row>
    <row r="282" spans="1:7" ht="16.5">
      <c r="A282" s="3032">
        <v>272</v>
      </c>
      <c r="B282" s="3032" t="s">
        <v>3539</v>
      </c>
      <c r="C282" s="3032" t="s">
        <v>3567</v>
      </c>
      <c r="D282" s="3032" t="s">
        <v>3565</v>
      </c>
      <c r="E282" s="3032">
        <v>302</v>
      </c>
      <c r="F282" s="3032">
        <v>88.61</v>
      </c>
      <c r="G282" s="3032" t="s">
        <v>3559</v>
      </c>
    </row>
    <row r="283" spans="1:7" ht="16.5">
      <c r="A283" s="3032">
        <v>273</v>
      </c>
      <c r="B283" s="3032" t="s">
        <v>3539</v>
      </c>
      <c r="C283" s="3032" t="s">
        <v>3567</v>
      </c>
      <c r="D283" s="3032" t="s">
        <v>3565</v>
      </c>
      <c r="E283" s="3032">
        <v>303</v>
      </c>
      <c r="F283" s="3032">
        <v>88.61</v>
      </c>
      <c r="G283" s="3032" t="s">
        <v>3559</v>
      </c>
    </row>
    <row r="284" spans="1:7" ht="16.5">
      <c r="A284" s="3032">
        <v>274</v>
      </c>
      <c r="B284" s="3032" t="s">
        <v>3539</v>
      </c>
      <c r="C284" s="3032" t="s">
        <v>3567</v>
      </c>
      <c r="D284" s="3032" t="s">
        <v>3565</v>
      </c>
      <c r="E284" s="3032">
        <v>304</v>
      </c>
      <c r="F284" s="3032">
        <v>86.7</v>
      </c>
      <c r="G284" s="3032" t="s">
        <v>3559</v>
      </c>
    </row>
    <row r="285" spans="1:7" ht="16.5">
      <c r="A285" s="3032">
        <v>275</v>
      </c>
      <c r="B285" s="3032" t="s">
        <v>3539</v>
      </c>
      <c r="C285" s="3032" t="s">
        <v>3567</v>
      </c>
      <c r="D285" s="3032" t="s">
        <v>3565</v>
      </c>
      <c r="E285" s="3032">
        <v>401</v>
      </c>
      <c r="F285" s="3032">
        <v>89.75</v>
      </c>
      <c r="G285" s="3032" t="s">
        <v>3559</v>
      </c>
    </row>
    <row r="286" spans="1:7" ht="16.5">
      <c r="A286" s="3032">
        <v>276</v>
      </c>
      <c r="B286" s="3032" t="s">
        <v>3539</v>
      </c>
      <c r="C286" s="3032" t="s">
        <v>3567</v>
      </c>
      <c r="D286" s="3032" t="s">
        <v>3565</v>
      </c>
      <c r="E286" s="3032">
        <v>402</v>
      </c>
      <c r="F286" s="3032">
        <v>88.61</v>
      </c>
      <c r="G286" s="3032" t="s">
        <v>3559</v>
      </c>
    </row>
    <row r="287" spans="1:7" ht="16.5">
      <c r="A287" s="3032">
        <v>277</v>
      </c>
      <c r="B287" s="3032" t="s">
        <v>3539</v>
      </c>
      <c r="C287" s="3032" t="s">
        <v>3567</v>
      </c>
      <c r="D287" s="3032" t="s">
        <v>3565</v>
      </c>
      <c r="E287" s="3032">
        <v>403</v>
      </c>
      <c r="F287" s="3032">
        <v>88.61</v>
      </c>
      <c r="G287" s="3032" t="s">
        <v>3559</v>
      </c>
    </row>
    <row r="288" spans="1:7" ht="16.5">
      <c r="A288" s="3032">
        <v>278</v>
      </c>
      <c r="B288" s="3032" t="s">
        <v>3539</v>
      </c>
      <c r="C288" s="3032" t="s">
        <v>3567</v>
      </c>
      <c r="D288" s="3032" t="s">
        <v>3565</v>
      </c>
      <c r="E288" s="3032">
        <v>404</v>
      </c>
      <c r="F288" s="3032">
        <v>86.7</v>
      </c>
      <c r="G288" s="3032" t="s">
        <v>3559</v>
      </c>
    </row>
    <row r="289" spans="1:7" ht="16.5">
      <c r="A289" s="3032">
        <v>279</v>
      </c>
      <c r="B289" s="3032" t="s">
        <v>3539</v>
      </c>
      <c r="C289" s="3032" t="s">
        <v>3567</v>
      </c>
      <c r="D289" s="3032" t="s">
        <v>3565</v>
      </c>
      <c r="E289" s="3032">
        <v>501</v>
      </c>
      <c r="F289" s="3032">
        <v>89.75</v>
      </c>
      <c r="G289" s="3032" t="s">
        <v>3559</v>
      </c>
    </row>
    <row r="290" spans="1:7" ht="16.5">
      <c r="A290" s="3032">
        <v>280</v>
      </c>
      <c r="B290" s="3032" t="s">
        <v>3539</v>
      </c>
      <c r="C290" s="3032" t="s">
        <v>3567</v>
      </c>
      <c r="D290" s="3032" t="s">
        <v>3565</v>
      </c>
      <c r="E290" s="3032">
        <v>502</v>
      </c>
      <c r="F290" s="3032">
        <v>88.61</v>
      </c>
      <c r="G290" s="3032" t="s">
        <v>3559</v>
      </c>
    </row>
    <row r="291" spans="1:7" ht="16.5">
      <c r="A291" s="3032">
        <v>281</v>
      </c>
      <c r="B291" s="3032" t="s">
        <v>3539</v>
      </c>
      <c r="C291" s="3032" t="s">
        <v>3567</v>
      </c>
      <c r="D291" s="3032" t="s">
        <v>3565</v>
      </c>
      <c r="E291" s="3032">
        <v>503</v>
      </c>
      <c r="F291" s="3032">
        <v>88.61</v>
      </c>
      <c r="G291" s="3032" t="s">
        <v>3559</v>
      </c>
    </row>
    <row r="292" spans="1:7" ht="16.5">
      <c r="A292" s="3032">
        <v>282</v>
      </c>
      <c r="B292" s="3032" t="s">
        <v>3539</v>
      </c>
      <c r="C292" s="3032" t="s">
        <v>3567</v>
      </c>
      <c r="D292" s="3032" t="s">
        <v>3565</v>
      </c>
      <c r="E292" s="3032">
        <v>504</v>
      </c>
      <c r="F292" s="3032">
        <v>86.7</v>
      </c>
      <c r="G292" s="3032" t="s">
        <v>3559</v>
      </c>
    </row>
    <row r="293" spans="1:7" ht="16.5">
      <c r="A293" s="3032">
        <v>283</v>
      </c>
      <c r="B293" s="3032" t="s">
        <v>3539</v>
      </c>
      <c r="C293" s="3032" t="s">
        <v>3567</v>
      </c>
      <c r="D293" s="3032" t="s">
        <v>3565</v>
      </c>
      <c r="E293" s="3032">
        <v>601</v>
      </c>
      <c r="F293" s="3032">
        <v>89.75</v>
      </c>
      <c r="G293" s="3032" t="s">
        <v>3559</v>
      </c>
    </row>
    <row r="294" spans="1:7" ht="16.5">
      <c r="A294" s="3032">
        <v>284</v>
      </c>
      <c r="B294" s="3032" t="s">
        <v>3539</v>
      </c>
      <c r="C294" s="3032" t="s">
        <v>3567</v>
      </c>
      <c r="D294" s="3032" t="s">
        <v>3565</v>
      </c>
      <c r="E294" s="3032">
        <v>602</v>
      </c>
      <c r="F294" s="3032">
        <v>88.61</v>
      </c>
      <c r="G294" s="3032" t="s">
        <v>3559</v>
      </c>
    </row>
    <row r="295" spans="1:7" ht="16.5">
      <c r="A295" s="3032">
        <v>285</v>
      </c>
      <c r="B295" s="3032" t="s">
        <v>3539</v>
      </c>
      <c r="C295" s="3032" t="s">
        <v>3567</v>
      </c>
      <c r="D295" s="3032" t="s">
        <v>3565</v>
      </c>
      <c r="E295" s="3032">
        <v>603</v>
      </c>
      <c r="F295" s="3032">
        <v>88.61</v>
      </c>
      <c r="G295" s="3032" t="s">
        <v>3559</v>
      </c>
    </row>
    <row r="296" spans="1:7" ht="16.5">
      <c r="A296" s="3032">
        <v>286</v>
      </c>
      <c r="B296" s="3032" t="s">
        <v>3539</v>
      </c>
      <c r="C296" s="3032" t="s">
        <v>3567</v>
      </c>
      <c r="D296" s="3032" t="s">
        <v>3565</v>
      </c>
      <c r="E296" s="3032">
        <v>604</v>
      </c>
      <c r="F296" s="3032">
        <v>86.7</v>
      </c>
      <c r="G296" s="3032" t="s">
        <v>3559</v>
      </c>
    </row>
    <row r="297" spans="1:7" ht="16.5">
      <c r="A297" s="3032">
        <v>287</v>
      </c>
      <c r="B297" s="3032" t="s">
        <v>3539</v>
      </c>
      <c r="C297" s="3032" t="s">
        <v>3567</v>
      </c>
      <c r="D297" s="3032" t="s">
        <v>3565</v>
      </c>
      <c r="E297" s="3032">
        <v>701</v>
      </c>
      <c r="F297" s="3032">
        <v>89.75</v>
      </c>
      <c r="G297" s="3032" t="s">
        <v>3559</v>
      </c>
    </row>
    <row r="298" spans="1:7" ht="16.5">
      <c r="A298" s="3032">
        <v>288</v>
      </c>
      <c r="B298" s="3032" t="s">
        <v>3539</v>
      </c>
      <c r="C298" s="3032" t="s">
        <v>3567</v>
      </c>
      <c r="D298" s="3032" t="s">
        <v>3565</v>
      </c>
      <c r="E298" s="3032">
        <v>702</v>
      </c>
      <c r="F298" s="3032">
        <v>88.61</v>
      </c>
      <c r="G298" s="3032" t="s">
        <v>3559</v>
      </c>
    </row>
    <row r="299" spans="1:7" ht="16.5">
      <c r="A299" s="3032">
        <v>289</v>
      </c>
      <c r="B299" s="3032" t="s">
        <v>3539</v>
      </c>
      <c r="C299" s="3032" t="s">
        <v>3567</v>
      </c>
      <c r="D299" s="3032" t="s">
        <v>3565</v>
      </c>
      <c r="E299" s="3032">
        <v>703</v>
      </c>
      <c r="F299" s="3032">
        <v>88.61</v>
      </c>
      <c r="G299" s="3032" t="s">
        <v>3559</v>
      </c>
    </row>
    <row r="300" spans="1:7" ht="16.5">
      <c r="A300" s="3032">
        <v>290</v>
      </c>
      <c r="B300" s="3032" t="s">
        <v>3539</v>
      </c>
      <c r="C300" s="3032" t="s">
        <v>3567</v>
      </c>
      <c r="D300" s="3032" t="s">
        <v>3565</v>
      </c>
      <c r="E300" s="3032">
        <v>704</v>
      </c>
      <c r="F300" s="3032">
        <v>86.7</v>
      </c>
      <c r="G300" s="3032" t="s">
        <v>3559</v>
      </c>
    </row>
    <row r="301" spans="1:7" ht="16.5">
      <c r="A301" s="3032">
        <v>291</v>
      </c>
      <c r="B301" s="3032" t="s">
        <v>3539</v>
      </c>
      <c r="C301" s="3032" t="s">
        <v>3567</v>
      </c>
      <c r="D301" s="3032" t="s">
        <v>3565</v>
      </c>
      <c r="E301" s="3032">
        <v>801</v>
      </c>
      <c r="F301" s="3032">
        <v>89.75</v>
      </c>
      <c r="G301" s="3032" t="s">
        <v>3559</v>
      </c>
    </row>
    <row r="302" spans="1:7" ht="16.5">
      <c r="A302" s="3032">
        <v>292</v>
      </c>
      <c r="B302" s="3032" t="s">
        <v>3539</v>
      </c>
      <c r="C302" s="3032" t="s">
        <v>3567</v>
      </c>
      <c r="D302" s="3032" t="s">
        <v>3565</v>
      </c>
      <c r="E302" s="3032">
        <v>802</v>
      </c>
      <c r="F302" s="3032">
        <v>88.61</v>
      </c>
      <c r="G302" s="3032" t="s">
        <v>3559</v>
      </c>
    </row>
    <row r="303" spans="1:7" ht="16.5">
      <c r="A303" s="3032">
        <v>293</v>
      </c>
      <c r="B303" s="3032" t="s">
        <v>3539</v>
      </c>
      <c r="C303" s="3032" t="s">
        <v>3567</v>
      </c>
      <c r="D303" s="3032" t="s">
        <v>3565</v>
      </c>
      <c r="E303" s="3032">
        <v>803</v>
      </c>
      <c r="F303" s="3032">
        <v>88.61</v>
      </c>
      <c r="G303" s="3032" t="s">
        <v>3559</v>
      </c>
    </row>
    <row r="304" spans="1:7" ht="16.5">
      <c r="A304" s="3032">
        <v>294</v>
      </c>
      <c r="B304" s="3032" t="s">
        <v>3539</v>
      </c>
      <c r="C304" s="3032" t="s">
        <v>3567</v>
      </c>
      <c r="D304" s="3032" t="s">
        <v>3565</v>
      </c>
      <c r="E304" s="3032">
        <v>804</v>
      </c>
      <c r="F304" s="3032">
        <v>86.7</v>
      </c>
      <c r="G304" s="3032" t="s">
        <v>3559</v>
      </c>
    </row>
    <row r="305" spans="1:7" ht="16.5">
      <c r="A305" s="3032">
        <v>295</v>
      </c>
      <c r="B305" s="3032" t="s">
        <v>3539</v>
      </c>
      <c r="C305" s="3032" t="s">
        <v>3567</v>
      </c>
      <c r="D305" s="3032" t="s">
        <v>3565</v>
      </c>
      <c r="E305" s="3032">
        <v>901</v>
      </c>
      <c r="F305" s="3032">
        <v>89.75</v>
      </c>
      <c r="G305" s="3032" t="s">
        <v>3559</v>
      </c>
    </row>
    <row r="306" spans="1:7" ht="16.5">
      <c r="A306" s="3032">
        <v>296</v>
      </c>
      <c r="B306" s="3032" t="s">
        <v>3539</v>
      </c>
      <c r="C306" s="3032" t="s">
        <v>3567</v>
      </c>
      <c r="D306" s="3032" t="s">
        <v>3565</v>
      </c>
      <c r="E306" s="3032">
        <v>902</v>
      </c>
      <c r="F306" s="3032">
        <v>88.61</v>
      </c>
      <c r="G306" s="3032" t="s">
        <v>3559</v>
      </c>
    </row>
    <row r="307" spans="1:7" ht="16.5">
      <c r="A307" s="3032">
        <v>297</v>
      </c>
      <c r="B307" s="3032" t="s">
        <v>3539</v>
      </c>
      <c r="C307" s="3032" t="s">
        <v>3567</v>
      </c>
      <c r="D307" s="3032" t="s">
        <v>3565</v>
      </c>
      <c r="E307" s="3032">
        <v>903</v>
      </c>
      <c r="F307" s="3032">
        <v>88.61</v>
      </c>
      <c r="G307" s="3032" t="s">
        <v>3559</v>
      </c>
    </row>
    <row r="308" spans="1:7" ht="16.5">
      <c r="A308" s="3032">
        <v>298</v>
      </c>
      <c r="B308" s="3032" t="s">
        <v>3539</v>
      </c>
      <c r="C308" s="3032" t="s">
        <v>3567</v>
      </c>
      <c r="D308" s="3032" t="s">
        <v>3565</v>
      </c>
      <c r="E308" s="3032">
        <v>904</v>
      </c>
      <c r="F308" s="3032">
        <v>86.7</v>
      </c>
      <c r="G308" s="3032" t="s">
        <v>3559</v>
      </c>
    </row>
    <row r="309" spans="1:7" ht="16.5">
      <c r="A309" s="3032">
        <v>299</v>
      </c>
      <c r="B309" s="3032" t="s">
        <v>3539</v>
      </c>
      <c r="C309" s="3032" t="s">
        <v>3567</v>
      </c>
      <c r="D309" s="3032" t="s">
        <v>3565</v>
      </c>
      <c r="E309" s="3032">
        <v>1001</v>
      </c>
      <c r="F309" s="3032">
        <v>89.75</v>
      </c>
      <c r="G309" s="3032" t="s">
        <v>3559</v>
      </c>
    </row>
    <row r="310" spans="1:7" ht="16.5">
      <c r="A310" s="3032">
        <v>300</v>
      </c>
      <c r="B310" s="3032" t="s">
        <v>3539</v>
      </c>
      <c r="C310" s="3032" t="s">
        <v>3567</v>
      </c>
      <c r="D310" s="3032" t="s">
        <v>3565</v>
      </c>
      <c r="E310" s="3032">
        <v>1002</v>
      </c>
      <c r="F310" s="3032">
        <v>88.61</v>
      </c>
      <c r="G310" s="3032" t="s">
        <v>3559</v>
      </c>
    </row>
    <row r="311" spans="1:7" ht="16.5">
      <c r="A311" s="3032">
        <v>301</v>
      </c>
      <c r="B311" s="3032" t="s">
        <v>3539</v>
      </c>
      <c r="C311" s="3032" t="s">
        <v>3567</v>
      </c>
      <c r="D311" s="3032" t="s">
        <v>3565</v>
      </c>
      <c r="E311" s="3032">
        <v>1003</v>
      </c>
      <c r="F311" s="3032">
        <v>88.61</v>
      </c>
      <c r="G311" s="3032" t="s">
        <v>3559</v>
      </c>
    </row>
    <row r="312" spans="1:7" ht="16.5">
      <c r="A312" s="3032">
        <v>302</v>
      </c>
      <c r="B312" s="3032" t="s">
        <v>3539</v>
      </c>
      <c r="C312" s="3032" t="s">
        <v>3567</v>
      </c>
      <c r="D312" s="3032" t="s">
        <v>3565</v>
      </c>
      <c r="E312" s="3032">
        <v>1004</v>
      </c>
      <c r="F312" s="3032">
        <v>86.7</v>
      </c>
      <c r="G312" s="3032" t="s">
        <v>3559</v>
      </c>
    </row>
    <row r="313" spans="1:7" ht="16.5">
      <c r="A313" s="3032">
        <v>303</v>
      </c>
      <c r="B313" s="3032" t="s">
        <v>3539</v>
      </c>
      <c r="C313" s="3032" t="s">
        <v>3567</v>
      </c>
      <c r="D313" s="3032" t="s">
        <v>3565</v>
      </c>
      <c r="E313" s="3032">
        <v>1101</v>
      </c>
      <c r="F313" s="3032">
        <v>89.75</v>
      </c>
      <c r="G313" s="3032" t="s">
        <v>3559</v>
      </c>
    </row>
    <row r="314" spans="1:7" ht="16.5">
      <c r="A314" s="3032">
        <v>304</v>
      </c>
      <c r="B314" s="3032" t="s">
        <v>3539</v>
      </c>
      <c r="C314" s="3032" t="s">
        <v>3567</v>
      </c>
      <c r="D314" s="3032" t="s">
        <v>3565</v>
      </c>
      <c r="E314" s="3032">
        <v>1102</v>
      </c>
      <c r="F314" s="3032">
        <v>88.61</v>
      </c>
      <c r="G314" s="3032" t="s">
        <v>3559</v>
      </c>
    </row>
    <row r="315" spans="1:7" ht="16.5">
      <c r="A315" s="3032">
        <v>305</v>
      </c>
      <c r="B315" s="3032" t="s">
        <v>3539</v>
      </c>
      <c r="C315" s="3032" t="s">
        <v>3567</v>
      </c>
      <c r="D315" s="3032" t="s">
        <v>3565</v>
      </c>
      <c r="E315" s="3032">
        <v>1103</v>
      </c>
      <c r="F315" s="3032">
        <v>88.61</v>
      </c>
      <c r="G315" s="3032" t="s">
        <v>3559</v>
      </c>
    </row>
    <row r="316" spans="1:7" ht="16.5">
      <c r="A316" s="3032">
        <v>306</v>
      </c>
      <c r="B316" s="3032" t="s">
        <v>3539</v>
      </c>
      <c r="C316" s="3032" t="s">
        <v>3567</v>
      </c>
      <c r="D316" s="3032" t="s">
        <v>3565</v>
      </c>
      <c r="E316" s="3032">
        <v>1104</v>
      </c>
      <c r="F316" s="3032">
        <v>86.7</v>
      </c>
      <c r="G316" s="3032" t="s">
        <v>3559</v>
      </c>
    </row>
    <row r="317" spans="1:7" ht="16.5">
      <c r="A317" s="3032">
        <v>307</v>
      </c>
      <c r="B317" s="3032" t="s">
        <v>3539</v>
      </c>
      <c r="C317" s="3032" t="s">
        <v>3567</v>
      </c>
      <c r="D317" s="3032" t="s">
        <v>3565</v>
      </c>
      <c r="E317" s="3032">
        <v>1201</v>
      </c>
      <c r="F317" s="3032">
        <v>89.75</v>
      </c>
      <c r="G317" s="3032" t="s">
        <v>3559</v>
      </c>
    </row>
    <row r="318" spans="1:7" ht="16.5">
      <c r="A318" s="3032">
        <v>308</v>
      </c>
      <c r="B318" s="3032" t="s">
        <v>3539</v>
      </c>
      <c r="C318" s="3032" t="s">
        <v>3567</v>
      </c>
      <c r="D318" s="3032" t="s">
        <v>3565</v>
      </c>
      <c r="E318" s="3032">
        <v>1202</v>
      </c>
      <c r="F318" s="3032">
        <v>88.61</v>
      </c>
      <c r="G318" s="3032" t="s">
        <v>3559</v>
      </c>
    </row>
    <row r="319" spans="1:7" ht="16.5">
      <c r="A319" s="3032">
        <v>309</v>
      </c>
      <c r="B319" s="3032" t="s">
        <v>3539</v>
      </c>
      <c r="C319" s="3032" t="s">
        <v>3567</v>
      </c>
      <c r="D319" s="3032" t="s">
        <v>3565</v>
      </c>
      <c r="E319" s="3032">
        <v>1203</v>
      </c>
      <c r="F319" s="3032">
        <v>88.61</v>
      </c>
      <c r="G319" s="3032" t="s">
        <v>3559</v>
      </c>
    </row>
    <row r="320" spans="1:7" ht="16.5">
      <c r="A320" s="3032">
        <v>310</v>
      </c>
      <c r="B320" s="3032" t="s">
        <v>3539</v>
      </c>
      <c r="C320" s="3032" t="s">
        <v>3567</v>
      </c>
      <c r="D320" s="3032" t="s">
        <v>3565</v>
      </c>
      <c r="E320" s="3032">
        <v>1204</v>
      </c>
      <c r="F320" s="3032">
        <v>86.7</v>
      </c>
      <c r="G320" s="3032" t="s">
        <v>3559</v>
      </c>
    </row>
    <row r="321" spans="1:7" ht="16.5">
      <c r="A321" s="3032">
        <v>311</v>
      </c>
      <c r="B321" s="3032" t="s">
        <v>3539</v>
      </c>
      <c r="C321" s="3032" t="s">
        <v>3567</v>
      </c>
      <c r="D321" s="3032" t="s">
        <v>3565</v>
      </c>
      <c r="E321" s="3032">
        <v>1301</v>
      </c>
      <c r="F321" s="3032">
        <v>89.75</v>
      </c>
      <c r="G321" s="3032" t="s">
        <v>3559</v>
      </c>
    </row>
    <row r="322" spans="1:7" ht="16.5">
      <c r="A322" s="3032">
        <v>312</v>
      </c>
      <c r="B322" s="3032" t="s">
        <v>3539</v>
      </c>
      <c r="C322" s="3032" t="s">
        <v>3567</v>
      </c>
      <c r="D322" s="3032" t="s">
        <v>3565</v>
      </c>
      <c r="E322" s="3032">
        <v>1302</v>
      </c>
      <c r="F322" s="3032">
        <v>88.61</v>
      </c>
      <c r="G322" s="3032" t="s">
        <v>3559</v>
      </c>
    </row>
    <row r="323" spans="1:7" ht="16.5">
      <c r="A323" s="3032">
        <v>313</v>
      </c>
      <c r="B323" s="3032" t="s">
        <v>3539</v>
      </c>
      <c r="C323" s="3032" t="s">
        <v>3567</v>
      </c>
      <c r="D323" s="3032" t="s">
        <v>3565</v>
      </c>
      <c r="E323" s="3032">
        <v>1303</v>
      </c>
      <c r="F323" s="3032">
        <v>88.61</v>
      </c>
      <c r="G323" s="3032" t="s">
        <v>3559</v>
      </c>
    </row>
    <row r="324" spans="1:7" ht="16.5">
      <c r="A324" s="3032">
        <v>314</v>
      </c>
      <c r="B324" s="3032" t="s">
        <v>3539</v>
      </c>
      <c r="C324" s="3032" t="s">
        <v>3567</v>
      </c>
      <c r="D324" s="3032" t="s">
        <v>3565</v>
      </c>
      <c r="E324" s="3032">
        <v>1304</v>
      </c>
      <c r="F324" s="3032">
        <v>86.7</v>
      </c>
      <c r="G324" s="3032" t="s">
        <v>3559</v>
      </c>
    </row>
    <row r="325" spans="1:7" ht="16.5">
      <c r="A325" s="3032">
        <v>315</v>
      </c>
      <c r="B325" s="3032" t="s">
        <v>3539</v>
      </c>
      <c r="C325" s="3032" t="s">
        <v>3567</v>
      </c>
      <c r="D325" s="3032" t="s">
        <v>3565</v>
      </c>
      <c r="E325" s="3032">
        <v>1401</v>
      </c>
      <c r="F325" s="3032">
        <v>89.75</v>
      </c>
      <c r="G325" s="3032" t="s">
        <v>3559</v>
      </c>
    </row>
    <row r="326" spans="1:7" ht="16.5">
      <c r="A326" s="3032">
        <v>316</v>
      </c>
      <c r="B326" s="3032" t="s">
        <v>3539</v>
      </c>
      <c r="C326" s="3032" t="s">
        <v>3567</v>
      </c>
      <c r="D326" s="3032" t="s">
        <v>3565</v>
      </c>
      <c r="E326" s="3032">
        <v>1402</v>
      </c>
      <c r="F326" s="3032">
        <v>88.61</v>
      </c>
      <c r="G326" s="3032" t="s">
        <v>3559</v>
      </c>
    </row>
    <row r="327" spans="1:7" ht="16.5">
      <c r="A327" s="3032">
        <v>317</v>
      </c>
      <c r="B327" s="3032" t="s">
        <v>3539</v>
      </c>
      <c r="C327" s="3032" t="s">
        <v>3567</v>
      </c>
      <c r="D327" s="3032" t="s">
        <v>3565</v>
      </c>
      <c r="E327" s="3032">
        <v>1403</v>
      </c>
      <c r="F327" s="3032">
        <v>88.61</v>
      </c>
      <c r="G327" s="3032" t="s">
        <v>3559</v>
      </c>
    </row>
    <row r="328" spans="1:7" ht="16.5">
      <c r="A328" s="3032">
        <v>318</v>
      </c>
      <c r="B328" s="3032" t="s">
        <v>3539</v>
      </c>
      <c r="C328" s="3032" t="s">
        <v>3567</v>
      </c>
      <c r="D328" s="3032" t="s">
        <v>3565</v>
      </c>
      <c r="E328" s="3032">
        <v>1404</v>
      </c>
      <c r="F328" s="3032">
        <v>86.7</v>
      </c>
      <c r="G328" s="3032" t="s">
        <v>3559</v>
      </c>
    </row>
    <row r="329" spans="1:7" ht="16.5">
      <c r="A329" s="3032">
        <v>319</v>
      </c>
      <c r="B329" s="3032" t="s">
        <v>3539</v>
      </c>
      <c r="C329" s="3032" t="s">
        <v>3567</v>
      </c>
      <c r="D329" s="3032" t="s">
        <v>3565</v>
      </c>
      <c r="E329" s="3032">
        <v>1501</v>
      </c>
      <c r="F329" s="3032">
        <v>89.75</v>
      </c>
      <c r="G329" s="3032" t="s">
        <v>3559</v>
      </c>
    </row>
    <row r="330" spans="1:7" ht="16.5">
      <c r="A330" s="3032">
        <v>320</v>
      </c>
      <c r="B330" s="3032" t="s">
        <v>3539</v>
      </c>
      <c r="C330" s="3032" t="s">
        <v>3567</v>
      </c>
      <c r="D330" s="3032" t="s">
        <v>3565</v>
      </c>
      <c r="E330" s="3032">
        <v>1502</v>
      </c>
      <c r="F330" s="3032">
        <v>88.61</v>
      </c>
      <c r="G330" s="3032" t="s">
        <v>3559</v>
      </c>
    </row>
    <row r="331" spans="1:7" ht="16.5">
      <c r="A331" s="3032">
        <v>321</v>
      </c>
      <c r="B331" s="3032" t="s">
        <v>3539</v>
      </c>
      <c r="C331" s="3032" t="s">
        <v>3567</v>
      </c>
      <c r="D331" s="3032" t="s">
        <v>3565</v>
      </c>
      <c r="E331" s="3032">
        <v>1503</v>
      </c>
      <c r="F331" s="3032">
        <v>88.61</v>
      </c>
      <c r="G331" s="3032" t="s">
        <v>3559</v>
      </c>
    </row>
    <row r="332" spans="1:7" ht="16.5">
      <c r="A332" s="3032">
        <v>322</v>
      </c>
      <c r="B332" s="3032" t="s">
        <v>3539</v>
      </c>
      <c r="C332" s="3032" t="s">
        <v>3567</v>
      </c>
      <c r="D332" s="3032" t="s">
        <v>3565</v>
      </c>
      <c r="E332" s="3032">
        <v>1504</v>
      </c>
      <c r="F332" s="3032">
        <v>86.7</v>
      </c>
      <c r="G332" s="3032" t="s">
        <v>3559</v>
      </c>
    </row>
    <row r="333" spans="1:7" ht="16.5">
      <c r="A333" s="3032">
        <v>323</v>
      </c>
      <c r="B333" s="3032" t="s">
        <v>3539</v>
      </c>
      <c r="C333" s="3032" t="s">
        <v>3567</v>
      </c>
      <c r="D333" s="3032" t="s">
        <v>3565</v>
      </c>
      <c r="E333" s="3032">
        <v>1601</v>
      </c>
      <c r="F333" s="3032">
        <v>89.75</v>
      </c>
      <c r="G333" s="3032" t="s">
        <v>3559</v>
      </c>
    </row>
    <row r="334" spans="1:7" ht="16.5">
      <c r="A334" s="3032">
        <v>324</v>
      </c>
      <c r="B334" s="3032" t="s">
        <v>3539</v>
      </c>
      <c r="C334" s="3032" t="s">
        <v>3567</v>
      </c>
      <c r="D334" s="3032" t="s">
        <v>3565</v>
      </c>
      <c r="E334" s="3032">
        <v>1602</v>
      </c>
      <c r="F334" s="3032">
        <v>88.61</v>
      </c>
      <c r="G334" s="3032" t="s">
        <v>3559</v>
      </c>
    </row>
    <row r="335" spans="1:7" ht="16.5">
      <c r="A335" s="3032">
        <v>325</v>
      </c>
      <c r="B335" s="3032" t="s">
        <v>3539</v>
      </c>
      <c r="C335" s="3032" t="s">
        <v>3567</v>
      </c>
      <c r="D335" s="3032" t="s">
        <v>3565</v>
      </c>
      <c r="E335" s="3032">
        <v>1603</v>
      </c>
      <c r="F335" s="3032">
        <v>88.61</v>
      </c>
      <c r="G335" s="3032" t="s">
        <v>3559</v>
      </c>
    </row>
    <row r="336" spans="1:7" ht="16.5">
      <c r="A336" s="3032">
        <v>326</v>
      </c>
      <c r="B336" s="3032" t="s">
        <v>3539</v>
      </c>
      <c r="C336" s="3032" t="s">
        <v>3567</v>
      </c>
      <c r="D336" s="3032" t="s">
        <v>3565</v>
      </c>
      <c r="E336" s="3032">
        <v>1604</v>
      </c>
      <c r="F336" s="3032">
        <v>86.7</v>
      </c>
      <c r="G336" s="3032" t="s">
        <v>3559</v>
      </c>
    </row>
    <row r="337" spans="1:7" ht="16.5">
      <c r="A337" s="3032">
        <v>327</v>
      </c>
      <c r="B337" s="3032" t="s">
        <v>3539</v>
      </c>
      <c r="C337" s="3032" t="s">
        <v>3567</v>
      </c>
      <c r="D337" s="3032" t="s">
        <v>3565</v>
      </c>
      <c r="E337" s="3032">
        <v>1701</v>
      </c>
      <c r="F337" s="3032">
        <v>89.75</v>
      </c>
      <c r="G337" s="3032" t="s">
        <v>3559</v>
      </c>
    </row>
    <row r="338" spans="1:7" ht="16.5">
      <c r="A338" s="3032">
        <v>328</v>
      </c>
      <c r="B338" s="3032" t="s">
        <v>3539</v>
      </c>
      <c r="C338" s="3032" t="s">
        <v>3567</v>
      </c>
      <c r="D338" s="3032" t="s">
        <v>3565</v>
      </c>
      <c r="E338" s="3032">
        <v>1702</v>
      </c>
      <c r="F338" s="3032">
        <v>88.61</v>
      </c>
      <c r="G338" s="3032" t="s">
        <v>3559</v>
      </c>
    </row>
    <row r="339" spans="1:7" ht="16.5">
      <c r="A339" s="3032">
        <v>329</v>
      </c>
      <c r="B339" s="3032" t="s">
        <v>3539</v>
      </c>
      <c r="C339" s="3032" t="s">
        <v>3567</v>
      </c>
      <c r="D339" s="3032" t="s">
        <v>3565</v>
      </c>
      <c r="E339" s="3032">
        <v>1703</v>
      </c>
      <c r="F339" s="3032">
        <v>88.61</v>
      </c>
      <c r="G339" s="3032" t="s">
        <v>3559</v>
      </c>
    </row>
    <row r="340" spans="1:7" ht="16.5">
      <c r="A340" s="3032">
        <v>330</v>
      </c>
      <c r="B340" s="3032" t="s">
        <v>3539</v>
      </c>
      <c r="C340" s="3032" t="s">
        <v>3567</v>
      </c>
      <c r="D340" s="3032" t="s">
        <v>3565</v>
      </c>
      <c r="E340" s="3032">
        <v>1704</v>
      </c>
      <c r="F340" s="3032">
        <v>86.7</v>
      </c>
      <c r="G340" s="3032" t="s">
        <v>3559</v>
      </c>
    </row>
    <row r="341" spans="1:7" ht="16.5">
      <c r="A341" s="3032"/>
      <c r="B341" s="3032"/>
      <c r="C341" s="3032" t="s">
        <v>3566</v>
      </c>
      <c r="D341" s="3032"/>
      <c r="E341" s="3032"/>
      <c r="F341" s="3032">
        <f>SUM(F213:F340)</f>
        <v>11317.440000000008</v>
      </c>
      <c r="G341" s="3032"/>
    </row>
    <row r="342" spans="1:7" ht="16.5">
      <c r="A342" s="3032">
        <v>331</v>
      </c>
      <c r="B342" s="3032" t="s">
        <v>3539</v>
      </c>
      <c r="C342" s="3032" t="s">
        <v>3568</v>
      </c>
      <c r="D342" s="3032" t="s">
        <v>3569</v>
      </c>
      <c r="E342" s="3032">
        <v>101</v>
      </c>
      <c r="F342" s="3032">
        <v>89.44</v>
      </c>
      <c r="G342" s="3032" t="s">
        <v>3559</v>
      </c>
    </row>
    <row r="343" spans="1:7" ht="16.5">
      <c r="A343" s="3032">
        <v>332</v>
      </c>
      <c r="B343" s="3032" t="s">
        <v>3539</v>
      </c>
      <c r="C343" s="3032" t="s">
        <v>3568</v>
      </c>
      <c r="D343" s="3032" t="s">
        <v>3569</v>
      </c>
      <c r="E343" s="3032">
        <v>102</v>
      </c>
      <c r="F343" s="3032">
        <v>79.73</v>
      </c>
      <c r="G343" s="3032" t="s">
        <v>3559</v>
      </c>
    </row>
    <row r="344" spans="1:7" ht="16.5">
      <c r="A344" s="3032">
        <v>333</v>
      </c>
      <c r="B344" s="3032" t="s">
        <v>3539</v>
      </c>
      <c r="C344" s="3032" t="s">
        <v>3568</v>
      </c>
      <c r="D344" s="3032" t="s">
        <v>3569</v>
      </c>
      <c r="E344" s="3032">
        <v>103</v>
      </c>
      <c r="F344" s="3032">
        <v>44.81</v>
      </c>
      <c r="G344" s="3032" t="s">
        <v>3559</v>
      </c>
    </row>
    <row r="345" spans="1:7" ht="16.5">
      <c r="A345" s="3032">
        <v>334</v>
      </c>
      <c r="B345" s="3032" t="s">
        <v>3539</v>
      </c>
      <c r="C345" s="3032" t="s">
        <v>3568</v>
      </c>
      <c r="D345" s="3032" t="s">
        <v>3569</v>
      </c>
      <c r="E345" s="3032">
        <v>104</v>
      </c>
      <c r="F345" s="3032">
        <v>79.73</v>
      </c>
      <c r="G345" s="3032" t="s">
        <v>3559</v>
      </c>
    </row>
    <row r="346" spans="1:7" ht="16.5">
      <c r="A346" s="3032">
        <v>335</v>
      </c>
      <c r="B346" s="3032" t="s">
        <v>3539</v>
      </c>
      <c r="C346" s="3032" t="s">
        <v>3568</v>
      </c>
      <c r="D346" s="3032" t="s">
        <v>3569</v>
      </c>
      <c r="E346" s="3032">
        <v>105</v>
      </c>
      <c r="F346" s="3032">
        <v>89.59</v>
      </c>
      <c r="G346" s="3032" t="s">
        <v>3559</v>
      </c>
    </row>
    <row r="347" spans="1:7" ht="16.5">
      <c r="A347" s="3032">
        <v>336</v>
      </c>
      <c r="B347" s="3032" t="s">
        <v>3539</v>
      </c>
      <c r="C347" s="3032" t="s">
        <v>3568</v>
      </c>
      <c r="D347" s="3032" t="s">
        <v>3569</v>
      </c>
      <c r="E347" s="3032">
        <v>201</v>
      </c>
      <c r="F347" s="3032">
        <v>89.44</v>
      </c>
      <c r="G347" s="3032" t="s">
        <v>3559</v>
      </c>
    </row>
    <row r="348" spans="1:7" ht="16.5">
      <c r="A348" s="3032">
        <v>337</v>
      </c>
      <c r="B348" s="3032" t="s">
        <v>3539</v>
      </c>
      <c r="C348" s="3032" t="s">
        <v>3568</v>
      </c>
      <c r="D348" s="3032" t="s">
        <v>3569</v>
      </c>
      <c r="E348" s="3032">
        <v>202</v>
      </c>
      <c r="F348" s="3032">
        <v>79.73</v>
      </c>
      <c r="G348" s="3032" t="s">
        <v>3559</v>
      </c>
    </row>
    <row r="349" spans="1:7" ht="16.5">
      <c r="A349" s="3032">
        <v>338</v>
      </c>
      <c r="B349" s="3032" t="s">
        <v>3539</v>
      </c>
      <c r="C349" s="3032" t="s">
        <v>3568</v>
      </c>
      <c r="D349" s="3032" t="s">
        <v>3569</v>
      </c>
      <c r="E349" s="3032">
        <v>203</v>
      </c>
      <c r="F349" s="3032">
        <v>44.81</v>
      </c>
      <c r="G349" s="3032" t="s">
        <v>3559</v>
      </c>
    </row>
    <row r="350" spans="1:7" ht="16.5">
      <c r="A350" s="3032">
        <v>339</v>
      </c>
      <c r="B350" s="3032" t="s">
        <v>3539</v>
      </c>
      <c r="C350" s="3032" t="s">
        <v>3568</v>
      </c>
      <c r="D350" s="3032" t="s">
        <v>3569</v>
      </c>
      <c r="E350" s="3032">
        <v>204</v>
      </c>
      <c r="F350" s="3032">
        <v>44.81</v>
      </c>
      <c r="G350" s="3032" t="s">
        <v>3559</v>
      </c>
    </row>
    <row r="351" spans="1:7" ht="16.5">
      <c r="A351" s="3032">
        <v>340</v>
      </c>
      <c r="B351" s="3032" t="s">
        <v>3539</v>
      </c>
      <c r="C351" s="3032" t="s">
        <v>3568</v>
      </c>
      <c r="D351" s="3032" t="s">
        <v>3569</v>
      </c>
      <c r="E351" s="3032">
        <v>205</v>
      </c>
      <c r="F351" s="3032">
        <v>79.73</v>
      </c>
      <c r="G351" s="3032" t="s">
        <v>3559</v>
      </c>
    </row>
    <row r="352" spans="1:7" ht="16.5">
      <c r="A352" s="3032">
        <v>341</v>
      </c>
      <c r="B352" s="3032" t="s">
        <v>3539</v>
      </c>
      <c r="C352" s="3032" t="s">
        <v>3568</v>
      </c>
      <c r="D352" s="3032" t="s">
        <v>3569</v>
      </c>
      <c r="E352" s="3032">
        <v>206</v>
      </c>
      <c r="F352" s="3032">
        <v>89.59</v>
      </c>
      <c r="G352" s="3032" t="s">
        <v>3559</v>
      </c>
    </row>
    <row r="353" spans="1:7" ht="16.5">
      <c r="A353" s="3032">
        <v>342</v>
      </c>
      <c r="B353" s="3032" t="s">
        <v>3539</v>
      </c>
      <c r="C353" s="3032" t="s">
        <v>3568</v>
      </c>
      <c r="D353" s="3032" t="s">
        <v>3569</v>
      </c>
      <c r="E353" s="3032">
        <v>301</v>
      </c>
      <c r="F353" s="3032">
        <v>89.44</v>
      </c>
      <c r="G353" s="3032" t="s">
        <v>3559</v>
      </c>
    </row>
    <row r="354" spans="1:7" ht="16.5">
      <c r="A354" s="3032">
        <v>343</v>
      </c>
      <c r="B354" s="3032" t="s">
        <v>3539</v>
      </c>
      <c r="C354" s="3032" t="s">
        <v>3568</v>
      </c>
      <c r="D354" s="3032" t="s">
        <v>3569</v>
      </c>
      <c r="E354" s="3032">
        <v>302</v>
      </c>
      <c r="F354" s="3032">
        <v>79.73</v>
      </c>
      <c r="G354" s="3032" t="s">
        <v>3559</v>
      </c>
    </row>
    <row r="355" spans="1:7" ht="16.5">
      <c r="A355" s="3032">
        <v>344</v>
      </c>
      <c r="B355" s="3032" t="s">
        <v>3539</v>
      </c>
      <c r="C355" s="3032" t="s">
        <v>3568</v>
      </c>
      <c r="D355" s="3032" t="s">
        <v>3569</v>
      </c>
      <c r="E355" s="3032">
        <v>303</v>
      </c>
      <c r="F355" s="3032">
        <v>44.81</v>
      </c>
      <c r="G355" s="3032" t="s">
        <v>3559</v>
      </c>
    </row>
    <row r="356" spans="1:7" ht="16.5">
      <c r="A356" s="3032">
        <v>345</v>
      </c>
      <c r="B356" s="3032" t="s">
        <v>3539</v>
      </c>
      <c r="C356" s="3032" t="s">
        <v>3568</v>
      </c>
      <c r="D356" s="3032" t="s">
        <v>3569</v>
      </c>
      <c r="E356" s="3032">
        <v>304</v>
      </c>
      <c r="F356" s="3032">
        <v>44.81</v>
      </c>
      <c r="G356" s="3032" t="s">
        <v>3559</v>
      </c>
    </row>
    <row r="357" spans="1:7" ht="16.5">
      <c r="A357" s="3032">
        <v>346</v>
      </c>
      <c r="B357" s="3032" t="s">
        <v>3539</v>
      </c>
      <c r="C357" s="3032" t="s">
        <v>3568</v>
      </c>
      <c r="D357" s="3032" t="s">
        <v>3569</v>
      </c>
      <c r="E357" s="3032">
        <v>305</v>
      </c>
      <c r="F357" s="3032">
        <v>79.73</v>
      </c>
      <c r="G357" s="3032" t="s">
        <v>3559</v>
      </c>
    </row>
    <row r="358" spans="1:7" ht="16.5">
      <c r="A358" s="3032">
        <v>347</v>
      </c>
      <c r="B358" s="3032" t="s">
        <v>3539</v>
      </c>
      <c r="C358" s="3032" t="s">
        <v>3568</v>
      </c>
      <c r="D358" s="3032" t="s">
        <v>3569</v>
      </c>
      <c r="E358" s="3032">
        <v>306</v>
      </c>
      <c r="F358" s="3032">
        <v>89.59</v>
      </c>
      <c r="G358" s="3032" t="s">
        <v>3559</v>
      </c>
    </row>
    <row r="359" spans="1:7" ht="16.5">
      <c r="A359" s="3032">
        <v>348</v>
      </c>
      <c r="B359" s="3032" t="s">
        <v>3539</v>
      </c>
      <c r="C359" s="3032" t="s">
        <v>3568</v>
      </c>
      <c r="D359" s="3032" t="s">
        <v>3569</v>
      </c>
      <c r="E359" s="3032">
        <v>401</v>
      </c>
      <c r="F359" s="3032">
        <v>89.44</v>
      </c>
      <c r="G359" s="3032" t="s">
        <v>3559</v>
      </c>
    </row>
    <row r="360" spans="1:7" ht="16.5">
      <c r="A360" s="3032">
        <v>349</v>
      </c>
      <c r="B360" s="3032" t="s">
        <v>3539</v>
      </c>
      <c r="C360" s="3032" t="s">
        <v>3568</v>
      </c>
      <c r="D360" s="3032" t="s">
        <v>3569</v>
      </c>
      <c r="E360" s="3032">
        <v>402</v>
      </c>
      <c r="F360" s="3032">
        <v>79.73</v>
      </c>
      <c r="G360" s="3032" t="s">
        <v>3559</v>
      </c>
    </row>
    <row r="361" spans="1:7" ht="16.5">
      <c r="A361" s="3032">
        <v>350</v>
      </c>
      <c r="B361" s="3032" t="s">
        <v>3539</v>
      </c>
      <c r="C361" s="3032" t="s">
        <v>3568</v>
      </c>
      <c r="D361" s="3032" t="s">
        <v>3569</v>
      </c>
      <c r="E361" s="3032">
        <v>403</v>
      </c>
      <c r="F361" s="3032">
        <v>44.81</v>
      </c>
      <c r="G361" s="3032" t="s">
        <v>3559</v>
      </c>
    </row>
    <row r="362" spans="1:7" ht="16.5">
      <c r="A362" s="3032">
        <v>351</v>
      </c>
      <c r="B362" s="3032" t="s">
        <v>3539</v>
      </c>
      <c r="C362" s="3032" t="s">
        <v>3568</v>
      </c>
      <c r="D362" s="3032" t="s">
        <v>3569</v>
      </c>
      <c r="E362" s="3032">
        <v>404</v>
      </c>
      <c r="F362" s="3032">
        <v>44.81</v>
      </c>
      <c r="G362" s="3032" t="s">
        <v>3559</v>
      </c>
    </row>
    <row r="363" spans="1:7" ht="16.5">
      <c r="A363" s="3032">
        <v>352</v>
      </c>
      <c r="B363" s="3032" t="s">
        <v>3539</v>
      </c>
      <c r="C363" s="3032" t="s">
        <v>3568</v>
      </c>
      <c r="D363" s="3032" t="s">
        <v>3569</v>
      </c>
      <c r="E363" s="3032">
        <v>405</v>
      </c>
      <c r="F363" s="3032">
        <v>79.73</v>
      </c>
      <c r="G363" s="3032" t="s">
        <v>3559</v>
      </c>
    </row>
    <row r="364" spans="1:7" ht="16.5">
      <c r="A364" s="3032">
        <v>353</v>
      </c>
      <c r="B364" s="3032" t="s">
        <v>3539</v>
      </c>
      <c r="C364" s="3032" t="s">
        <v>3568</v>
      </c>
      <c r="D364" s="3032" t="s">
        <v>3569</v>
      </c>
      <c r="E364" s="3032">
        <v>406</v>
      </c>
      <c r="F364" s="3032">
        <v>89.59</v>
      </c>
      <c r="G364" s="3032" t="s">
        <v>3559</v>
      </c>
    </row>
    <row r="365" spans="1:7" ht="16.5">
      <c r="A365" s="3032">
        <v>354</v>
      </c>
      <c r="B365" s="3032" t="s">
        <v>3539</v>
      </c>
      <c r="C365" s="3032" t="s">
        <v>3568</v>
      </c>
      <c r="D365" s="3032" t="s">
        <v>3569</v>
      </c>
      <c r="E365" s="3032">
        <v>501</v>
      </c>
      <c r="F365" s="3032">
        <v>89.44</v>
      </c>
      <c r="G365" s="3032" t="s">
        <v>3559</v>
      </c>
    </row>
    <row r="366" spans="1:7" ht="16.5">
      <c r="A366" s="3032">
        <v>355</v>
      </c>
      <c r="B366" s="3032" t="s">
        <v>3539</v>
      </c>
      <c r="C366" s="3032" t="s">
        <v>3568</v>
      </c>
      <c r="D366" s="3032" t="s">
        <v>3569</v>
      </c>
      <c r="E366" s="3032">
        <v>502</v>
      </c>
      <c r="F366" s="3032">
        <v>79.73</v>
      </c>
      <c r="G366" s="3032" t="s">
        <v>3559</v>
      </c>
    </row>
    <row r="367" spans="1:7" ht="16.5">
      <c r="A367" s="3032">
        <v>356</v>
      </c>
      <c r="B367" s="3032" t="s">
        <v>3539</v>
      </c>
      <c r="C367" s="3032" t="s">
        <v>3568</v>
      </c>
      <c r="D367" s="3032" t="s">
        <v>3569</v>
      </c>
      <c r="E367" s="3032">
        <v>503</v>
      </c>
      <c r="F367" s="3032">
        <v>44.81</v>
      </c>
      <c r="G367" s="3032" t="s">
        <v>3559</v>
      </c>
    </row>
    <row r="368" spans="1:7" ht="16.5">
      <c r="A368" s="3032">
        <v>357</v>
      </c>
      <c r="B368" s="3032" t="s">
        <v>3539</v>
      </c>
      <c r="C368" s="3032" t="s">
        <v>3568</v>
      </c>
      <c r="D368" s="3032" t="s">
        <v>3569</v>
      </c>
      <c r="E368" s="3032">
        <v>504</v>
      </c>
      <c r="F368" s="3032">
        <v>44.81</v>
      </c>
      <c r="G368" s="3032" t="s">
        <v>3559</v>
      </c>
    </row>
    <row r="369" spans="1:7" ht="16.5">
      <c r="A369" s="3032">
        <v>358</v>
      </c>
      <c r="B369" s="3032" t="s">
        <v>3539</v>
      </c>
      <c r="C369" s="3032" t="s">
        <v>3568</v>
      </c>
      <c r="D369" s="3032" t="s">
        <v>3569</v>
      </c>
      <c r="E369" s="3032">
        <v>505</v>
      </c>
      <c r="F369" s="3032">
        <v>79.73</v>
      </c>
      <c r="G369" s="3032" t="s">
        <v>3559</v>
      </c>
    </row>
    <row r="370" spans="1:7" ht="16.5">
      <c r="A370" s="3032">
        <v>359</v>
      </c>
      <c r="B370" s="3032" t="s">
        <v>3539</v>
      </c>
      <c r="C370" s="3032" t="s">
        <v>3568</v>
      </c>
      <c r="D370" s="3032" t="s">
        <v>3569</v>
      </c>
      <c r="E370" s="3032">
        <v>506</v>
      </c>
      <c r="F370" s="3032">
        <v>89.59</v>
      </c>
      <c r="G370" s="3032" t="s">
        <v>3559</v>
      </c>
    </row>
    <row r="371" spans="1:7" ht="16.5">
      <c r="A371" s="3032">
        <v>360</v>
      </c>
      <c r="B371" s="3032" t="s">
        <v>3539</v>
      </c>
      <c r="C371" s="3032" t="s">
        <v>3568</v>
      </c>
      <c r="D371" s="3032" t="s">
        <v>3569</v>
      </c>
      <c r="E371" s="3032">
        <v>601</v>
      </c>
      <c r="F371" s="3032">
        <v>89.44</v>
      </c>
      <c r="G371" s="3032" t="s">
        <v>3559</v>
      </c>
    </row>
    <row r="372" spans="1:7" ht="16.5">
      <c r="A372" s="3032">
        <v>361</v>
      </c>
      <c r="B372" s="3032" t="s">
        <v>3539</v>
      </c>
      <c r="C372" s="3032" t="s">
        <v>3568</v>
      </c>
      <c r="D372" s="3032" t="s">
        <v>3569</v>
      </c>
      <c r="E372" s="3032">
        <v>602</v>
      </c>
      <c r="F372" s="3032">
        <v>79.73</v>
      </c>
      <c r="G372" s="3032" t="s">
        <v>3559</v>
      </c>
    </row>
    <row r="373" spans="1:7" ht="16.5">
      <c r="A373" s="3032">
        <v>362</v>
      </c>
      <c r="B373" s="3032" t="s">
        <v>3539</v>
      </c>
      <c r="C373" s="3032" t="s">
        <v>3568</v>
      </c>
      <c r="D373" s="3032" t="s">
        <v>3569</v>
      </c>
      <c r="E373" s="3032">
        <v>603</v>
      </c>
      <c r="F373" s="3032">
        <v>44.81</v>
      </c>
      <c r="G373" s="3032" t="s">
        <v>3559</v>
      </c>
    </row>
    <row r="374" spans="1:7" ht="16.5">
      <c r="A374" s="3032">
        <v>363</v>
      </c>
      <c r="B374" s="3032" t="s">
        <v>3539</v>
      </c>
      <c r="C374" s="3032" t="s">
        <v>3568</v>
      </c>
      <c r="D374" s="3032" t="s">
        <v>3569</v>
      </c>
      <c r="E374" s="3032">
        <v>604</v>
      </c>
      <c r="F374" s="3032">
        <v>44.81</v>
      </c>
      <c r="G374" s="3032" t="s">
        <v>3559</v>
      </c>
    </row>
    <row r="375" spans="1:7" ht="16.5">
      <c r="A375" s="3032">
        <v>364</v>
      </c>
      <c r="B375" s="3032" t="s">
        <v>3539</v>
      </c>
      <c r="C375" s="3032" t="s">
        <v>3568</v>
      </c>
      <c r="D375" s="3032" t="s">
        <v>3569</v>
      </c>
      <c r="E375" s="3032">
        <v>605</v>
      </c>
      <c r="F375" s="3032">
        <v>79.73</v>
      </c>
      <c r="G375" s="3032" t="s">
        <v>3559</v>
      </c>
    </row>
    <row r="376" spans="1:7" ht="16.5">
      <c r="A376" s="3032">
        <v>365</v>
      </c>
      <c r="B376" s="3032" t="s">
        <v>3539</v>
      </c>
      <c r="C376" s="3032" t="s">
        <v>3568</v>
      </c>
      <c r="D376" s="3032" t="s">
        <v>3569</v>
      </c>
      <c r="E376" s="3032">
        <v>606</v>
      </c>
      <c r="F376" s="3032">
        <v>89.59</v>
      </c>
      <c r="G376" s="3032" t="s">
        <v>3559</v>
      </c>
    </row>
    <row r="377" spans="1:7" ht="16.5">
      <c r="A377" s="3032">
        <v>366</v>
      </c>
      <c r="B377" s="3032" t="s">
        <v>3539</v>
      </c>
      <c r="C377" s="3032" t="s">
        <v>3568</v>
      </c>
      <c r="D377" s="3032" t="s">
        <v>3569</v>
      </c>
      <c r="E377" s="3032">
        <v>701</v>
      </c>
      <c r="F377" s="3032">
        <v>89.44</v>
      </c>
      <c r="G377" s="3032" t="s">
        <v>3559</v>
      </c>
    </row>
    <row r="378" spans="1:7" ht="16.5">
      <c r="A378" s="3032">
        <v>367</v>
      </c>
      <c r="B378" s="3032" t="s">
        <v>3539</v>
      </c>
      <c r="C378" s="3032" t="s">
        <v>3568</v>
      </c>
      <c r="D378" s="3032" t="s">
        <v>3569</v>
      </c>
      <c r="E378" s="3032">
        <v>702</v>
      </c>
      <c r="F378" s="3032">
        <v>79.73</v>
      </c>
      <c r="G378" s="3032" t="s">
        <v>3559</v>
      </c>
    </row>
    <row r="379" spans="1:7" ht="16.5">
      <c r="A379" s="3032">
        <v>368</v>
      </c>
      <c r="B379" s="3032" t="s">
        <v>3539</v>
      </c>
      <c r="C379" s="3032" t="s">
        <v>3568</v>
      </c>
      <c r="D379" s="3032" t="s">
        <v>3569</v>
      </c>
      <c r="E379" s="3032">
        <v>703</v>
      </c>
      <c r="F379" s="3032">
        <v>44.81</v>
      </c>
      <c r="G379" s="3032" t="s">
        <v>3559</v>
      </c>
    </row>
    <row r="380" spans="1:7" ht="16.5">
      <c r="A380" s="3032">
        <v>369</v>
      </c>
      <c r="B380" s="3032" t="s">
        <v>3539</v>
      </c>
      <c r="C380" s="3032" t="s">
        <v>3568</v>
      </c>
      <c r="D380" s="3032" t="s">
        <v>3569</v>
      </c>
      <c r="E380" s="3032">
        <v>704</v>
      </c>
      <c r="F380" s="3032">
        <v>44.81</v>
      </c>
      <c r="G380" s="3032" t="s">
        <v>3559</v>
      </c>
    </row>
    <row r="381" spans="1:7" ht="16.5">
      <c r="A381" s="3032">
        <v>370</v>
      </c>
      <c r="B381" s="3032" t="s">
        <v>3539</v>
      </c>
      <c r="C381" s="3032" t="s">
        <v>3568</v>
      </c>
      <c r="D381" s="3032" t="s">
        <v>3569</v>
      </c>
      <c r="E381" s="3032">
        <v>705</v>
      </c>
      <c r="F381" s="3032">
        <v>79.73</v>
      </c>
      <c r="G381" s="3032" t="s">
        <v>3559</v>
      </c>
    </row>
    <row r="382" spans="1:7" ht="16.5">
      <c r="A382" s="3032">
        <v>371</v>
      </c>
      <c r="B382" s="3032" t="s">
        <v>3539</v>
      </c>
      <c r="C382" s="3032" t="s">
        <v>3568</v>
      </c>
      <c r="D382" s="3032" t="s">
        <v>3569</v>
      </c>
      <c r="E382" s="3032">
        <v>706</v>
      </c>
      <c r="F382" s="3032">
        <v>89.59</v>
      </c>
      <c r="G382" s="3032" t="s">
        <v>3559</v>
      </c>
    </row>
    <row r="383" spans="1:7" ht="16.5">
      <c r="A383" s="3032">
        <v>372</v>
      </c>
      <c r="B383" s="3032" t="s">
        <v>3539</v>
      </c>
      <c r="C383" s="3032" t="s">
        <v>3568</v>
      </c>
      <c r="D383" s="3032" t="s">
        <v>3569</v>
      </c>
      <c r="E383" s="3032">
        <v>801</v>
      </c>
      <c r="F383" s="3032">
        <v>89.44</v>
      </c>
      <c r="G383" s="3032" t="s">
        <v>3559</v>
      </c>
    </row>
    <row r="384" spans="1:7" ht="16.5">
      <c r="A384" s="3032">
        <v>373</v>
      </c>
      <c r="B384" s="3032" t="s">
        <v>3539</v>
      </c>
      <c r="C384" s="3032" t="s">
        <v>3568</v>
      </c>
      <c r="D384" s="3032" t="s">
        <v>3569</v>
      </c>
      <c r="E384" s="3032">
        <v>802</v>
      </c>
      <c r="F384" s="3032">
        <v>79.73</v>
      </c>
      <c r="G384" s="3032" t="s">
        <v>3559</v>
      </c>
    </row>
    <row r="385" spans="1:7" ht="16.5">
      <c r="A385" s="3032">
        <v>374</v>
      </c>
      <c r="B385" s="3032" t="s">
        <v>3539</v>
      </c>
      <c r="C385" s="3032" t="s">
        <v>3568</v>
      </c>
      <c r="D385" s="3032" t="s">
        <v>3569</v>
      </c>
      <c r="E385" s="3032">
        <v>803</v>
      </c>
      <c r="F385" s="3032">
        <v>44.81</v>
      </c>
      <c r="G385" s="3032" t="s">
        <v>3559</v>
      </c>
    </row>
    <row r="386" spans="1:7" ht="16.5">
      <c r="A386" s="3032">
        <v>375</v>
      </c>
      <c r="B386" s="3032" t="s">
        <v>3539</v>
      </c>
      <c r="C386" s="3032" t="s">
        <v>3568</v>
      </c>
      <c r="D386" s="3032" t="s">
        <v>3569</v>
      </c>
      <c r="E386" s="3032">
        <v>804</v>
      </c>
      <c r="F386" s="3032">
        <v>44.81</v>
      </c>
      <c r="G386" s="3032" t="s">
        <v>3559</v>
      </c>
    </row>
    <row r="387" spans="1:7" ht="16.5">
      <c r="A387" s="3032">
        <v>376</v>
      </c>
      <c r="B387" s="3032" t="s">
        <v>3539</v>
      </c>
      <c r="C387" s="3032" t="s">
        <v>3568</v>
      </c>
      <c r="D387" s="3032" t="s">
        <v>3569</v>
      </c>
      <c r="E387" s="3032">
        <v>805</v>
      </c>
      <c r="F387" s="3032">
        <v>79.73</v>
      </c>
      <c r="G387" s="3032" t="s">
        <v>3559</v>
      </c>
    </row>
    <row r="388" spans="1:7" ht="16.5">
      <c r="A388" s="3032">
        <v>377</v>
      </c>
      <c r="B388" s="3032" t="s">
        <v>3539</v>
      </c>
      <c r="C388" s="3032" t="s">
        <v>3568</v>
      </c>
      <c r="D388" s="3032" t="s">
        <v>3569</v>
      </c>
      <c r="E388" s="3032">
        <v>806</v>
      </c>
      <c r="F388" s="3032">
        <v>89.59</v>
      </c>
      <c r="G388" s="3032" t="s">
        <v>3559</v>
      </c>
    </row>
    <row r="389" spans="1:7" ht="16.5">
      <c r="A389" s="3032">
        <v>378</v>
      </c>
      <c r="B389" s="3032" t="s">
        <v>3539</v>
      </c>
      <c r="C389" s="3032" t="s">
        <v>3568</v>
      </c>
      <c r="D389" s="3032" t="s">
        <v>3569</v>
      </c>
      <c r="E389" s="3032">
        <v>901</v>
      </c>
      <c r="F389" s="3032">
        <v>89.44</v>
      </c>
      <c r="G389" s="3032" t="s">
        <v>3559</v>
      </c>
    </row>
    <row r="390" spans="1:7" ht="16.5">
      <c r="A390" s="3032">
        <v>379</v>
      </c>
      <c r="B390" s="3032" t="s">
        <v>3539</v>
      </c>
      <c r="C390" s="3032" t="s">
        <v>3568</v>
      </c>
      <c r="D390" s="3032" t="s">
        <v>3569</v>
      </c>
      <c r="E390" s="3032">
        <v>902</v>
      </c>
      <c r="F390" s="3032">
        <v>79.73</v>
      </c>
      <c r="G390" s="3032" t="s">
        <v>3559</v>
      </c>
    </row>
    <row r="391" spans="1:7" ht="16.5">
      <c r="A391" s="3032">
        <v>380</v>
      </c>
      <c r="B391" s="3032" t="s">
        <v>3539</v>
      </c>
      <c r="C391" s="3032" t="s">
        <v>3568</v>
      </c>
      <c r="D391" s="3032" t="s">
        <v>3569</v>
      </c>
      <c r="E391" s="3032">
        <v>903</v>
      </c>
      <c r="F391" s="3032">
        <v>44.81</v>
      </c>
      <c r="G391" s="3032" t="s">
        <v>3559</v>
      </c>
    </row>
    <row r="392" spans="1:7" ht="16.5">
      <c r="A392" s="3032">
        <v>381</v>
      </c>
      <c r="B392" s="3032" t="s">
        <v>3539</v>
      </c>
      <c r="C392" s="3032" t="s">
        <v>3568</v>
      </c>
      <c r="D392" s="3032" t="s">
        <v>3569</v>
      </c>
      <c r="E392" s="3032">
        <v>904</v>
      </c>
      <c r="F392" s="3032">
        <v>44.81</v>
      </c>
      <c r="G392" s="3032" t="s">
        <v>3559</v>
      </c>
    </row>
    <row r="393" spans="1:7" ht="16.5">
      <c r="A393" s="3032">
        <v>382</v>
      </c>
      <c r="B393" s="3032" t="s">
        <v>3539</v>
      </c>
      <c r="C393" s="3032" t="s">
        <v>3568</v>
      </c>
      <c r="D393" s="3032" t="s">
        <v>3569</v>
      </c>
      <c r="E393" s="3032">
        <v>905</v>
      </c>
      <c r="F393" s="3032">
        <v>79.73</v>
      </c>
      <c r="G393" s="3032" t="s">
        <v>3559</v>
      </c>
    </row>
    <row r="394" spans="1:7" ht="16.5">
      <c r="A394" s="3032">
        <v>383</v>
      </c>
      <c r="B394" s="3032" t="s">
        <v>3539</v>
      </c>
      <c r="C394" s="3032" t="s">
        <v>3568</v>
      </c>
      <c r="D394" s="3032" t="s">
        <v>3569</v>
      </c>
      <c r="E394" s="3032">
        <v>906</v>
      </c>
      <c r="F394" s="3032">
        <v>89.59</v>
      </c>
      <c r="G394" s="3032" t="s">
        <v>3559</v>
      </c>
    </row>
    <row r="395" spans="1:7" ht="16.5">
      <c r="A395" s="3032">
        <v>384</v>
      </c>
      <c r="B395" s="3032" t="s">
        <v>3539</v>
      </c>
      <c r="C395" s="3032" t="s">
        <v>3568</v>
      </c>
      <c r="D395" s="3032" t="s">
        <v>3569</v>
      </c>
      <c r="E395" s="3032">
        <v>1001</v>
      </c>
      <c r="F395" s="3032">
        <v>89.44</v>
      </c>
      <c r="G395" s="3032" t="s">
        <v>3559</v>
      </c>
    </row>
    <row r="396" spans="1:7" ht="16.5">
      <c r="A396" s="3032">
        <v>385</v>
      </c>
      <c r="B396" s="3032" t="s">
        <v>3539</v>
      </c>
      <c r="C396" s="3032" t="s">
        <v>3568</v>
      </c>
      <c r="D396" s="3032" t="s">
        <v>3569</v>
      </c>
      <c r="E396" s="3032">
        <v>1002</v>
      </c>
      <c r="F396" s="3032">
        <v>79.73</v>
      </c>
      <c r="G396" s="3032" t="s">
        <v>3559</v>
      </c>
    </row>
    <row r="397" spans="1:7" ht="16.5">
      <c r="A397" s="3032">
        <v>386</v>
      </c>
      <c r="B397" s="3032" t="s">
        <v>3539</v>
      </c>
      <c r="C397" s="3032" t="s">
        <v>3568</v>
      </c>
      <c r="D397" s="3032" t="s">
        <v>3569</v>
      </c>
      <c r="E397" s="3032">
        <v>1003</v>
      </c>
      <c r="F397" s="3032">
        <v>44.81</v>
      </c>
      <c r="G397" s="3032" t="s">
        <v>3559</v>
      </c>
    </row>
    <row r="398" spans="1:7" ht="16.5">
      <c r="A398" s="3032">
        <v>387</v>
      </c>
      <c r="B398" s="3032" t="s">
        <v>3539</v>
      </c>
      <c r="C398" s="3032" t="s">
        <v>3568</v>
      </c>
      <c r="D398" s="3032" t="s">
        <v>3569</v>
      </c>
      <c r="E398" s="3032">
        <v>1004</v>
      </c>
      <c r="F398" s="3032">
        <v>44.81</v>
      </c>
      <c r="G398" s="3032" t="s">
        <v>3559</v>
      </c>
    </row>
    <row r="399" spans="1:7" ht="16.5">
      <c r="A399" s="3032">
        <v>388</v>
      </c>
      <c r="B399" s="3032" t="s">
        <v>3539</v>
      </c>
      <c r="C399" s="3032" t="s">
        <v>3568</v>
      </c>
      <c r="D399" s="3032" t="s">
        <v>3569</v>
      </c>
      <c r="E399" s="3032">
        <v>1005</v>
      </c>
      <c r="F399" s="3032">
        <v>79.73</v>
      </c>
      <c r="G399" s="3032" t="s">
        <v>3559</v>
      </c>
    </row>
    <row r="400" spans="1:7" ht="16.5">
      <c r="A400" s="3032">
        <v>389</v>
      </c>
      <c r="B400" s="3032" t="s">
        <v>3539</v>
      </c>
      <c r="C400" s="3032" t="s">
        <v>3568</v>
      </c>
      <c r="D400" s="3032" t="s">
        <v>3569</v>
      </c>
      <c r="E400" s="3032">
        <v>1006</v>
      </c>
      <c r="F400" s="3032">
        <v>89.59</v>
      </c>
      <c r="G400" s="3032" t="s">
        <v>3559</v>
      </c>
    </row>
    <row r="401" spans="1:7" ht="16.5">
      <c r="A401" s="3032">
        <v>390</v>
      </c>
      <c r="B401" s="3032" t="s">
        <v>3539</v>
      </c>
      <c r="C401" s="3032" t="s">
        <v>3568</v>
      </c>
      <c r="D401" s="3032" t="s">
        <v>3569</v>
      </c>
      <c r="E401" s="3032">
        <v>1101</v>
      </c>
      <c r="F401" s="3032">
        <v>89.44</v>
      </c>
      <c r="G401" s="3032" t="s">
        <v>3559</v>
      </c>
    </row>
    <row r="402" spans="1:7" ht="16.5">
      <c r="A402" s="3032">
        <v>391</v>
      </c>
      <c r="B402" s="3032" t="s">
        <v>3539</v>
      </c>
      <c r="C402" s="3032" t="s">
        <v>3568</v>
      </c>
      <c r="D402" s="3032" t="s">
        <v>3569</v>
      </c>
      <c r="E402" s="3032">
        <v>1102</v>
      </c>
      <c r="F402" s="3032">
        <v>79.73</v>
      </c>
      <c r="G402" s="3032" t="s">
        <v>3559</v>
      </c>
    </row>
    <row r="403" spans="1:7" ht="16.5">
      <c r="A403" s="3032">
        <v>392</v>
      </c>
      <c r="B403" s="3032" t="s">
        <v>3539</v>
      </c>
      <c r="C403" s="3032" t="s">
        <v>3568</v>
      </c>
      <c r="D403" s="3032" t="s">
        <v>3569</v>
      </c>
      <c r="E403" s="3032">
        <v>1103</v>
      </c>
      <c r="F403" s="3032">
        <v>44.81</v>
      </c>
      <c r="G403" s="3032" t="s">
        <v>3559</v>
      </c>
    </row>
    <row r="404" spans="1:7" ht="16.5">
      <c r="A404" s="3032">
        <v>393</v>
      </c>
      <c r="B404" s="3032" t="s">
        <v>3539</v>
      </c>
      <c r="C404" s="3032" t="s">
        <v>3568</v>
      </c>
      <c r="D404" s="3032" t="s">
        <v>3569</v>
      </c>
      <c r="E404" s="3032">
        <v>1104</v>
      </c>
      <c r="F404" s="3032">
        <v>44.81</v>
      </c>
      <c r="G404" s="3032" t="s">
        <v>3559</v>
      </c>
    </row>
    <row r="405" spans="1:7" ht="16.5">
      <c r="A405" s="3032">
        <v>394</v>
      </c>
      <c r="B405" s="3032" t="s">
        <v>3539</v>
      </c>
      <c r="C405" s="3032" t="s">
        <v>3568</v>
      </c>
      <c r="D405" s="3032" t="s">
        <v>3569</v>
      </c>
      <c r="E405" s="3032">
        <v>1105</v>
      </c>
      <c r="F405" s="3032">
        <v>79.73</v>
      </c>
      <c r="G405" s="3032" t="s">
        <v>3559</v>
      </c>
    </row>
    <row r="406" spans="1:7" ht="16.5">
      <c r="A406" s="3032">
        <v>395</v>
      </c>
      <c r="B406" s="3032" t="s">
        <v>3539</v>
      </c>
      <c r="C406" s="3032" t="s">
        <v>3568</v>
      </c>
      <c r="D406" s="3032" t="s">
        <v>3569</v>
      </c>
      <c r="E406" s="3032">
        <v>1106</v>
      </c>
      <c r="F406" s="3032">
        <v>89.59</v>
      </c>
      <c r="G406" s="3032" t="s">
        <v>3559</v>
      </c>
    </row>
    <row r="407" spans="1:7" ht="16.5">
      <c r="A407" s="3032">
        <v>396</v>
      </c>
      <c r="B407" s="3032" t="s">
        <v>3539</v>
      </c>
      <c r="C407" s="3032" t="s">
        <v>3568</v>
      </c>
      <c r="D407" s="3032" t="s">
        <v>3569</v>
      </c>
      <c r="E407" s="3032">
        <v>1201</v>
      </c>
      <c r="F407" s="3032">
        <v>89.44</v>
      </c>
      <c r="G407" s="3032" t="s">
        <v>3559</v>
      </c>
    </row>
    <row r="408" spans="1:7" ht="16.5">
      <c r="A408" s="3032">
        <v>397</v>
      </c>
      <c r="B408" s="3032" t="s">
        <v>3539</v>
      </c>
      <c r="C408" s="3032" t="s">
        <v>3568</v>
      </c>
      <c r="D408" s="3032" t="s">
        <v>3569</v>
      </c>
      <c r="E408" s="3032">
        <v>1202</v>
      </c>
      <c r="F408" s="3032">
        <v>79.73</v>
      </c>
      <c r="G408" s="3032" t="s">
        <v>3559</v>
      </c>
    </row>
    <row r="409" spans="1:7" ht="16.5">
      <c r="A409" s="3032">
        <v>398</v>
      </c>
      <c r="B409" s="3032" t="s">
        <v>3539</v>
      </c>
      <c r="C409" s="3032" t="s">
        <v>3568</v>
      </c>
      <c r="D409" s="3032" t="s">
        <v>3569</v>
      </c>
      <c r="E409" s="3032">
        <v>1203</v>
      </c>
      <c r="F409" s="3032">
        <v>44.81</v>
      </c>
      <c r="G409" s="3032" t="s">
        <v>3559</v>
      </c>
    </row>
    <row r="410" spans="1:7" ht="16.5">
      <c r="A410" s="3032">
        <v>399</v>
      </c>
      <c r="B410" s="3032" t="s">
        <v>3539</v>
      </c>
      <c r="C410" s="3032" t="s">
        <v>3568</v>
      </c>
      <c r="D410" s="3032" t="s">
        <v>3569</v>
      </c>
      <c r="E410" s="3032">
        <v>1204</v>
      </c>
      <c r="F410" s="3032">
        <v>44.81</v>
      </c>
      <c r="G410" s="3032" t="s">
        <v>3559</v>
      </c>
    </row>
    <row r="411" spans="1:7" ht="16.5">
      <c r="A411" s="3032">
        <v>400</v>
      </c>
      <c r="B411" s="3032" t="s">
        <v>3539</v>
      </c>
      <c r="C411" s="3032" t="s">
        <v>3568</v>
      </c>
      <c r="D411" s="3032" t="s">
        <v>3569</v>
      </c>
      <c r="E411" s="3032">
        <v>1205</v>
      </c>
      <c r="F411" s="3032">
        <v>79.73</v>
      </c>
      <c r="G411" s="3032" t="s">
        <v>3559</v>
      </c>
    </row>
    <row r="412" spans="1:7" ht="16.5">
      <c r="A412" s="3032">
        <v>401</v>
      </c>
      <c r="B412" s="3032" t="s">
        <v>3539</v>
      </c>
      <c r="C412" s="3032" t="s">
        <v>3568</v>
      </c>
      <c r="D412" s="3032" t="s">
        <v>3569</v>
      </c>
      <c r="E412" s="3032">
        <v>1206</v>
      </c>
      <c r="F412" s="3032">
        <v>89.59</v>
      </c>
      <c r="G412" s="3032" t="s">
        <v>3559</v>
      </c>
    </row>
    <row r="413" spans="1:7" ht="16.5">
      <c r="A413" s="3032">
        <v>402</v>
      </c>
      <c r="B413" s="3032" t="s">
        <v>3539</v>
      </c>
      <c r="C413" s="3032" t="s">
        <v>3568</v>
      </c>
      <c r="D413" s="3032" t="s">
        <v>3569</v>
      </c>
      <c r="E413" s="3032">
        <v>1301</v>
      </c>
      <c r="F413" s="3032">
        <v>89.44</v>
      </c>
      <c r="G413" s="3032" t="s">
        <v>3559</v>
      </c>
    </row>
    <row r="414" spans="1:7" ht="16.5">
      <c r="A414" s="3032">
        <v>403</v>
      </c>
      <c r="B414" s="3032" t="s">
        <v>3539</v>
      </c>
      <c r="C414" s="3032" t="s">
        <v>3568</v>
      </c>
      <c r="D414" s="3032" t="s">
        <v>3569</v>
      </c>
      <c r="E414" s="3032">
        <v>1302</v>
      </c>
      <c r="F414" s="3032">
        <v>79.73</v>
      </c>
      <c r="G414" s="3032" t="s">
        <v>3559</v>
      </c>
    </row>
    <row r="415" spans="1:7" ht="16.5">
      <c r="A415" s="3032">
        <v>404</v>
      </c>
      <c r="B415" s="3032" t="s">
        <v>3539</v>
      </c>
      <c r="C415" s="3032" t="s">
        <v>3568</v>
      </c>
      <c r="D415" s="3032" t="s">
        <v>3569</v>
      </c>
      <c r="E415" s="3032">
        <v>1303</v>
      </c>
      <c r="F415" s="3032">
        <v>44.81</v>
      </c>
      <c r="G415" s="3032" t="s">
        <v>3559</v>
      </c>
    </row>
    <row r="416" spans="1:7" ht="16.5">
      <c r="A416" s="3032">
        <v>405</v>
      </c>
      <c r="B416" s="3032" t="s">
        <v>3539</v>
      </c>
      <c r="C416" s="3032" t="s">
        <v>3568</v>
      </c>
      <c r="D416" s="3032" t="s">
        <v>3569</v>
      </c>
      <c r="E416" s="3032">
        <v>1304</v>
      </c>
      <c r="F416" s="3032">
        <v>44.81</v>
      </c>
      <c r="G416" s="3032" t="s">
        <v>3559</v>
      </c>
    </row>
    <row r="417" spans="1:7" ht="16.5">
      <c r="A417" s="3032">
        <v>406</v>
      </c>
      <c r="B417" s="3032" t="s">
        <v>3539</v>
      </c>
      <c r="C417" s="3032" t="s">
        <v>3568</v>
      </c>
      <c r="D417" s="3032" t="s">
        <v>3569</v>
      </c>
      <c r="E417" s="3032">
        <v>1305</v>
      </c>
      <c r="F417" s="3032">
        <v>79.73</v>
      </c>
      <c r="G417" s="3032" t="s">
        <v>3559</v>
      </c>
    </row>
    <row r="418" spans="1:7" ht="16.5">
      <c r="A418" s="3032">
        <v>407</v>
      </c>
      <c r="B418" s="3032" t="s">
        <v>3539</v>
      </c>
      <c r="C418" s="3032" t="s">
        <v>3568</v>
      </c>
      <c r="D418" s="3032" t="s">
        <v>3569</v>
      </c>
      <c r="E418" s="3032">
        <v>1306</v>
      </c>
      <c r="F418" s="3032">
        <v>89.59</v>
      </c>
      <c r="G418" s="3032" t="s">
        <v>3559</v>
      </c>
    </row>
    <row r="419" spans="1:7" ht="16.5">
      <c r="A419" s="3032">
        <v>408</v>
      </c>
      <c r="B419" s="3032" t="s">
        <v>3539</v>
      </c>
      <c r="C419" s="3032" t="s">
        <v>3568</v>
      </c>
      <c r="D419" s="3032" t="s">
        <v>3569</v>
      </c>
      <c r="E419" s="3032">
        <v>1401</v>
      </c>
      <c r="F419" s="3032">
        <v>89.44</v>
      </c>
      <c r="G419" s="3032" t="s">
        <v>3559</v>
      </c>
    </row>
    <row r="420" spans="1:7" ht="16.5">
      <c r="A420" s="3032">
        <v>409</v>
      </c>
      <c r="B420" s="3032" t="s">
        <v>3539</v>
      </c>
      <c r="C420" s="3032" t="s">
        <v>3568</v>
      </c>
      <c r="D420" s="3032" t="s">
        <v>3569</v>
      </c>
      <c r="E420" s="3032">
        <v>1402</v>
      </c>
      <c r="F420" s="3032">
        <v>79.73</v>
      </c>
      <c r="G420" s="3032" t="s">
        <v>3559</v>
      </c>
    </row>
    <row r="421" spans="1:7" ht="16.5">
      <c r="A421" s="3032">
        <v>410</v>
      </c>
      <c r="B421" s="3032" t="s">
        <v>3539</v>
      </c>
      <c r="C421" s="3032" t="s">
        <v>3568</v>
      </c>
      <c r="D421" s="3032" t="s">
        <v>3569</v>
      </c>
      <c r="E421" s="3032">
        <v>1403</v>
      </c>
      <c r="F421" s="3032">
        <v>44.81</v>
      </c>
      <c r="G421" s="3032" t="s">
        <v>3559</v>
      </c>
    </row>
    <row r="422" spans="1:7" ht="16.5">
      <c r="A422" s="3032">
        <v>411</v>
      </c>
      <c r="B422" s="3032" t="s">
        <v>3539</v>
      </c>
      <c r="C422" s="3032" t="s">
        <v>3568</v>
      </c>
      <c r="D422" s="3032" t="s">
        <v>3569</v>
      </c>
      <c r="E422" s="3032">
        <v>1404</v>
      </c>
      <c r="F422" s="3032">
        <v>44.81</v>
      </c>
      <c r="G422" s="3032" t="s">
        <v>3559</v>
      </c>
    </row>
    <row r="423" spans="1:7" ht="16.5">
      <c r="A423" s="3032">
        <v>412</v>
      </c>
      <c r="B423" s="3032" t="s">
        <v>3539</v>
      </c>
      <c r="C423" s="3032" t="s">
        <v>3568</v>
      </c>
      <c r="D423" s="3032" t="s">
        <v>3569</v>
      </c>
      <c r="E423" s="3032">
        <v>1405</v>
      </c>
      <c r="F423" s="3032">
        <v>79.73</v>
      </c>
      <c r="G423" s="3032" t="s">
        <v>3559</v>
      </c>
    </row>
    <row r="424" spans="1:7" ht="16.5">
      <c r="A424" s="3032">
        <v>413</v>
      </c>
      <c r="B424" s="3032" t="s">
        <v>3539</v>
      </c>
      <c r="C424" s="3032" t="s">
        <v>3568</v>
      </c>
      <c r="D424" s="3032" t="s">
        <v>3569</v>
      </c>
      <c r="E424" s="3032">
        <v>1406</v>
      </c>
      <c r="F424" s="3032">
        <v>89.59</v>
      </c>
      <c r="G424" s="3032" t="s">
        <v>3559</v>
      </c>
    </row>
    <row r="425" spans="1:7" ht="16.5">
      <c r="A425" s="3032">
        <v>414</v>
      </c>
      <c r="B425" s="3032" t="s">
        <v>3539</v>
      </c>
      <c r="C425" s="3032" t="s">
        <v>3568</v>
      </c>
      <c r="D425" s="3032" t="s">
        <v>3569</v>
      </c>
      <c r="E425" s="3032">
        <v>1501</v>
      </c>
      <c r="F425" s="3032">
        <v>89.44</v>
      </c>
      <c r="G425" s="3032" t="s">
        <v>3559</v>
      </c>
    </row>
    <row r="426" spans="1:7" ht="16.5">
      <c r="A426" s="3032">
        <v>415</v>
      </c>
      <c r="B426" s="3032" t="s">
        <v>3539</v>
      </c>
      <c r="C426" s="3032" t="s">
        <v>3568</v>
      </c>
      <c r="D426" s="3032" t="s">
        <v>3569</v>
      </c>
      <c r="E426" s="3032">
        <v>1502</v>
      </c>
      <c r="F426" s="3032">
        <v>79.73</v>
      </c>
      <c r="G426" s="3032" t="s">
        <v>3559</v>
      </c>
    </row>
    <row r="427" spans="1:7" ht="16.5">
      <c r="A427" s="3032">
        <v>416</v>
      </c>
      <c r="B427" s="3032" t="s">
        <v>3539</v>
      </c>
      <c r="C427" s="3032" t="s">
        <v>3568</v>
      </c>
      <c r="D427" s="3032" t="s">
        <v>3569</v>
      </c>
      <c r="E427" s="3032">
        <v>1503</v>
      </c>
      <c r="F427" s="3032">
        <v>44.81</v>
      </c>
      <c r="G427" s="3032" t="s">
        <v>3559</v>
      </c>
    </row>
    <row r="428" spans="1:7" ht="16.5">
      <c r="A428" s="3032">
        <v>417</v>
      </c>
      <c r="B428" s="3032" t="s">
        <v>3539</v>
      </c>
      <c r="C428" s="3032" t="s">
        <v>3568</v>
      </c>
      <c r="D428" s="3032" t="s">
        <v>3569</v>
      </c>
      <c r="E428" s="3032">
        <v>1504</v>
      </c>
      <c r="F428" s="3032">
        <v>44.81</v>
      </c>
      <c r="G428" s="3032" t="s">
        <v>3559</v>
      </c>
    </row>
    <row r="429" spans="1:7" ht="16.5">
      <c r="A429" s="3032">
        <v>418</v>
      </c>
      <c r="B429" s="3032" t="s">
        <v>3539</v>
      </c>
      <c r="C429" s="3032" t="s">
        <v>3568</v>
      </c>
      <c r="D429" s="3032" t="s">
        <v>3569</v>
      </c>
      <c r="E429" s="3032">
        <v>1505</v>
      </c>
      <c r="F429" s="3032">
        <v>79.73</v>
      </c>
      <c r="G429" s="3032" t="s">
        <v>3559</v>
      </c>
    </row>
    <row r="430" spans="1:7" ht="16.5">
      <c r="A430" s="3032">
        <v>419</v>
      </c>
      <c r="B430" s="3032" t="s">
        <v>3539</v>
      </c>
      <c r="C430" s="3032" t="s">
        <v>3568</v>
      </c>
      <c r="D430" s="3032" t="s">
        <v>3569</v>
      </c>
      <c r="E430" s="3032">
        <v>1506</v>
      </c>
      <c r="F430" s="3032">
        <v>89.59</v>
      </c>
      <c r="G430" s="3032" t="s">
        <v>3559</v>
      </c>
    </row>
    <row r="431" spans="1:7" ht="16.5">
      <c r="A431" s="3032">
        <v>420</v>
      </c>
      <c r="B431" s="3032" t="s">
        <v>3539</v>
      </c>
      <c r="C431" s="3032" t="s">
        <v>3568</v>
      </c>
      <c r="D431" s="3032" t="s">
        <v>3569</v>
      </c>
      <c r="E431" s="3032">
        <v>1601</v>
      </c>
      <c r="F431" s="3032">
        <v>89.44</v>
      </c>
      <c r="G431" s="3032" t="s">
        <v>3559</v>
      </c>
    </row>
    <row r="432" spans="1:7" ht="16.5">
      <c r="A432" s="3032">
        <v>421</v>
      </c>
      <c r="B432" s="3032" t="s">
        <v>3539</v>
      </c>
      <c r="C432" s="3032" t="s">
        <v>3568</v>
      </c>
      <c r="D432" s="3032" t="s">
        <v>3569</v>
      </c>
      <c r="E432" s="3032">
        <v>1602</v>
      </c>
      <c r="F432" s="3032">
        <v>79.73</v>
      </c>
      <c r="G432" s="3032" t="s">
        <v>3559</v>
      </c>
    </row>
    <row r="433" spans="1:7" ht="16.5">
      <c r="A433" s="3032">
        <v>422</v>
      </c>
      <c r="B433" s="3032" t="s">
        <v>3539</v>
      </c>
      <c r="C433" s="3032" t="s">
        <v>3568</v>
      </c>
      <c r="D433" s="3032" t="s">
        <v>3569</v>
      </c>
      <c r="E433" s="3032">
        <v>1603</v>
      </c>
      <c r="F433" s="3032">
        <v>44.81</v>
      </c>
      <c r="G433" s="3032" t="s">
        <v>3559</v>
      </c>
    </row>
    <row r="434" spans="1:7" ht="16.5">
      <c r="A434" s="3032">
        <v>423</v>
      </c>
      <c r="B434" s="3032" t="s">
        <v>3539</v>
      </c>
      <c r="C434" s="3032" t="s">
        <v>3568</v>
      </c>
      <c r="D434" s="3032" t="s">
        <v>3569</v>
      </c>
      <c r="E434" s="3032">
        <v>1604</v>
      </c>
      <c r="F434" s="3032">
        <v>44.81</v>
      </c>
      <c r="G434" s="3032" t="s">
        <v>3559</v>
      </c>
    </row>
    <row r="435" spans="1:7" ht="16.5">
      <c r="A435" s="3032">
        <v>424</v>
      </c>
      <c r="B435" s="3032" t="s">
        <v>3539</v>
      </c>
      <c r="C435" s="3032" t="s">
        <v>3568</v>
      </c>
      <c r="D435" s="3032" t="s">
        <v>3569</v>
      </c>
      <c r="E435" s="3032">
        <v>1605</v>
      </c>
      <c r="F435" s="3032">
        <v>79.73</v>
      </c>
      <c r="G435" s="3032" t="s">
        <v>3559</v>
      </c>
    </row>
    <row r="436" spans="1:7" ht="16.5">
      <c r="A436" s="3032">
        <v>425</v>
      </c>
      <c r="B436" s="3032" t="s">
        <v>3539</v>
      </c>
      <c r="C436" s="3032" t="s">
        <v>3568</v>
      </c>
      <c r="D436" s="3032" t="s">
        <v>3569</v>
      </c>
      <c r="E436" s="3032">
        <v>1606</v>
      </c>
      <c r="F436" s="3032">
        <v>89.59</v>
      </c>
      <c r="G436" s="3032" t="s">
        <v>3559</v>
      </c>
    </row>
    <row r="437" spans="1:7" ht="16.5">
      <c r="A437" s="3032">
        <v>426</v>
      </c>
      <c r="B437" s="3032" t="s">
        <v>3539</v>
      </c>
      <c r="C437" s="3032" t="s">
        <v>3568</v>
      </c>
      <c r="D437" s="3032" t="s">
        <v>3569</v>
      </c>
      <c r="E437" s="3032">
        <v>1701</v>
      </c>
      <c r="F437" s="3032">
        <v>89.44</v>
      </c>
      <c r="G437" s="3032" t="s">
        <v>3559</v>
      </c>
    </row>
    <row r="438" spans="1:7" ht="16.5">
      <c r="A438" s="3032">
        <v>427</v>
      </c>
      <c r="B438" s="3032" t="s">
        <v>3539</v>
      </c>
      <c r="C438" s="3032" t="s">
        <v>3568</v>
      </c>
      <c r="D438" s="3032" t="s">
        <v>3569</v>
      </c>
      <c r="E438" s="3032">
        <v>1702</v>
      </c>
      <c r="F438" s="3032">
        <v>79.73</v>
      </c>
      <c r="G438" s="3032" t="s">
        <v>3559</v>
      </c>
    </row>
    <row r="439" spans="1:7" ht="16.5">
      <c r="A439" s="3032">
        <v>428</v>
      </c>
      <c r="B439" s="3032" t="s">
        <v>3539</v>
      </c>
      <c r="C439" s="3032" t="s">
        <v>3568</v>
      </c>
      <c r="D439" s="3032" t="s">
        <v>3569</v>
      </c>
      <c r="E439" s="3032">
        <v>1703</v>
      </c>
      <c r="F439" s="3032">
        <v>44.81</v>
      </c>
      <c r="G439" s="3032" t="s">
        <v>3559</v>
      </c>
    </row>
    <row r="440" spans="1:7" ht="16.5">
      <c r="A440" s="3032">
        <v>429</v>
      </c>
      <c r="B440" s="3032" t="s">
        <v>3539</v>
      </c>
      <c r="C440" s="3032" t="s">
        <v>3568</v>
      </c>
      <c r="D440" s="3032" t="s">
        <v>3569</v>
      </c>
      <c r="E440" s="3032">
        <v>1704</v>
      </c>
      <c r="F440" s="3032">
        <v>44.81</v>
      </c>
      <c r="G440" s="3032" t="s">
        <v>3559</v>
      </c>
    </row>
    <row r="441" spans="1:7" ht="16.5">
      <c r="A441" s="3032">
        <v>430</v>
      </c>
      <c r="B441" s="3032" t="s">
        <v>3539</v>
      </c>
      <c r="C441" s="3032" t="s">
        <v>3568</v>
      </c>
      <c r="D441" s="3032" t="s">
        <v>3569</v>
      </c>
      <c r="E441" s="3032">
        <v>1705</v>
      </c>
      <c r="F441" s="3032">
        <v>79.73</v>
      </c>
      <c r="G441" s="3032" t="s">
        <v>3559</v>
      </c>
    </row>
    <row r="442" spans="1:7" ht="16.5">
      <c r="A442" s="3032">
        <v>431</v>
      </c>
      <c r="B442" s="3032" t="s">
        <v>3539</v>
      </c>
      <c r="C442" s="3032" t="s">
        <v>3568</v>
      </c>
      <c r="D442" s="3032" t="s">
        <v>3569</v>
      </c>
      <c r="E442" s="3032">
        <v>1706</v>
      </c>
      <c r="F442" s="3032">
        <v>89.59</v>
      </c>
      <c r="G442" s="3032" t="s">
        <v>3559</v>
      </c>
    </row>
    <row r="443" spans="1:7" ht="16.5">
      <c r="A443" s="3032">
        <v>432</v>
      </c>
      <c r="B443" s="3032" t="s">
        <v>3539</v>
      </c>
      <c r="C443" s="3032" t="s">
        <v>3568</v>
      </c>
      <c r="D443" s="3032" t="s">
        <v>3569</v>
      </c>
      <c r="E443" s="3032">
        <v>1801</v>
      </c>
      <c r="F443" s="3032">
        <v>89.44</v>
      </c>
      <c r="G443" s="3032" t="s">
        <v>3559</v>
      </c>
    </row>
    <row r="444" spans="1:7" ht="16.5">
      <c r="A444" s="3032">
        <v>433</v>
      </c>
      <c r="B444" s="3032" t="s">
        <v>3539</v>
      </c>
      <c r="C444" s="3032" t="s">
        <v>3568</v>
      </c>
      <c r="D444" s="3032" t="s">
        <v>3569</v>
      </c>
      <c r="E444" s="3032">
        <v>1802</v>
      </c>
      <c r="F444" s="3032">
        <v>79.73</v>
      </c>
      <c r="G444" s="3032" t="s">
        <v>3559</v>
      </c>
    </row>
    <row r="445" spans="1:7" ht="16.5">
      <c r="A445" s="3032">
        <v>434</v>
      </c>
      <c r="B445" s="3032" t="s">
        <v>3539</v>
      </c>
      <c r="C445" s="3032" t="s">
        <v>3568</v>
      </c>
      <c r="D445" s="3032" t="s">
        <v>3569</v>
      </c>
      <c r="E445" s="3032">
        <v>1803</v>
      </c>
      <c r="F445" s="3032">
        <v>44.81</v>
      </c>
      <c r="G445" s="3032" t="s">
        <v>3559</v>
      </c>
    </row>
    <row r="446" spans="1:7" ht="16.5">
      <c r="A446" s="3032">
        <v>435</v>
      </c>
      <c r="B446" s="3032" t="s">
        <v>3539</v>
      </c>
      <c r="C446" s="3032" t="s">
        <v>3568</v>
      </c>
      <c r="D446" s="3032" t="s">
        <v>3569</v>
      </c>
      <c r="E446" s="3032">
        <v>1804</v>
      </c>
      <c r="F446" s="3032">
        <v>44.81</v>
      </c>
      <c r="G446" s="3032" t="s">
        <v>3559</v>
      </c>
    </row>
    <row r="447" spans="1:7" ht="16.5">
      <c r="A447" s="3032">
        <v>436</v>
      </c>
      <c r="B447" s="3032" t="s">
        <v>3539</v>
      </c>
      <c r="C447" s="3032" t="s">
        <v>3568</v>
      </c>
      <c r="D447" s="3032" t="s">
        <v>3569</v>
      </c>
      <c r="E447" s="3032">
        <v>1805</v>
      </c>
      <c r="F447" s="3032">
        <v>79.73</v>
      </c>
      <c r="G447" s="3032" t="s">
        <v>3559</v>
      </c>
    </row>
    <row r="448" spans="1:7" ht="16.5">
      <c r="A448" s="3032">
        <v>437</v>
      </c>
      <c r="B448" s="3032" t="s">
        <v>3539</v>
      </c>
      <c r="C448" s="3032" t="s">
        <v>3568</v>
      </c>
      <c r="D448" s="3032" t="s">
        <v>3569</v>
      </c>
      <c r="E448" s="3032">
        <v>1806</v>
      </c>
      <c r="F448" s="3032">
        <v>89.59</v>
      </c>
      <c r="G448" s="3032" t="s">
        <v>3559</v>
      </c>
    </row>
    <row r="449" spans="1:7" ht="16.5">
      <c r="A449" s="3032"/>
      <c r="B449" s="3032"/>
      <c r="C449" s="3032" t="s">
        <v>3570</v>
      </c>
      <c r="D449" s="3032"/>
      <c r="E449" s="3032"/>
      <c r="F449" s="3032">
        <f>SUM(F342:F448)</f>
        <v>7661.1699999999973</v>
      </c>
      <c r="G449" s="3032"/>
    </row>
    <row r="450" spans="1:7" ht="16.5">
      <c r="A450" s="3032">
        <v>438</v>
      </c>
      <c r="B450" s="3032" t="s">
        <v>3539</v>
      </c>
      <c r="C450" s="3032" t="s">
        <v>3571</v>
      </c>
      <c r="D450" s="3032" t="s">
        <v>3562</v>
      </c>
      <c r="E450" s="3032">
        <v>101</v>
      </c>
      <c r="F450" s="3032">
        <v>89.27</v>
      </c>
      <c r="G450" s="3032" t="s">
        <v>3559</v>
      </c>
    </row>
    <row r="451" spans="1:7" ht="16.5">
      <c r="A451" s="3032">
        <v>439</v>
      </c>
      <c r="B451" s="3032" t="s">
        <v>3539</v>
      </c>
      <c r="C451" s="3032" t="s">
        <v>3571</v>
      </c>
      <c r="D451" s="3032" t="s">
        <v>3562</v>
      </c>
      <c r="E451" s="3032">
        <v>102</v>
      </c>
      <c r="F451" s="3032">
        <v>47.28</v>
      </c>
      <c r="G451" s="3032" t="s">
        <v>3559</v>
      </c>
    </row>
    <row r="452" spans="1:7" ht="16.5">
      <c r="A452" s="3032">
        <v>440</v>
      </c>
      <c r="B452" s="3032" t="s">
        <v>3539</v>
      </c>
      <c r="C452" s="3032" t="s">
        <v>3571</v>
      </c>
      <c r="D452" s="3032" t="s">
        <v>3562</v>
      </c>
      <c r="E452" s="3032">
        <v>103</v>
      </c>
      <c r="F452" s="3032">
        <v>87.97</v>
      </c>
      <c r="G452" s="3032" t="s">
        <v>3559</v>
      </c>
    </row>
    <row r="453" spans="1:7" ht="16.5">
      <c r="A453" s="3032">
        <v>441</v>
      </c>
      <c r="B453" s="3032" t="s">
        <v>3539</v>
      </c>
      <c r="C453" s="3032" t="s">
        <v>3571</v>
      </c>
      <c r="D453" s="3032" t="s">
        <v>3562</v>
      </c>
      <c r="E453" s="3032">
        <v>104</v>
      </c>
      <c r="F453" s="3032">
        <v>86.24</v>
      </c>
      <c r="G453" s="3032" t="s">
        <v>3559</v>
      </c>
    </row>
    <row r="454" spans="1:7" ht="16.5">
      <c r="A454" s="3032">
        <v>442</v>
      </c>
      <c r="B454" s="3032" t="s">
        <v>3539</v>
      </c>
      <c r="C454" s="3032" t="s">
        <v>3571</v>
      </c>
      <c r="D454" s="3032" t="s">
        <v>3562</v>
      </c>
      <c r="E454" s="3032">
        <v>201</v>
      </c>
      <c r="F454" s="3032">
        <v>89.27</v>
      </c>
      <c r="G454" s="3032" t="s">
        <v>3559</v>
      </c>
    </row>
    <row r="455" spans="1:7" ht="16.5">
      <c r="A455" s="3032">
        <v>443</v>
      </c>
      <c r="B455" s="3032" t="s">
        <v>3539</v>
      </c>
      <c r="C455" s="3032" t="s">
        <v>3571</v>
      </c>
      <c r="D455" s="3032" t="s">
        <v>3562</v>
      </c>
      <c r="E455" s="3032">
        <v>202</v>
      </c>
      <c r="F455" s="3032">
        <v>88.13</v>
      </c>
      <c r="G455" s="3032" t="s">
        <v>3559</v>
      </c>
    </row>
    <row r="456" spans="1:7" ht="16.5">
      <c r="A456" s="3032">
        <v>444</v>
      </c>
      <c r="B456" s="3032" t="s">
        <v>3539</v>
      </c>
      <c r="C456" s="3032" t="s">
        <v>3571</v>
      </c>
      <c r="D456" s="3032" t="s">
        <v>3562</v>
      </c>
      <c r="E456" s="3032">
        <v>203</v>
      </c>
      <c r="F456" s="3032">
        <v>88.13</v>
      </c>
      <c r="G456" s="3032" t="s">
        <v>3559</v>
      </c>
    </row>
    <row r="457" spans="1:7" ht="16.5">
      <c r="A457" s="3032">
        <v>445</v>
      </c>
      <c r="B457" s="3032" t="s">
        <v>3539</v>
      </c>
      <c r="C457" s="3032" t="s">
        <v>3571</v>
      </c>
      <c r="D457" s="3032" t="s">
        <v>3562</v>
      </c>
      <c r="E457" s="3032">
        <v>204</v>
      </c>
      <c r="F457" s="3032">
        <v>86.24</v>
      </c>
      <c r="G457" s="3032" t="s">
        <v>3559</v>
      </c>
    </row>
    <row r="458" spans="1:7" ht="16.5">
      <c r="A458" s="3032">
        <v>446</v>
      </c>
      <c r="B458" s="3032" t="s">
        <v>3539</v>
      </c>
      <c r="C458" s="3032" t="s">
        <v>3571</v>
      </c>
      <c r="D458" s="3032" t="s">
        <v>3562</v>
      </c>
      <c r="E458" s="3032">
        <v>301</v>
      </c>
      <c r="F458" s="3032">
        <v>89.27</v>
      </c>
      <c r="G458" s="3032" t="s">
        <v>3559</v>
      </c>
    </row>
    <row r="459" spans="1:7" ht="16.5">
      <c r="A459" s="3032">
        <v>447</v>
      </c>
      <c r="B459" s="3032" t="s">
        <v>3539</v>
      </c>
      <c r="C459" s="3032" t="s">
        <v>3571</v>
      </c>
      <c r="D459" s="3032" t="s">
        <v>3562</v>
      </c>
      <c r="E459" s="3032">
        <v>302</v>
      </c>
      <c r="F459" s="3032">
        <v>88.13</v>
      </c>
      <c r="G459" s="3032" t="s">
        <v>3559</v>
      </c>
    </row>
    <row r="460" spans="1:7" ht="16.5">
      <c r="A460" s="3032">
        <v>448</v>
      </c>
      <c r="B460" s="3032" t="s">
        <v>3539</v>
      </c>
      <c r="C460" s="3032" t="s">
        <v>3571</v>
      </c>
      <c r="D460" s="3032" t="s">
        <v>3562</v>
      </c>
      <c r="E460" s="3032">
        <v>303</v>
      </c>
      <c r="F460" s="3032">
        <v>88.13</v>
      </c>
      <c r="G460" s="3032" t="s">
        <v>3559</v>
      </c>
    </row>
    <row r="461" spans="1:7" ht="16.5">
      <c r="A461" s="3032">
        <v>449</v>
      </c>
      <c r="B461" s="3032" t="s">
        <v>3539</v>
      </c>
      <c r="C461" s="3032" t="s">
        <v>3571</v>
      </c>
      <c r="D461" s="3032" t="s">
        <v>3562</v>
      </c>
      <c r="E461" s="3032">
        <v>304</v>
      </c>
      <c r="F461" s="3032">
        <v>86.24</v>
      </c>
      <c r="G461" s="3032" t="s">
        <v>3559</v>
      </c>
    </row>
    <row r="462" spans="1:7" ht="16.5">
      <c r="A462" s="3032">
        <v>450</v>
      </c>
      <c r="B462" s="3032" t="s">
        <v>3539</v>
      </c>
      <c r="C462" s="3032" t="s">
        <v>3571</v>
      </c>
      <c r="D462" s="3032" t="s">
        <v>3562</v>
      </c>
      <c r="E462" s="3032">
        <v>401</v>
      </c>
      <c r="F462" s="3032">
        <v>89.27</v>
      </c>
      <c r="G462" s="3032" t="s">
        <v>3559</v>
      </c>
    </row>
    <row r="463" spans="1:7" ht="16.5">
      <c r="A463" s="3032">
        <v>451</v>
      </c>
      <c r="B463" s="3032" t="s">
        <v>3539</v>
      </c>
      <c r="C463" s="3032" t="s">
        <v>3571</v>
      </c>
      <c r="D463" s="3032" t="s">
        <v>3562</v>
      </c>
      <c r="E463" s="3032">
        <v>402</v>
      </c>
      <c r="F463" s="3032">
        <v>88.13</v>
      </c>
      <c r="G463" s="3032" t="s">
        <v>3559</v>
      </c>
    </row>
    <row r="464" spans="1:7" ht="16.5">
      <c r="A464" s="3032">
        <v>452</v>
      </c>
      <c r="B464" s="3032" t="s">
        <v>3539</v>
      </c>
      <c r="C464" s="3032" t="s">
        <v>3571</v>
      </c>
      <c r="D464" s="3032" t="s">
        <v>3562</v>
      </c>
      <c r="E464" s="3032">
        <v>403</v>
      </c>
      <c r="F464" s="3032">
        <v>88.13</v>
      </c>
      <c r="G464" s="3032" t="s">
        <v>3559</v>
      </c>
    </row>
    <row r="465" spans="1:7" ht="16.5">
      <c r="A465" s="3032">
        <v>453</v>
      </c>
      <c r="B465" s="3032" t="s">
        <v>3539</v>
      </c>
      <c r="C465" s="3032" t="s">
        <v>3571</v>
      </c>
      <c r="D465" s="3032" t="s">
        <v>3562</v>
      </c>
      <c r="E465" s="3032">
        <v>404</v>
      </c>
      <c r="F465" s="3032">
        <v>86.24</v>
      </c>
      <c r="G465" s="3032" t="s">
        <v>3559</v>
      </c>
    </row>
    <row r="466" spans="1:7" ht="16.5">
      <c r="A466" s="3032">
        <v>454</v>
      </c>
      <c r="B466" s="3032" t="s">
        <v>3539</v>
      </c>
      <c r="C466" s="3032" t="s">
        <v>3571</v>
      </c>
      <c r="D466" s="3032" t="s">
        <v>3562</v>
      </c>
      <c r="E466" s="3032">
        <v>501</v>
      </c>
      <c r="F466" s="3032">
        <v>89.27</v>
      </c>
      <c r="G466" s="3032" t="s">
        <v>3559</v>
      </c>
    </row>
    <row r="467" spans="1:7" ht="16.5">
      <c r="A467" s="3032">
        <v>455</v>
      </c>
      <c r="B467" s="3032" t="s">
        <v>3539</v>
      </c>
      <c r="C467" s="3032" t="s">
        <v>3571</v>
      </c>
      <c r="D467" s="3032" t="s">
        <v>3562</v>
      </c>
      <c r="E467" s="3032">
        <v>502</v>
      </c>
      <c r="F467" s="3032">
        <v>88.13</v>
      </c>
      <c r="G467" s="3032" t="s">
        <v>3559</v>
      </c>
    </row>
    <row r="468" spans="1:7" ht="16.5">
      <c r="A468" s="3032">
        <v>456</v>
      </c>
      <c r="B468" s="3032" t="s">
        <v>3539</v>
      </c>
      <c r="C468" s="3032" t="s">
        <v>3571</v>
      </c>
      <c r="D468" s="3032" t="s">
        <v>3562</v>
      </c>
      <c r="E468" s="3032">
        <v>503</v>
      </c>
      <c r="F468" s="3032">
        <v>88.13</v>
      </c>
      <c r="G468" s="3032" t="s">
        <v>3559</v>
      </c>
    </row>
    <row r="469" spans="1:7" ht="16.5">
      <c r="A469" s="3032">
        <v>457</v>
      </c>
      <c r="B469" s="3032" t="s">
        <v>3539</v>
      </c>
      <c r="C469" s="3032" t="s">
        <v>3571</v>
      </c>
      <c r="D469" s="3032" t="s">
        <v>3562</v>
      </c>
      <c r="E469" s="3032">
        <v>504</v>
      </c>
      <c r="F469" s="3032">
        <v>86.24</v>
      </c>
      <c r="G469" s="3032" t="s">
        <v>3559</v>
      </c>
    </row>
    <row r="470" spans="1:7" ht="16.5">
      <c r="A470" s="3032">
        <v>458</v>
      </c>
      <c r="B470" s="3032" t="s">
        <v>3539</v>
      </c>
      <c r="C470" s="3032" t="s">
        <v>3571</v>
      </c>
      <c r="D470" s="3032" t="s">
        <v>3562</v>
      </c>
      <c r="E470" s="3032">
        <v>601</v>
      </c>
      <c r="F470" s="3032">
        <v>89.27</v>
      </c>
      <c r="G470" s="3032" t="s">
        <v>3559</v>
      </c>
    </row>
    <row r="471" spans="1:7" ht="16.5">
      <c r="A471" s="3032">
        <v>459</v>
      </c>
      <c r="B471" s="3032" t="s">
        <v>3539</v>
      </c>
      <c r="C471" s="3032" t="s">
        <v>3571</v>
      </c>
      <c r="D471" s="3032" t="s">
        <v>3562</v>
      </c>
      <c r="E471" s="3032">
        <v>602</v>
      </c>
      <c r="F471" s="3032">
        <v>88.13</v>
      </c>
      <c r="G471" s="3032" t="s">
        <v>3559</v>
      </c>
    </row>
    <row r="472" spans="1:7" ht="16.5">
      <c r="A472" s="3032">
        <v>460</v>
      </c>
      <c r="B472" s="3032" t="s">
        <v>3539</v>
      </c>
      <c r="C472" s="3032" t="s">
        <v>3571</v>
      </c>
      <c r="D472" s="3032" t="s">
        <v>3562</v>
      </c>
      <c r="E472" s="3032">
        <v>603</v>
      </c>
      <c r="F472" s="3032">
        <v>88.13</v>
      </c>
      <c r="G472" s="3032" t="s">
        <v>3559</v>
      </c>
    </row>
    <row r="473" spans="1:7" ht="16.5">
      <c r="A473" s="3032">
        <v>461</v>
      </c>
      <c r="B473" s="3032" t="s">
        <v>3539</v>
      </c>
      <c r="C473" s="3032" t="s">
        <v>3571</v>
      </c>
      <c r="D473" s="3032" t="s">
        <v>3562</v>
      </c>
      <c r="E473" s="3032">
        <v>604</v>
      </c>
      <c r="F473" s="3032">
        <v>86.24</v>
      </c>
      <c r="G473" s="3032" t="s">
        <v>3559</v>
      </c>
    </row>
    <row r="474" spans="1:7" ht="16.5">
      <c r="A474" s="3032">
        <v>462</v>
      </c>
      <c r="B474" s="3032" t="s">
        <v>3539</v>
      </c>
      <c r="C474" s="3032" t="s">
        <v>3571</v>
      </c>
      <c r="D474" s="3032" t="s">
        <v>3562</v>
      </c>
      <c r="E474" s="3032">
        <v>701</v>
      </c>
      <c r="F474" s="3032">
        <v>89.27</v>
      </c>
      <c r="G474" s="3032" t="s">
        <v>3559</v>
      </c>
    </row>
    <row r="475" spans="1:7" ht="16.5">
      <c r="A475" s="3032">
        <v>463</v>
      </c>
      <c r="B475" s="3032" t="s">
        <v>3539</v>
      </c>
      <c r="C475" s="3032" t="s">
        <v>3571</v>
      </c>
      <c r="D475" s="3032" t="s">
        <v>3562</v>
      </c>
      <c r="E475" s="3032">
        <v>702</v>
      </c>
      <c r="F475" s="3032">
        <v>88.13</v>
      </c>
      <c r="G475" s="3032" t="s">
        <v>3559</v>
      </c>
    </row>
    <row r="476" spans="1:7" ht="16.5">
      <c r="A476" s="3032">
        <v>464</v>
      </c>
      <c r="B476" s="3032" t="s">
        <v>3539</v>
      </c>
      <c r="C476" s="3032" t="s">
        <v>3571</v>
      </c>
      <c r="D476" s="3032" t="s">
        <v>3562</v>
      </c>
      <c r="E476" s="3032">
        <v>703</v>
      </c>
      <c r="F476" s="3032">
        <v>88.13</v>
      </c>
      <c r="G476" s="3032" t="s">
        <v>3559</v>
      </c>
    </row>
    <row r="477" spans="1:7" ht="16.5">
      <c r="A477" s="3032">
        <v>465</v>
      </c>
      <c r="B477" s="3032" t="s">
        <v>3539</v>
      </c>
      <c r="C477" s="3032" t="s">
        <v>3571</v>
      </c>
      <c r="D477" s="3032" t="s">
        <v>3562</v>
      </c>
      <c r="E477" s="3032">
        <v>704</v>
      </c>
      <c r="F477" s="3032">
        <v>86.24</v>
      </c>
      <c r="G477" s="3032" t="s">
        <v>3559</v>
      </c>
    </row>
    <row r="478" spans="1:7" ht="16.5">
      <c r="A478" s="3032">
        <v>466</v>
      </c>
      <c r="B478" s="3032" t="s">
        <v>3539</v>
      </c>
      <c r="C478" s="3032" t="s">
        <v>3571</v>
      </c>
      <c r="D478" s="3032" t="s">
        <v>3562</v>
      </c>
      <c r="E478" s="3032">
        <v>801</v>
      </c>
      <c r="F478" s="3032">
        <v>89.27</v>
      </c>
      <c r="G478" s="3032" t="s">
        <v>3559</v>
      </c>
    </row>
    <row r="479" spans="1:7" ht="16.5">
      <c r="A479" s="3032">
        <v>467</v>
      </c>
      <c r="B479" s="3032" t="s">
        <v>3539</v>
      </c>
      <c r="C479" s="3032" t="s">
        <v>3571</v>
      </c>
      <c r="D479" s="3032" t="s">
        <v>3562</v>
      </c>
      <c r="E479" s="3032">
        <v>802</v>
      </c>
      <c r="F479" s="3032">
        <v>88.13</v>
      </c>
      <c r="G479" s="3032" t="s">
        <v>3559</v>
      </c>
    </row>
    <row r="480" spans="1:7" ht="16.5">
      <c r="A480" s="3032">
        <v>468</v>
      </c>
      <c r="B480" s="3032" t="s">
        <v>3539</v>
      </c>
      <c r="C480" s="3032" t="s">
        <v>3571</v>
      </c>
      <c r="D480" s="3032" t="s">
        <v>3562</v>
      </c>
      <c r="E480" s="3032">
        <v>803</v>
      </c>
      <c r="F480" s="3032">
        <v>88.13</v>
      </c>
      <c r="G480" s="3032" t="s">
        <v>3559</v>
      </c>
    </row>
    <row r="481" spans="1:7" ht="16.5">
      <c r="A481" s="3032">
        <v>469</v>
      </c>
      <c r="B481" s="3032" t="s">
        <v>3539</v>
      </c>
      <c r="C481" s="3032" t="s">
        <v>3571</v>
      </c>
      <c r="D481" s="3032" t="s">
        <v>3562</v>
      </c>
      <c r="E481" s="3032">
        <v>804</v>
      </c>
      <c r="F481" s="3032">
        <v>86.24</v>
      </c>
      <c r="G481" s="3032" t="s">
        <v>3559</v>
      </c>
    </row>
    <row r="482" spans="1:7" ht="16.5">
      <c r="A482" s="3032">
        <v>470</v>
      </c>
      <c r="B482" s="3032" t="s">
        <v>3539</v>
      </c>
      <c r="C482" s="3032" t="s">
        <v>3571</v>
      </c>
      <c r="D482" s="3032" t="s">
        <v>3562</v>
      </c>
      <c r="E482" s="3032">
        <v>901</v>
      </c>
      <c r="F482" s="3032">
        <v>89.27</v>
      </c>
      <c r="G482" s="3032" t="s">
        <v>3559</v>
      </c>
    </row>
    <row r="483" spans="1:7" ht="16.5">
      <c r="A483" s="3032">
        <v>471</v>
      </c>
      <c r="B483" s="3032" t="s">
        <v>3539</v>
      </c>
      <c r="C483" s="3032" t="s">
        <v>3571</v>
      </c>
      <c r="D483" s="3032" t="s">
        <v>3562</v>
      </c>
      <c r="E483" s="3032">
        <v>902</v>
      </c>
      <c r="F483" s="3032">
        <v>88.13</v>
      </c>
      <c r="G483" s="3032" t="s">
        <v>3559</v>
      </c>
    </row>
    <row r="484" spans="1:7" ht="16.5">
      <c r="A484" s="3032">
        <v>472</v>
      </c>
      <c r="B484" s="3032" t="s">
        <v>3539</v>
      </c>
      <c r="C484" s="3032" t="s">
        <v>3571</v>
      </c>
      <c r="D484" s="3032" t="s">
        <v>3562</v>
      </c>
      <c r="E484" s="3032">
        <v>903</v>
      </c>
      <c r="F484" s="3032">
        <v>88.13</v>
      </c>
      <c r="G484" s="3032" t="s">
        <v>3559</v>
      </c>
    </row>
    <row r="485" spans="1:7" ht="16.5">
      <c r="A485" s="3032">
        <v>473</v>
      </c>
      <c r="B485" s="3032" t="s">
        <v>3539</v>
      </c>
      <c r="C485" s="3032" t="s">
        <v>3571</v>
      </c>
      <c r="D485" s="3032" t="s">
        <v>3562</v>
      </c>
      <c r="E485" s="3032">
        <v>904</v>
      </c>
      <c r="F485" s="3032">
        <v>86.24</v>
      </c>
      <c r="G485" s="3032" t="s">
        <v>3559</v>
      </c>
    </row>
    <row r="486" spans="1:7" ht="16.5">
      <c r="A486" s="3032">
        <v>474</v>
      </c>
      <c r="B486" s="3032" t="s">
        <v>3539</v>
      </c>
      <c r="C486" s="3032" t="s">
        <v>3571</v>
      </c>
      <c r="D486" s="3032" t="s">
        <v>3562</v>
      </c>
      <c r="E486" s="3032">
        <v>1001</v>
      </c>
      <c r="F486" s="3032">
        <v>89.27</v>
      </c>
      <c r="G486" s="3032" t="s">
        <v>3559</v>
      </c>
    </row>
    <row r="487" spans="1:7" ht="16.5">
      <c r="A487" s="3032">
        <v>475</v>
      </c>
      <c r="B487" s="3032" t="s">
        <v>3539</v>
      </c>
      <c r="C487" s="3032" t="s">
        <v>3571</v>
      </c>
      <c r="D487" s="3032" t="s">
        <v>3562</v>
      </c>
      <c r="E487" s="3032">
        <v>1002</v>
      </c>
      <c r="F487" s="3032">
        <v>88.13</v>
      </c>
      <c r="G487" s="3032" t="s">
        <v>3559</v>
      </c>
    </row>
    <row r="488" spans="1:7" ht="16.5">
      <c r="A488" s="3032">
        <v>476</v>
      </c>
      <c r="B488" s="3032" t="s">
        <v>3539</v>
      </c>
      <c r="C488" s="3032" t="s">
        <v>3571</v>
      </c>
      <c r="D488" s="3032" t="s">
        <v>3562</v>
      </c>
      <c r="E488" s="3032">
        <v>1003</v>
      </c>
      <c r="F488" s="3032">
        <v>88.13</v>
      </c>
      <c r="G488" s="3032" t="s">
        <v>3559</v>
      </c>
    </row>
    <row r="489" spans="1:7" ht="16.5">
      <c r="A489" s="3032">
        <v>477</v>
      </c>
      <c r="B489" s="3032" t="s">
        <v>3539</v>
      </c>
      <c r="C489" s="3032" t="s">
        <v>3571</v>
      </c>
      <c r="D489" s="3032" t="s">
        <v>3562</v>
      </c>
      <c r="E489" s="3032">
        <v>1004</v>
      </c>
      <c r="F489" s="3032">
        <v>86.24</v>
      </c>
      <c r="G489" s="3032" t="s">
        <v>3559</v>
      </c>
    </row>
    <row r="490" spans="1:7" ht="16.5">
      <c r="A490" s="3032">
        <v>478</v>
      </c>
      <c r="B490" s="3032" t="s">
        <v>3539</v>
      </c>
      <c r="C490" s="3032" t="s">
        <v>3571</v>
      </c>
      <c r="D490" s="3032" t="s">
        <v>3562</v>
      </c>
      <c r="E490" s="3032">
        <v>1101</v>
      </c>
      <c r="F490" s="3032">
        <v>89.27</v>
      </c>
      <c r="G490" s="3032" t="s">
        <v>3559</v>
      </c>
    </row>
    <row r="491" spans="1:7" ht="16.5">
      <c r="A491" s="3032">
        <v>479</v>
      </c>
      <c r="B491" s="3032" t="s">
        <v>3539</v>
      </c>
      <c r="C491" s="3032" t="s">
        <v>3571</v>
      </c>
      <c r="D491" s="3032" t="s">
        <v>3562</v>
      </c>
      <c r="E491" s="3032">
        <v>1102</v>
      </c>
      <c r="F491" s="3032">
        <v>88.13</v>
      </c>
      <c r="G491" s="3032" t="s">
        <v>3559</v>
      </c>
    </row>
    <row r="492" spans="1:7" ht="16.5">
      <c r="A492" s="3032">
        <v>480</v>
      </c>
      <c r="B492" s="3032" t="s">
        <v>3539</v>
      </c>
      <c r="C492" s="3032" t="s">
        <v>3571</v>
      </c>
      <c r="D492" s="3032" t="s">
        <v>3562</v>
      </c>
      <c r="E492" s="3032">
        <v>1103</v>
      </c>
      <c r="F492" s="3032">
        <v>88.13</v>
      </c>
      <c r="G492" s="3032" t="s">
        <v>3559</v>
      </c>
    </row>
    <row r="493" spans="1:7" ht="16.5">
      <c r="A493" s="3032">
        <v>481</v>
      </c>
      <c r="B493" s="3032" t="s">
        <v>3539</v>
      </c>
      <c r="C493" s="3032" t="s">
        <v>3571</v>
      </c>
      <c r="D493" s="3032" t="s">
        <v>3562</v>
      </c>
      <c r="E493" s="3032">
        <v>1104</v>
      </c>
      <c r="F493" s="3032">
        <v>86.24</v>
      </c>
      <c r="G493" s="3032" t="s">
        <v>3559</v>
      </c>
    </row>
    <row r="494" spans="1:7" ht="16.5">
      <c r="A494" s="3032">
        <v>482</v>
      </c>
      <c r="B494" s="3032" t="s">
        <v>3539</v>
      </c>
      <c r="C494" s="3032" t="s">
        <v>3571</v>
      </c>
      <c r="D494" s="3032" t="s">
        <v>3562</v>
      </c>
      <c r="E494" s="3032">
        <v>1201</v>
      </c>
      <c r="F494" s="3032">
        <v>89.27</v>
      </c>
      <c r="G494" s="3032" t="s">
        <v>3559</v>
      </c>
    </row>
    <row r="495" spans="1:7" ht="16.5">
      <c r="A495" s="3032">
        <v>483</v>
      </c>
      <c r="B495" s="3032" t="s">
        <v>3539</v>
      </c>
      <c r="C495" s="3032" t="s">
        <v>3571</v>
      </c>
      <c r="D495" s="3032" t="s">
        <v>3562</v>
      </c>
      <c r="E495" s="3032">
        <v>1202</v>
      </c>
      <c r="F495" s="3032">
        <v>88.13</v>
      </c>
      <c r="G495" s="3032" t="s">
        <v>3559</v>
      </c>
    </row>
    <row r="496" spans="1:7" ht="16.5">
      <c r="A496" s="3032">
        <v>484</v>
      </c>
      <c r="B496" s="3032" t="s">
        <v>3539</v>
      </c>
      <c r="C496" s="3032" t="s">
        <v>3571</v>
      </c>
      <c r="D496" s="3032" t="s">
        <v>3562</v>
      </c>
      <c r="E496" s="3032">
        <v>1203</v>
      </c>
      <c r="F496" s="3032">
        <v>88.13</v>
      </c>
      <c r="G496" s="3032" t="s">
        <v>3559</v>
      </c>
    </row>
    <row r="497" spans="1:7" ht="16.5">
      <c r="A497" s="3032">
        <v>485</v>
      </c>
      <c r="B497" s="3032" t="s">
        <v>3539</v>
      </c>
      <c r="C497" s="3032" t="s">
        <v>3571</v>
      </c>
      <c r="D497" s="3032" t="s">
        <v>3562</v>
      </c>
      <c r="E497" s="3032">
        <v>1204</v>
      </c>
      <c r="F497" s="3032">
        <v>86.24</v>
      </c>
      <c r="G497" s="3032" t="s">
        <v>3559</v>
      </c>
    </row>
    <row r="498" spans="1:7" ht="16.5">
      <c r="A498" s="3032">
        <v>486</v>
      </c>
      <c r="B498" s="3032" t="s">
        <v>3539</v>
      </c>
      <c r="C498" s="3032" t="s">
        <v>3571</v>
      </c>
      <c r="D498" s="3032" t="s">
        <v>3562</v>
      </c>
      <c r="E498" s="3032">
        <v>1301</v>
      </c>
      <c r="F498" s="3032">
        <v>89.27</v>
      </c>
      <c r="G498" s="3032" t="s">
        <v>3559</v>
      </c>
    </row>
    <row r="499" spans="1:7" ht="16.5">
      <c r="A499" s="3032">
        <v>487</v>
      </c>
      <c r="B499" s="3032" t="s">
        <v>3539</v>
      </c>
      <c r="C499" s="3032" t="s">
        <v>3571</v>
      </c>
      <c r="D499" s="3032" t="s">
        <v>3562</v>
      </c>
      <c r="E499" s="3032">
        <v>1302</v>
      </c>
      <c r="F499" s="3032">
        <v>88.13</v>
      </c>
      <c r="G499" s="3032" t="s">
        <v>3559</v>
      </c>
    </row>
    <row r="500" spans="1:7" ht="16.5">
      <c r="A500" s="3032">
        <v>488</v>
      </c>
      <c r="B500" s="3032" t="s">
        <v>3539</v>
      </c>
      <c r="C500" s="3032" t="s">
        <v>3571</v>
      </c>
      <c r="D500" s="3032" t="s">
        <v>3562</v>
      </c>
      <c r="E500" s="3032">
        <v>1303</v>
      </c>
      <c r="F500" s="3032">
        <v>88.13</v>
      </c>
      <c r="G500" s="3032" t="s">
        <v>3559</v>
      </c>
    </row>
    <row r="501" spans="1:7" ht="16.5">
      <c r="A501" s="3032">
        <v>489</v>
      </c>
      <c r="B501" s="3032" t="s">
        <v>3539</v>
      </c>
      <c r="C501" s="3032" t="s">
        <v>3571</v>
      </c>
      <c r="D501" s="3032" t="s">
        <v>3562</v>
      </c>
      <c r="E501" s="3032">
        <v>1304</v>
      </c>
      <c r="F501" s="3032">
        <v>86.24</v>
      </c>
      <c r="G501" s="3032" t="s">
        <v>3559</v>
      </c>
    </row>
    <row r="502" spans="1:7" ht="16.5">
      <c r="A502" s="3032">
        <v>490</v>
      </c>
      <c r="B502" s="3032" t="s">
        <v>3539</v>
      </c>
      <c r="C502" s="3032" t="s">
        <v>3571</v>
      </c>
      <c r="D502" s="3032" t="s">
        <v>3562</v>
      </c>
      <c r="E502" s="3032">
        <v>1401</v>
      </c>
      <c r="F502" s="3032">
        <v>89.27</v>
      </c>
      <c r="G502" s="3032" t="s">
        <v>3559</v>
      </c>
    </row>
    <row r="503" spans="1:7" ht="16.5">
      <c r="A503" s="3032">
        <v>491</v>
      </c>
      <c r="B503" s="3032" t="s">
        <v>3539</v>
      </c>
      <c r="C503" s="3032" t="s">
        <v>3571</v>
      </c>
      <c r="D503" s="3032" t="s">
        <v>3562</v>
      </c>
      <c r="E503" s="3032">
        <v>1402</v>
      </c>
      <c r="F503" s="3032">
        <v>88.13</v>
      </c>
      <c r="G503" s="3032" t="s">
        <v>3559</v>
      </c>
    </row>
    <row r="504" spans="1:7" ht="16.5">
      <c r="A504" s="3032">
        <v>492</v>
      </c>
      <c r="B504" s="3032" t="s">
        <v>3539</v>
      </c>
      <c r="C504" s="3032" t="s">
        <v>3571</v>
      </c>
      <c r="D504" s="3032" t="s">
        <v>3562</v>
      </c>
      <c r="E504" s="3032">
        <v>1403</v>
      </c>
      <c r="F504" s="3032">
        <v>88.13</v>
      </c>
      <c r="G504" s="3032" t="s">
        <v>3559</v>
      </c>
    </row>
    <row r="505" spans="1:7" ht="16.5">
      <c r="A505" s="3032">
        <v>493</v>
      </c>
      <c r="B505" s="3032" t="s">
        <v>3539</v>
      </c>
      <c r="C505" s="3032" t="s">
        <v>3571</v>
      </c>
      <c r="D505" s="3032" t="s">
        <v>3562</v>
      </c>
      <c r="E505" s="3032">
        <v>1404</v>
      </c>
      <c r="F505" s="3032">
        <v>86.24</v>
      </c>
      <c r="G505" s="3032" t="s">
        <v>3559</v>
      </c>
    </row>
    <row r="506" spans="1:7" ht="16.5">
      <c r="A506" s="3032">
        <v>494</v>
      </c>
      <c r="B506" s="3032" t="s">
        <v>3539</v>
      </c>
      <c r="C506" s="3032" t="s">
        <v>3571</v>
      </c>
      <c r="D506" s="3032" t="s">
        <v>3562</v>
      </c>
      <c r="E506" s="3032">
        <v>1501</v>
      </c>
      <c r="F506" s="3032">
        <v>89.27</v>
      </c>
      <c r="G506" s="3032" t="s">
        <v>3559</v>
      </c>
    </row>
    <row r="507" spans="1:7" ht="16.5">
      <c r="A507" s="3032">
        <v>495</v>
      </c>
      <c r="B507" s="3032" t="s">
        <v>3539</v>
      </c>
      <c r="C507" s="3032" t="s">
        <v>3571</v>
      </c>
      <c r="D507" s="3032" t="s">
        <v>3562</v>
      </c>
      <c r="E507" s="3032">
        <v>1502</v>
      </c>
      <c r="F507" s="3032">
        <v>88.13</v>
      </c>
      <c r="G507" s="3032" t="s">
        <v>3559</v>
      </c>
    </row>
    <row r="508" spans="1:7" ht="16.5">
      <c r="A508" s="3032">
        <v>496</v>
      </c>
      <c r="B508" s="3032" t="s">
        <v>3539</v>
      </c>
      <c r="C508" s="3032" t="s">
        <v>3571</v>
      </c>
      <c r="D508" s="3032" t="s">
        <v>3562</v>
      </c>
      <c r="E508" s="3032">
        <v>1503</v>
      </c>
      <c r="F508" s="3032">
        <v>88.13</v>
      </c>
      <c r="G508" s="3032" t="s">
        <v>3559</v>
      </c>
    </row>
    <row r="509" spans="1:7" ht="16.5">
      <c r="A509" s="3032">
        <v>497</v>
      </c>
      <c r="B509" s="3032" t="s">
        <v>3539</v>
      </c>
      <c r="C509" s="3032" t="s">
        <v>3571</v>
      </c>
      <c r="D509" s="3032" t="s">
        <v>3562</v>
      </c>
      <c r="E509" s="3032">
        <v>1504</v>
      </c>
      <c r="F509" s="3032">
        <v>86.24</v>
      </c>
      <c r="G509" s="3032" t="s">
        <v>3559</v>
      </c>
    </row>
    <row r="510" spans="1:7" ht="16.5">
      <c r="A510" s="3032">
        <v>498</v>
      </c>
      <c r="B510" s="3032" t="s">
        <v>3539</v>
      </c>
      <c r="C510" s="3032" t="s">
        <v>3571</v>
      </c>
      <c r="D510" s="3032" t="s">
        <v>3562</v>
      </c>
      <c r="E510" s="3032">
        <v>1601</v>
      </c>
      <c r="F510" s="3032">
        <v>89.27</v>
      </c>
      <c r="G510" s="3032" t="s">
        <v>3559</v>
      </c>
    </row>
    <row r="511" spans="1:7" ht="16.5">
      <c r="A511" s="3032">
        <v>499</v>
      </c>
      <c r="B511" s="3032" t="s">
        <v>3539</v>
      </c>
      <c r="C511" s="3032" t="s">
        <v>3571</v>
      </c>
      <c r="D511" s="3032" t="s">
        <v>3562</v>
      </c>
      <c r="E511" s="3032">
        <v>1602</v>
      </c>
      <c r="F511" s="3032">
        <v>88.13</v>
      </c>
      <c r="G511" s="3032" t="s">
        <v>3559</v>
      </c>
    </row>
    <row r="512" spans="1:7" ht="16.5">
      <c r="A512" s="3032">
        <v>500</v>
      </c>
      <c r="B512" s="3032" t="s">
        <v>3539</v>
      </c>
      <c r="C512" s="3032" t="s">
        <v>3571</v>
      </c>
      <c r="D512" s="3032" t="s">
        <v>3562</v>
      </c>
      <c r="E512" s="3032">
        <v>1603</v>
      </c>
      <c r="F512" s="3032">
        <v>88.13</v>
      </c>
      <c r="G512" s="3032" t="s">
        <v>3559</v>
      </c>
    </row>
    <row r="513" spans="1:7" ht="16.5">
      <c r="A513" s="3032">
        <v>501</v>
      </c>
      <c r="B513" s="3032" t="s">
        <v>3539</v>
      </c>
      <c r="C513" s="3032" t="s">
        <v>3571</v>
      </c>
      <c r="D513" s="3032" t="s">
        <v>3562</v>
      </c>
      <c r="E513" s="3032">
        <v>1604</v>
      </c>
      <c r="F513" s="3032">
        <v>86.24</v>
      </c>
      <c r="G513" s="3032" t="s">
        <v>3559</v>
      </c>
    </row>
    <row r="514" spans="1:7" ht="16.5">
      <c r="A514" s="3032">
        <v>502</v>
      </c>
      <c r="B514" s="3032" t="s">
        <v>3539</v>
      </c>
      <c r="C514" s="3032" t="s">
        <v>3571</v>
      </c>
      <c r="D514" s="3032" t="s">
        <v>3562</v>
      </c>
      <c r="E514" s="3032">
        <v>1701</v>
      </c>
      <c r="F514" s="3032">
        <v>89.27</v>
      </c>
      <c r="G514" s="3032" t="s">
        <v>3559</v>
      </c>
    </row>
    <row r="515" spans="1:7" ht="16.5">
      <c r="A515" s="3032">
        <v>503</v>
      </c>
      <c r="B515" s="3032" t="s">
        <v>3539</v>
      </c>
      <c r="C515" s="3032" t="s">
        <v>3571</v>
      </c>
      <c r="D515" s="3032" t="s">
        <v>3562</v>
      </c>
      <c r="E515" s="3032">
        <v>1702</v>
      </c>
      <c r="F515" s="3032">
        <v>88.13</v>
      </c>
      <c r="G515" s="3032" t="s">
        <v>3559</v>
      </c>
    </row>
    <row r="516" spans="1:7" ht="16.5">
      <c r="A516" s="3032">
        <v>504</v>
      </c>
      <c r="B516" s="3032" t="s">
        <v>3539</v>
      </c>
      <c r="C516" s="3032" t="s">
        <v>3571</v>
      </c>
      <c r="D516" s="3032" t="s">
        <v>3562</v>
      </c>
      <c r="E516" s="3032">
        <v>1703</v>
      </c>
      <c r="F516" s="3032">
        <v>88.13</v>
      </c>
      <c r="G516" s="3032" t="s">
        <v>3559</v>
      </c>
    </row>
    <row r="517" spans="1:7" ht="16.5">
      <c r="A517" s="3032">
        <v>505</v>
      </c>
      <c r="B517" s="3032" t="s">
        <v>3539</v>
      </c>
      <c r="C517" s="3032" t="s">
        <v>3571</v>
      </c>
      <c r="D517" s="3032" t="s">
        <v>3562</v>
      </c>
      <c r="E517" s="3032">
        <v>1704</v>
      </c>
      <c r="F517" s="3032">
        <v>86.24</v>
      </c>
      <c r="G517" s="3032" t="s">
        <v>3559</v>
      </c>
    </row>
    <row r="518" spans="1:7" ht="16.5">
      <c r="A518" s="3032">
        <v>506</v>
      </c>
      <c r="B518" s="3032" t="s">
        <v>3539</v>
      </c>
      <c r="C518" s="3032" t="s">
        <v>3571</v>
      </c>
      <c r="D518" s="3032" t="s">
        <v>3565</v>
      </c>
      <c r="E518" s="3032">
        <v>101</v>
      </c>
      <c r="F518" s="3032">
        <v>86.24</v>
      </c>
      <c r="G518" s="3032"/>
    </row>
    <row r="519" spans="1:7" ht="16.5">
      <c r="A519" s="3032">
        <v>507</v>
      </c>
      <c r="B519" s="3032" t="s">
        <v>3539</v>
      </c>
      <c r="C519" s="3032" t="s">
        <v>3571</v>
      </c>
      <c r="D519" s="3032" t="s">
        <v>3565</v>
      </c>
      <c r="E519" s="3032">
        <v>102</v>
      </c>
      <c r="F519" s="3032">
        <v>87.97</v>
      </c>
      <c r="G519" s="3032"/>
    </row>
    <row r="520" spans="1:7" ht="16.5">
      <c r="A520" s="3032">
        <v>508</v>
      </c>
      <c r="B520" s="3032" t="s">
        <v>3539</v>
      </c>
      <c r="C520" s="3032" t="s">
        <v>3571</v>
      </c>
      <c r="D520" s="3032" t="s">
        <v>3565</v>
      </c>
      <c r="E520" s="3032">
        <v>103</v>
      </c>
      <c r="F520" s="3032">
        <v>47.28</v>
      </c>
      <c r="G520" s="3032"/>
    </row>
    <row r="521" spans="1:7" ht="16.5">
      <c r="A521" s="3032">
        <v>509</v>
      </c>
      <c r="B521" s="3032" t="s">
        <v>3539</v>
      </c>
      <c r="C521" s="3032" t="s">
        <v>3571</v>
      </c>
      <c r="D521" s="3032" t="s">
        <v>3565</v>
      </c>
      <c r="E521" s="3032">
        <v>104</v>
      </c>
      <c r="F521" s="3032">
        <v>89.27</v>
      </c>
      <c r="G521" s="3032"/>
    </row>
    <row r="522" spans="1:7" ht="16.5">
      <c r="A522" s="3032">
        <v>510</v>
      </c>
      <c r="B522" s="3032" t="s">
        <v>3539</v>
      </c>
      <c r="C522" s="3032" t="s">
        <v>3571</v>
      </c>
      <c r="D522" s="3032" t="s">
        <v>3565</v>
      </c>
      <c r="E522" s="3032">
        <v>201</v>
      </c>
      <c r="F522" s="3032">
        <v>86.24</v>
      </c>
      <c r="G522" s="3032" t="s">
        <v>3559</v>
      </c>
    </row>
    <row r="523" spans="1:7" ht="16.5">
      <c r="A523" s="3032">
        <v>511</v>
      </c>
      <c r="B523" s="3032" t="s">
        <v>3539</v>
      </c>
      <c r="C523" s="3032" t="s">
        <v>3571</v>
      </c>
      <c r="D523" s="3032" t="s">
        <v>3565</v>
      </c>
      <c r="E523" s="3032">
        <v>202</v>
      </c>
      <c r="F523" s="3032">
        <v>88.13</v>
      </c>
      <c r="G523" s="3032" t="s">
        <v>3559</v>
      </c>
    </row>
    <row r="524" spans="1:7" ht="16.5">
      <c r="A524" s="3032">
        <v>512</v>
      </c>
      <c r="B524" s="3032" t="s">
        <v>3539</v>
      </c>
      <c r="C524" s="3032" t="s">
        <v>3571</v>
      </c>
      <c r="D524" s="3032" t="s">
        <v>3565</v>
      </c>
      <c r="E524" s="3032">
        <v>203</v>
      </c>
      <c r="F524" s="3032">
        <v>88.13</v>
      </c>
      <c r="G524" s="3032" t="s">
        <v>3559</v>
      </c>
    </row>
    <row r="525" spans="1:7" ht="16.5">
      <c r="A525" s="3032">
        <v>513</v>
      </c>
      <c r="B525" s="3032" t="s">
        <v>3539</v>
      </c>
      <c r="C525" s="3032" t="s">
        <v>3571</v>
      </c>
      <c r="D525" s="3032" t="s">
        <v>3565</v>
      </c>
      <c r="E525" s="3032">
        <v>204</v>
      </c>
      <c r="F525" s="3032">
        <v>89.27</v>
      </c>
      <c r="G525" s="3032" t="s">
        <v>3559</v>
      </c>
    </row>
    <row r="526" spans="1:7" ht="16.5">
      <c r="A526" s="3032">
        <v>514</v>
      </c>
      <c r="B526" s="3032" t="s">
        <v>3539</v>
      </c>
      <c r="C526" s="3032" t="s">
        <v>3571</v>
      </c>
      <c r="D526" s="3032" t="s">
        <v>3565</v>
      </c>
      <c r="E526" s="3032">
        <v>301</v>
      </c>
      <c r="F526" s="3032">
        <v>86.24</v>
      </c>
      <c r="G526" s="3032" t="s">
        <v>3559</v>
      </c>
    </row>
    <row r="527" spans="1:7" ht="16.5">
      <c r="A527" s="3032">
        <v>515</v>
      </c>
      <c r="B527" s="3032" t="s">
        <v>3539</v>
      </c>
      <c r="C527" s="3032" t="s">
        <v>3571</v>
      </c>
      <c r="D527" s="3032" t="s">
        <v>3565</v>
      </c>
      <c r="E527" s="3032">
        <v>302</v>
      </c>
      <c r="F527" s="3032">
        <v>88.13</v>
      </c>
      <c r="G527" s="3032" t="s">
        <v>3559</v>
      </c>
    </row>
    <row r="528" spans="1:7" ht="16.5">
      <c r="A528" s="3032">
        <v>516</v>
      </c>
      <c r="B528" s="3032" t="s">
        <v>3539</v>
      </c>
      <c r="C528" s="3032" t="s">
        <v>3571</v>
      </c>
      <c r="D528" s="3032" t="s">
        <v>3565</v>
      </c>
      <c r="E528" s="3032">
        <v>303</v>
      </c>
      <c r="F528" s="3032">
        <v>88.13</v>
      </c>
      <c r="G528" s="3032" t="s">
        <v>3559</v>
      </c>
    </row>
    <row r="529" spans="1:7" ht="16.5">
      <c r="A529" s="3032">
        <v>517</v>
      </c>
      <c r="B529" s="3032" t="s">
        <v>3539</v>
      </c>
      <c r="C529" s="3032" t="s">
        <v>3571</v>
      </c>
      <c r="D529" s="3032" t="s">
        <v>3565</v>
      </c>
      <c r="E529" s="3032">
        <v>304</v>
      </c>
      <c r="F529" s="3032">
        <v>89.27</v>
      </c>
      <c r="G529" s="3032" t="s">
        <v>3559</v>
      </c>
    </row>
    <row r="530" spans="1:7" ht="16.5">
      <c r="A530" s="3032">
        <v>518</v>
      </c>
      <c r="B530" s="3032" t="s">
        <v>3539</v>
      </c>
      <c r="C530" s="3032" t="s">
        <v>3571</v>
      </c>
      <c r="D530" s="3032" t="s">
        <v>3565</v>
      </c>
      <c r="E530" s="3032">
        <v>401</v>
      </c>
      <c r="F530" s="3032">
        <v>86.24</v>
      </c>
      <c r="G530" s="3032" t="s">
        <v>3559</v>
      </c>
    </row>
    <row r="531" spans="1:7" ht="16.5">
      <c r="A531" s="3032">
        <v>519</v>
      </c>
      <c r="B531" s="3032" t="s">
        <v>3539</v>
      </c>
      <c r="C531" s="3032" t="s">
        <v>3571</v>
      </c>
      <c r="D531" s="3032" t="s">
        <v>3565</v>
      </c>
      <c r="E531" s="3032">
        <v>402</v>
      </c>
      <c r="F531" s="3032">
        <v>88.13</v>
      </c>
      <c r="G531" s="3032" t="s">
        <v>3559</v>
      </c>
    </row>
    <row r="532" spans="1:7" ht="16.5">
      <c r="A532" s="3032">
        <v>520</v>
      </c>
      <c r="B532" s="3032" t="s">
        <v>3539</v>
      </c>
      <c r="C532" s="3032" t="s">
        <v>3571</v>
      </c>
      <c r="D532" s="3032" t="s">
        <v>3565</v>
      </c>
      <c r="E532" s="3032">
        <v>403</v>
      </c>
      <c r="F532" s="3032">
        <v>88.13</v>
      </c>
      <c r="G532" s="3032" t="s">
        <v>3559</v>
      </c>
    </row>
    <row r="533" spans="1:7" ht="16.5">
      <c r="A533" s="3032">
        <v>521</v>
      </c>
      <c r="B533" s="3032" t="s">
        <v>3539</v>
      </c>
      <c r="C533" s="3032" t="s">
        <v>3571</v>
      </c>
      <c r="D533" s="3032" t="s">
        <v>3565</v>
      </c>
      <c r="E533" s="3032">
        <v>404</v>
      </c>
      <c r="F533" s="3032">
        <v>89.27</v>
      </c>
      <c r="G533" s="3032" t="s">
        <v>3559</v>
      </c>
    </row>
    <row r="534" spans="1:7" ht="16.5">
      <c r="A534" s="3032">
        <v>522</v>
      </c>
      <c r="B534" s="3032" t="s">
        <v>3539</v>
      </c>
      <c r="C534" s="3032" t="s">
        <v>3571</v>
      </c>
      <c r="D534" s="3032" t="s">
        <v>3565</v>
      </c>
      <c r="E534" s="3032">
        <v>501</v>
      </c>
      <c r="F534" s="3032">
        <v>86.24</v>
      </c>
      <c r="G534" s="3032" t="s">
        <v>3559</v>
      </c>
    </row>
    <row r="535" spans="1:7" ht="16.5">
      <c r="A535" s="3032">
        <v>523</v>
      </c>
      <c r="B535" s="3032" t="s">
        <v>3539</v>
      </c>
      <c r="C535" s="3032" t="s">
        <v>3571</v>
      </c>
      <c r="D535" s="3032" t="s">
        <v>3565</v>
      </c>
      <c r="E535" s="3032">
        <v>502</v>
      </c>
      <c r="F535" s="3032">
        <v>88.13</v>
      </c>
      <c r="G535" s="3032" t="s">
        <v>3559</v>
      </c>
    </row>
    <row r="536" spans="1:7" ht="16.5">
      <c r="A536" s="3032">
        <v>524</v>
      </c>
      <c r="B536" s="3032" t="s">
        <v>3539</v>
      </c>
      <c r="C536" s="3032" t="s">
        <v>3571</v>
      </c>
      <c r="D536" s="3032" t="s">
        <v>3565</v>
      </c>
      <c r="E536" s="3032">
        <v>503</v>
      </c>
      <c r="F536" s="3032">
        <v>88.13</v>
      </c>
      <c r="G536" s="3032" t="s">
        <v>3559</v>
      </c>
    </row>
    <row r="537" spans="1:7" ht="16.5">
      <c r="A537" s="3032">
        <v>525</v>
      </c>
      <c r="B537" s="3032" t="s">
        <v>3539</v>
      </c>
      <c r="C537" s="3032" t="s">
        <v>3571</v>
      </c>
      <c r="D537" s="3032" t="s">
        <v>3565</v>
      </c>
      <c r="E537" s="3032">
        <v>504</v>
      </c>
      <c r="F537" s="3032">
        <v>89.27</v>
      </c>
      <c r="G537" s="3032" t="s">
        <v>3559</v>
      </c>
    </row>
    <row r="538" spans="1:7" ht="16.5">
      <c r="A538" s="3032">
        <v>526</v>
      </c>
      <c r="B538" s="3032" t="s">
        <v>3539</v>
      </c>
      <c r="C538" s="3032" t="s">
        <v>3571</v>
      </c>
      <c r="D538" s="3032" t="s">
        <v>3565</v>
      </c>
      <c r="E538" s="3032">
        <v>601</v>
      </c>
      <c r="F538" s="3032">
        <v>86.24</v>
      </c>
      <c r="G538" s="3032" t="s">
        <v>3559</v>
      </c>
    </row>
    <row r="539" spans="1:7" ht="16.5">
      <c r="A539" s="3032">
        <v>527</v>
      </c>
      <c r="B539" s="3032" t="s">
        <v>3539</v>
      </c>
      <c r="C539" s="3032" t="s">
        <v>3571</v>
      </c>
      <c r="D539" s="3032" t="s">
        <v>3565</v>
      </c>
      <c r="E539" s="3032">
        <v>602</v>
      </c>
      <c r="F539" s="3032">
        <v>88.13</v>
      </c>
      <c r="G539" s="3032" t="s">
        <v>3559</v>
      </c>
    </row>
    <row r="540" spans="1:7" ht="16.5">
      <c r="A540" s="3032">
        <v>528</v>
      </c>
      <c r="B540" s="3032" t="s">
        <v>3539</v>
      </c>
      <c r="C540" s="3032" t="s">
        <v>3571</v>
      </c>
      <c r="D540" s="3032" t="s">
        <v>3565</v>
      </c>
      <c r="E540" s="3032">
        <v>603</v>
      </c>
      <c r="F540" s="3032">
        <v>88.13</v>
      </c>
      <c r="G540" s="3032" t="s">
        <v>3559</v>
      </c>
    </row>
    <row r="541" spans="1:7" ht="16.5">
      <c r="A541" s="3032">
        <v>529</v>
      </c>
      <c r="B541" s="3032" t="s">
        <v>3539</v>
      </c>
      <c r="C541" s="3032" t="s">
        <v>3571</v>
      </c>
      <c r="D541" s="3032" t="s">
        <v>3565</v>
      </c>
      <c r="E541" s="3032">
        <v>604</v>
      </c>
      <c r="F541" s="3032">
        <v>89.27</v>
      </c>
      <c r="G541" s="3032" t="s">
        <v>3559</v>
      </c>
    </row>
    <row r="542" spans="1:7" ht="16.5">
      <c r="A542" s="3032">
        <v>530</v>
      </c>
      <c r="B542" s="3032" t="s">
        <v>3539</v>
      </c>
      <c r="C542" s="3032" t="s">
        <v>3571</v>
      </c>
      <c r="D542" s="3032" t="s">
        <v>3565</v>
      </c>
      <c r="E542" s="3032">
        <v>701</v>
      </c>
      <c r="F542" s="3032">
        <v>86.24</v>
      </c>
      <c r="G542" s="3032" t="s">
        <v>3559</v>
      </c>
    </row>
    <row r="543" spans="1:7" ht="16.5">
      <c r="A543" s="3032">
        <v>531</v>
      </c>
      <c r="B543" s="3032" t="s">
        <v>3539</v>
      </c>
      <c r="C543" s="3032" t="s">
        <v>3571</v>
      </c>
      <c r="D543" s="3032" t="s">
        <v>3565</v>
      </c>
      <c r="E543" s="3032">
        <v>702</v>
      </c>
      <c r="F543" s="3032">
        <v>88.13</v>
      </c>
      <c r="G543" s="3032" t="s">
        <v>3559</v>
      </c>
    </row>
    <row r="544" spans="1:7" ht="16.5">
      <c r="A544" s="3032">
        <v>532</v>
      </c>
      <c r="B544" s="3032" t="s">
        <v>3539</v>
      </c>
      <c r="C544" s="3032" t="s">
        <v>3571</v>
      </c>
      <c r="D544" s="3032" t="s">
        <v>3565</v>
      </c>
      <c r="E544" s="3032">
        <v>703</v>
      </c>
      <c r="F544" s="3032">
        <v>88.13</v>
      </c>
      <c r="G544" s="3032" t="s">
        <v>3559</v>
      </c>
    </row>
    <row r="545" spans="1:7" ht="16.5">
      <c r="A545" s="3032">
        <v>533</v>
      </c>
      <c r="B545" s="3032" t="s">
        <v>3539</v>
      </c>
      <c r="C545" s="3032" t="s">
        <v>3571</v>
      </c>
      <c r="D545" s="3032" t="s">
        <v>3565</v>
      </c>
      <c r="E545" s="3032">
        <v>704</v>
      </c>
      <c r="F545" s="3032">
        <v>89.27</v>
      </c>
      <c r="G545" s="3032" t="s">
        <v>3559</v>
      </c>
    </row>
    <row r="546" spans="1:7" ht="16.5">
      <c r="A546" s="3032">
        <v>534</v>
      </c>
      <c r="B546" s="3032" t="s">
        <v>3539</v>
      </c>
      <c r="C546" s="3032" t="s">
        <v>3571</v>
      </c>
      <c r="D546" s="3032" t="s">
        <v>3565</v>
      </c>
      <c r="E546" s="3032">
        <v>801</v>
      </c>
      <c r="F546" s="3032">
        <v>86.24</v>
      </c>
      <c r="G546" s="3032" t="s">
        <v>3559</v>
      </c>
    </row>
    <row r="547" spans="1:7" ht="16.5">
      <c r="A547" s="3032">
        <v>535</v>
      </c>
      <c r="B547" s="3032" t="s">
        <v>3539</v>
      </c>
      <c r="C547" s="3032" t="s">
        <v>3571</v>
      </c>
      <c r="D547" s="3032" t="s">
        <v>3565</v>
      </c>
      <c r="E547" s="3032">
        <v>802</v>
      </c>
      <c r="F547" s="3032">
        <v>88.13</v>
      </c>
      <c r="G547" s="3032" t="s">
        <v>3559</v>
      </c>
    </row>
    <row r="548" spans="1:7" ht="16.5">
      <c r="A548" s="3032">
        <v>536</v>
      </c>
      <c r="B548" s="3032" t="s">
        <v>3539</v>
      </c>
      <c r="C548" s="3032" t="s">
        <v>3571</v>
      </c>
      <c r="D548" s="3032" t="s">
        <v>3565</v>
      </c>
      <c r="E548" s="3032">
        <v>803</v>
      </c>
      <c r="F548" s="3032">
        <v>88.13</v>
      </c>
      <c r="G548" s="3032" t="s">
        <v>3559</v>
      </c>
    </row>
    <row r="549" spans="1:7" ht="16.5">
      <c r="A549" s="3032">
        <v>537</v>
      </c>
      <c r="B549" s="3032" t="s">
        <v>3539</v>
      </c>
      <c r="C549" s="3032" t="s">
        <v>3571</v>
      </c>
      <c r="D549" s="3032" t="s">
        <v>3565</v>
      </c>
      <c r="E549" s="3032">
        <v>804</v>
      </c>
      <c r="F549" s="3032">
        <v>89.27</v>
      </c>
      <c r="G549" s="3032" t="s">
        <v>3559</v>
      </c>
    </row>
    <row r="550" spans="1:7" ht="16.5">
      <c r="A550" s="3032">
        <v>538</v>
      </c>
      <c r="B550" s="3032" t="s">
        <v>3539</v>
      </c>
      <c r="C550" s="3032" t="s">
        <v>3571</v>
      </c>
      <c r="D550" s="3032" t="s">
        <v>3565</v>
      </c>
      <c r="E550" s="3032">
        <v>901</v>
      </c>
      <c r="F550" s="3032">
        <v>86.24</v>
      </c>
      <c r="G550" s="3032" t="s">
        <v>3559</v>
      </c>
    </row>
    <row r="551" spans="1:7" ht="16.5">
      <c r="A551" s="3032">
        <v>539</v>
      </c>
      <c r="B551" s="3032" t="s">
        <v>3539</v>
      </c>
      <c r="C551" s="3032" t="s">
        <v>3571</v>
      </c>
      <c r="D551" s="3032" t="s">
        <v>3565</v>
      </c>
      <c r="E551" s="3032">
        <v>902</v>
      </c>
      <c r="F551" s="3032">
        <v>88.13</v>
      </c>
      <c r="G551" s="3032" t="s">
        <v>3559</v>
      </c>
    </row>
    <row r="552" spans="1:7" ht="16.5">
      <c r="A552" s="3032">
        <v>540</v>
      </c>
      <c r="B552" s="3032" t="s">
        <v>3539</v>
      </c>
      <c r="C552" s="3032" t="s">
        <v>3571</v>
      </c>
      <c r="D552" s="3032" t="s">
        <v>3565</v>
      </c>
      <c r="E552" s="3032">
        <v>903</v>
      </c>
      <c r="F552" s="3032">
        <v>88.13</v>
      </c>
      <c r="G552" s="3032" t="s">
        <v>3559</v>
      </c>
    </row>
    <row r="553" spans="1:7" ht="16.5">
      <c r="A553" s="3032">
        <v>541</v>
      </c>
      <c r="B553" s="3032" t="s">
        <v>3539</v>
      </c>
      <c r="C553" s="3032" t="s">
        <v>3571</v>
      </c>
      <c r="D553" s="3032" t="s">
        <v>3565</v>
      </c>
      <c r="E553" s="3032">
        <v>904</v>
      </c>
      <c r="F553" s="3032">
        <v>89.27</v>
      </c>
      <c r="G553" s="3032" t="s">
        <v>3559</v>
      </c>
    </row>
    <row r="554" spans="1:7" ht="16.5">
      <c r="A554" s="3032">
        <v>542</v>
      </c>
      <c r="B554" s="3032" t="s">
        <v>3539</v>
      </c>
      <c r="C554" s="3032" t="s">
        <v>3571</v>
      </c>
      <c r="D554" s="3032" t="s">
        <v>3565</v>
      </c>
      <c r="E554" s="3032">
        <v>1001</v>
      </c>
      <c r="F554" s="3032">
        <v>86.24</v>
      </c>
      <c r="G554" s="3032" t="s">
        <v>3559</v>
      </c>
    </row>
    <row r="555" spans="1:7" ht="16.5">
      <c r="A555" s="3032">
        <v>543</v>
      </c>
      <c r="B555" s="3032" t="s">
        <v>3539</v>
      </c>
      <c r="C555" s="3032" t="s">
        <v>3571</v>
      </c>
      <c r="D555" s="3032" t="s">
        <v>3565</v>
      </c>
      <c r="E555" s="3032">
        <v>1002</v>
      </c>
      <c r="F555" s="3032">
        <v>88.13</v>
      </c>
      <c r="G555" s="3032" t="s">
        <v>3559</v>
      </c>
    </row>
    <row r="556" spans="1:7" ht="16.5">
      <c r="A556" s="3032">
        <v>544</v>
      </c>
      <c r="B556" s="3032" t="s">
        <v>3539</v>
      </c>
      <c r="C556" s="3032" t="s">
        <v>3571</v>
      </c>
      <c r="D556" s="3032" t="s">
        <v>3565</v>
      </c>
      <c r="E556" s="3032">
        <v>1003</v>
      </c>
      <c r="F556" s="3032">
        <v>88.13</v>
      </c>
      <c r="G556" s="3032" t="s">
        <v>3559</v>
      </c>
    </row>
    <row r="557" spans="1:7" ht="16.5">
      <c r="A557" s="3032">
        <v>545</v>
      </c>
      <c r="B557" s="3032" t="s">
        <v>3539</v>
      </c>
      <c r="C557" s="3032" t="s">
        <v>3571</v>
      </c>
      <c r="D557" s="3032" t="s">
        <v>3565</v>
      </c>
      <c r="E557" s="3032">
        <v>1004</v>
      </c>
      <c r="F557" s="3032">
        <v>89.27</v>
      </c>
      <c r="G557" s="3032" t="s">
        <v>3559</v>
      </c>
    </row>
    <row r="558" spans="1:7" ht="16.5">
      <c r="A558" s="3032">
        <v>546</v>
      </c>
      <c r="B558" s="3032" t="s">
        <v>3539</v>
      </c>
      <c r="C558" s="3032" t="s">
        <v>3571</v>
      </c>
      <c r="D558" s="3032" t="s">
        <v>3565</v>
      </c>
      <c r="E558" s="3032">
        <v>1101</v>
      </c>
      <c r="F558" s="3032">
        <v>86.24</v>
      </c>
      <c r="G558" s="3032" t="s">
        <v>3559</v>
      </c>
    </row>
    <row r="559" spans="1:7" ht="16.5">
      <c r="A559" s="3032">
        <v>547</v>
      </c>
      <c r="B559" s="3032" t="s">
        <v>3539</v>
      </c>
      <c r="C559" s="3032" t="s">
        <v>3571</v>
      </c>
      <c r="D559" s="3032" t="s">
        <v>3565</v>
      </c>
      <c r="E559" s="3032">
        <v>1102</v>
      </c>
      <c r="F559" s="3032">
        <v>88.13</v>
      </c>
      <c r="G559" s="3032" t="s">
        <v>3559</v>
      </c>
    </row>
    <row r="560" spans="1:7" ht="16.5">
      <c r="A560" s="3032">
        <v>548</v>
      </c>
      <c r="B560" s="3032" t="s">
        <v>3539</v>
      </c>
      <c r="C560" s="3032" t="s">
        <v>3571</v>
      </c>
      <c r="D560" s="3032" t="s">
        <v>3565</v>
      </c>
      <c r="E560" s="3032">
        <v>1103</v>
      </c>
      <c r="F560" s="3032">
        <v>88.13</v>
      </c>
      <c r="G560" s="3032" t="s">
        <v>3559</v>
      </c>
    </row>
    <row r="561" spans="1:7" ht="16.5">
      <c r="A561" s="3032">
        <v>549</v>
      </c>
      <c r="B561" s="3032" t="s">
        <v>3539</v>
      </c>
      <c r="C561" s="3032" t="s">
        <v>3571</v>
      </c>
      <c r="D561" s="3032" t="s">
        <v>3565</v>
      </c>
      <c r="E561" s="3032">
        <v>1104</v>
      </c>
      <c r="F561" s="3032">
        <v>89.27</v>
      </c>
      <c r="G561" s="3032" t="s">
        <v>3559</v>
      </c>
    </row>
    <row r="562" spans="1:7" ht="16.5">
      <c r="A562" s="3032">
        <v>550</v>
      </c>
      <c r="B562" s="3032" t="s">
        <v>3539</v>
      </c>
      <c r="C562" s="3032" t="s">
        <v>3571</v>
      </c>
      <c r="D562" s="3032" t="s">
        <v>3565</v>
      </c>
      <c r="E562" s="3032">
        <v>1201</v>
      </c>
      <c r="F562" s="3032">
        <v>86.24</v>
      </c>
      <c r="G562" s="3032" t="s">
        <v>3559</v>
      </c>
    </row>
    <row r="563" spans="1:7" ht="16.5">
      <c r="A563" s="3032">
        <v>551</v>
      </c>
      <c r="B563" s="3032" t="s">
        <v>3539</v>
      </c>
      <c r="C563" s="3032" t="s">
        <v>3571</v>
      </c>
      <c r="D563" s="3032" t="s">
        <v>3565</v>
      </c>
      <c r="E563" s="3032">
        <v>1202</v>
      </c>
      <c r="F563" s="3032">
        <v>88.13</v>
      </c>
      <c r="G563" s="3032" t="s">
        <v>3559</v>
      </c>
    </row>
    <row r="564" spans="1:7" ht="16.5">
      <c r="A564" s="3032">
        <v>552</v>
      </c>
      <c r="B564" s="3032" t="s">
        <v>3539</v>
      </c>
      <c r="C564" s="3032" t="s">
        <v>3571</v>
      </c>
      <c r="D564" s="3032" t="s">
        <v>3565</v>
      </c>
      <c r="E564" s="3032">
        <v>1203</v>
      </c>
      <c r="F564" s="3032">
        <v>88.13</v>
      </c>
      <c r="G564" s="3032" t="s">
        <v>3559</v>
      </c>
    </row>
    <row r="565" spans="1:7" ht="16.5">
      <c r="A565" s="3032">
        <v>553</v>
      </c>
      <c r="B565" s="3032" t="s">
        <v>3539</v>
      </c>
      <c r="C565" s="3032" t="s">
        <v>3571</v>
      </c>
      <c r="D565" s="3032" t="s">
        <v>3565</v>
      </c>
      <c r="E565" s="3032">
        <v>1204</v>
      </c>
      <c r="F565" s="3032">
        <v>89.27</v>
      </c>
      <c r="G565" s="3032" t="s">
        <v>3559</v>
      </c>
    </row>
    <row r="566" spans="1:7" ht="16.5">
      <c r="A566" s="3032">
        <v>554</v>
      </c>
      <c r="B566" s="3032" t="s">
        <v>3539</v>
      </c>
      <c r="C566" s="3032" t="s">
        <v>3571</v>
      </c>
      <c r="D566" s="3032" t="s">
        <v>3565</v>
      </c>
      <c r="E566" s="3032">
        <v>1301</v>
      </c>
      <c r="F566" s="3032">
        <v>86.24</v>
      </c>
      <c r="G566" s="3032" t="s">
        <v>3559</v>
      </c>
    </row>
    <row r="567" spans="1:7" ht="16.5">
      <c r="A567" s="3032">
        <v>555</v>
      </c>
      <c r="B567" s="3032" t="s">
        <v>3539</v>
      </c>
      <c r="C567" s="3032" t="s">
        <v>3571</v>
      </c>
      <c r="D567" s="3032" t="s">
        <v>3565</v>
      </c>
      <c r="E567" s="3032">
        <v>1302</v>
      </c>
      <c r="F567" s="3032">
        <v>88.13</v>
      </c>
      <c r="G567" s="3032" t="s">
        <v>3559</v>
      </c>
    </row>
    <row r="568" spans="1:7" ht="16.5">
      <c r="A568" s="3032">
        <v>556</v>
      </c>
      <c r="B568" s="3032" t="s">
        <v>3539</v>
      </c>
      <c r="C568" s="3032" t="s">
        <v>3571</v>
      </c>
      <c r="D568" s="3032" t="s">
        <v>3565</v>
      </c>
      <c r="E568" s="3032">
        <v>1303</v>
      </c>
      <c r="F568" s="3032">
        <v>88.13</v>
      </c>
      <c r="G568" s="3032" t="s">
        <v>3559</v>
      </c>
    </row>
    <row r="569" spans="1:7" ht="16.5">
      <c r="A569" s="3032">
        <v>557</v>
      </c>
      <c r="B569" s="3032" t="s">
        <v>3539</v>
      </c>
      <c r="C569" s="3032" t="s">
        <v>3571</v>
      </c>
      <c r="D569" s="3032" t="s">
        <v>3565</v>
      </c>
      <c r="E569" s="3032">
        <v>1304</v>
      </c>
      <c r="F569" s="3032">
        <v>89.27</v>
      </c>
      <c r="G569" s="3032" t="s">
        <v>3559</v>
      </c>
    </row>
    <row r="570" spans="1:7" ht="16.5">
      <c r="A570" s="3032">
        <v>558</v>
      </c>
      <c r="B570" s="3032" t="s">
        <v>3539</v>
      </c>
      <c r="C570" s="3032" t="s">
        <v>3571</v>
      </c>
      <c r="D570" s="3032" t="s">
        <v>3565</v>
      </c>
      <c r="E570" s="3032">
        <v>1401</v>
      </c>
      <c r="F570" s="3032">
        <v>86.24</v>
      </c>
      <c r="G570" s="3032" t="s">
        <v>3559</v>
      </c>
    </row>
    <row r="571" spans="1:7" ht="16.5">
      <c r="A571" s="3032">
        <v>559</v>
      </c>
      <c r="B571" s="3032" t="s">
        <v>3539</v>
      </c>
      <c r="C571" s="3032" t="s">
        <v>3571</v>
      </c>
      <c r="D571" s="3032" t="s">
        <v>3565</v>
      </c>
      <c r="E571" s="3032">
        <v>1402</v>
      </c>
      <c r="F571" s="3032">
        <v>88.13</v>
      </c>
      <c r="G571" s="3032" t="s">
        <v>3559</v>
      </c>
    </row>
    <row r="572" spans="1:7" ht="16.5">
      <c r="A572" s="3032">
        <v>560</v>
      </c>
      <c r="B572" s="3032" t="s">
        <v>3539</v>
      </c>
      <c r="C572" s="3032" t="s">
        <v>3571</v>
      </c>
      <c r="D572" s="3032" t="s">
        <v>3565</v>
      </c>
      <c r="E572" s="3032">
        <v>1403</v>
      </c>
      <c r="F572" s="3032">
        <v>88.13</v>
      </c>
      <c r="G572" s="3032" t="s">
        <v>3559</v>
      </c>
    </row>
    <row r="573" spans="1:7" ht="16.5">
      <c r="A573" s="3032">
        <v>561</v>
      </c>
      <c r="B573" s="3032" t="s">
        <v>3539</v>
      </c>
      <c r="C573" s="3032" t="s">
        <v>3571</v>
      </c>
      <c r="D573" s="3032" t="s">
        <v>3565</v>
      </c>
      <c r="E573" s="3032">
        <v>1404</v>
      </c>
      <c r="F573" s="3032">
        <v>89.27</v>
      </c>
      <c r="G573" s="3032" t="s">
        <v>3559</v>
      </c>
    </row>
    <row r="574" spans="1:7" ht="16.5">
      <c r="A574" s="3032">
        <v>562</v>
      </c>
      <c r="B574" s="3032" t="s">
        <v>3539</v>
      </c>
      <c r="C574" s="3032" t="s">
        <v>3571</v>
      </c>
      <c r="D574" s="3032" t="s">
        <v>3565</v>
      </c>
      <c r="E574" s="3032">
        <v>1501</v>
      </c>
      <c r="F574" s="3032">
        <v>86.24</v>
      </c>
      <c r="G574" s="3032" t="s">
        <v>3559</v>
      </c>
    </row>
    <row r="575" spans="1:7" ht="16.5">
      <c r="A575" s="3032">
        <v>563</v>
      </c>
      <c r="B575" s="3032" t="s">
        <v>3539</v>
      </c>
      <c r="C575" s="3032" t="s">
        <v>3571</v>
      </c>
      <c r="D575" s="3032" t="s">
        <v>3565</v>
      </c>
      <c r="E575" s="3032">
        <v>1502</v>
      </c>
      <c r="F575" s="3032">
        <v>88.13</v>
      </c>
      <c r="G575" s="3032" t="s">
        <v>3559</v>
      </c>
    </row>
    <row r="576" spans="1:7" ht="16.5">
      <c r="A576" s="3032">
        <v>564</v>
      </c>
      <c r="B576" s="3032" t="s">
        <v>3539</v>
      </c>
      <c r="C576" s="3032" t="s">
        <v>3571</v>
      </c>
      <c r="D576" s="3032" t="s">
        <v>3565</v>
      </c>
      <c r="E576" s="3032">
        <v>1503</v>
      </c>
      <c r="F576" s="3032">
        <v>88.13</v>
      </c>
      <c r="G576" s="3032" t="s">
        <v>3559</v>
      </c>
    </row>
    <row r="577" spans="1:7" ht="16.5">
      <c r="A577" s="3032">
        <v>565</v>
      </c>
      <c r="B577" s="3032" t="s">
        <v>3539</v>
      </c>
      <c r="C577" s="3032" t="s">
        <v>3571</v>
      </c>
      <c r="D577" s="3032" t="s">
        <v>3565</v>
      </c>
      <c r="E577" s="3032">
        <v>1504</v>
      </c>
      <c r="F577" s="3032">
        <v>89.27</v>
      </c>
      <c r="G577" s="3032" t="s">
        <v>3559</v>
      </c>
    </row>
    <row r="578" spans="1:7" ht="16.5">
      <c r="A578" s="3032">
        <v>566</v>
      </c>
      <c r="B578" s="3032" t="s">
        <v>3539</v>
      </c>
      <c r="C578" s="3032" t="s">
        <v>3571</v>
      </c>
      <c r="D578" s="3032" t="s">
        <v>3565</v>
      </c>
      <c r="E578" s="3032">
        <v>1601</v>
      </c>
      <c r="F578" s="3032">
        <v>86.24</v>
      </c>
      <c r="G578" s="3032" t="s">
        <v>3559</v>
      </c>
    </row>
    <row r="579" spans="1:7" ht="16.5">
      <c r="A579" s="3032">
        <v>567</v>
      </c>
      <c r="B579" s="3032" t="s">
        <v>3539</v>
      </c>
      <c r="C579" s="3032" t="s">
        <v>3571</v>
      </c>
      <c r="D579" s="3032" t="s">
        <v>3565</v>
      </c>
      <c r="E579" s="3032">
        <v>1602</v>
      </c>
      <c r="F579" s="3032">
        <v>88.13</v>
      </c>
      <c r="G579" s="3032" t="s">
        <v>3559</v>
      </c>
    </row>
    <row r="580" spans="1:7" ht="16.5">
      <c r="A580" s="3032">
        <v>568</v>
      </c>
      <c r="B580" s="3032" t="s">
        <v>3539</v>
      </c>
      <c r="C580" s="3032" t="s">
        <v>3571</v>
      </c>
      <c r="D580" s="3032" t="s">
        <v>3565</v>
      </c>
      <c r="E580" s="3032">
        <v>1603</v>
      </c>
      <c r="F580" s="3032">
        <v>88.13</v>
      </c>
      <c r="G580" s="3032" t="s">
        <v>3559</v>
      </c>
    </row>
    <row r="581" spans="1:7" ht="16.5">
      <c r="A581" s="3032">
        <v>569</v>
      </c>
      <c r="B581" s="3032" t="s">
        <v>3539</v>
      </c>
      <c r="C581" s="3032" t="s">
        <v>3571</v>
      </c>
      <c r="D581" s="3032" t="s">
        <v>3565</v>
      </c>
      <c r="E581" s="3032">
        <v>1604</v>
      </c>
      <c r="F581" s="3032">
        <v>89.27</v>
      </c>
      <c r="G581" s="3032" t="s">
        <v>3559</v>
      </c>
    </row>
    <row r="582" spans="1:7" ht="16.5">
      <c r="A582" s="3032">
        <v>570</v>
      </c>
      <c r="B582" s="3032" t="s">
        <v>3539</v>
      </c>
      <c r="C582" s="3032" t="s">
        <v>3571</v>
      </c>
      <c r="D582" s="3032" t="s">
        <v>3565</v>
      </c>
      <c r="E582" s="3032">
        <v>1701</v>
      </c>
      <c r="F582" s="3032">
        <v>86.24</v>
      </c>
      <c r="G582" s="3032" t="s">
        <v>3559</v>
      </c>
    </row>
    <row r="583" spans="1:7" ht="16.5">
      <c r="A583" s="3032">
        <v>571</v>
      </c>
      <c r="B583" s="3032" t="s">
        <v>3539</v>
      </c>
      <c r="C583" s="3032" t="s">
        <v>3571</v>
      </c>
      <c r="D583" s="3032" t="s">
        <v>3565</v>
      </c>
      <c r="E583" s="3032">
        <v>1702</v>
      </c>
      <c r="F583" s="3032">
        <v>88.13</v>
      </c>
      <c r="G583" s="3032" t="s">
        <v>3559</v>
      </c>
    </row>
    <row r="584" spans="1:7" ht="16.5">
      <c r="A584" s="3032">
        <v>572</v>
      </c>
      <c r="B584" s="3032" t="s">
        <v>3539</v>
      </c>
      <c r="C584" s="3032" t="s">
        <v>3571</v>
      </c>
      <c r="D584" s="3032" t="s">
        <v>3565</v>
      </c>
      <c r="E584" s="3032">
        <v>1703</v>
      </c>
      <c r="F584" s="3032">
        <v>88.13</v>
      </c>
      <c r="G584" s="3032" t="s">
        <v>3559</v>
      </c>
    </row>
    <row r="585" spans="1:7" ht="16.5">
      <c r="A585" s="3032">
        <v>573</v>
      </c>
      <c r="B585" s="3032" t="s">
        <v>3539</v>
      </c>
      <c r="C585" s="3032" t="s">
        <v>3571</v>
      </c>
      <c r="D585" s="3032" t="s">
        <v>3565</v>
      </c>
      <c r="E585" s="3032">
        <v>1704</v>
      </c>
      <c r="F585" s="3032">
        <v>89.27</v>
      </c>
      <c r="G585" s="3032" t="s">
        <v>3559</v>
      </c>
    </row>
    <row r="586" spans="1:7" ht="16.5">
      <c r="A586" s="3032"/>
      <c r="B586" s="3032"/>
      <c r="C586" s="3032" t="s">
        <v>3572</v>
      </c>
      <c r="D586" s="3032"/>
      <c r="E586" s="3032"/>
      <c r="F586" s="3032">
        <f>SUM(F450:F585)</f>
        <v>11878.159999999991</v>
      </c>
      <c r="G586" s="3032"/>
    </row>
    <row r="587" spans="1:7" ht="16.5">
      <c r="A587" s="3032">
        <v>574</v>
      </c>
      <c r="B587" s="3032" t="s">
        <v>3539</v>
      </c>
      <c r="C587" s="3032" t="s">
        <v>3573</v>
      </c>
      <c r="D587" s="3032" t="s">
        <v>3574</v>
      </c>
      <c r="E587" s="3032">
        <v>102</v>
      </c>
      <c r="F587" s="3032">
        <v>89.52</v>
      </c>
      <c r="G587" s="3032" t="s">
        <v>3559</v>
      </c>
    </row>
    <row r="588" spans="1:7" ht="16.5">
      <c r="A588" s="3032">
        <v>575</v>
      </c>
      <c r="B588" s="3032" t="s">
        <v>3539</v>
      </c>
      <c r="C588" s="3032" t="s">
        <v>3573</v>
      </c>
      <c r="D588" s="3032" t="s">
        <v>3574</v>
      </c>
      <c r="E588" s="3032">
        <v>103</v>
      </c>
      <c r="F588" s="3032">
        <v>69.290000000000006</v>
      </c>
      <c r="G588" s="3032" t="s">
        <v>3559</v>
      </c>
    </row>
    <row r="589" spans="1:7" ht="16.5">
      <c r="A589" s="3032">
        <v>576</v>
      </c>
      <c r="B589" s="3032" t="s">
        <v>3539</v>
      </c>
      <c r="C589" s="3032" t="s">
        <v>3573</v>
      </c>
      <c r="D589" s="3032" t="s">
        <v>3574</v>
      </c>
      <c r="E589" s="3032">
        <v>104</v>
      </c>
      <c r="F589" s="3032">
        <v>69.290000000000006</v>
      </c>
      <c r="G589" s="3032" t="s">
        <v>3559</v>
      </c>
    </row>
    <row r="590" spans="1:7" ht="16.5">
      <c r="A590" s="3032">
        <v>577</v>
      </c>
      <c r="B590" s="3032" t="s">
        <v>3539</v>
      </c>
      <c r="C590" s="3032" t="s">
        <v>3573</v>
      </c>
      <c r="D590" s="3032" t="s">
        <v>3574</v>
      </c>
      <c r="E590" s="3032">
        <v>105</v>
      </c>
      <c r="F590" s="3032">
        <v>69.290000000000006</v>
      </c>
      <c r="G590" s="3032" t="s">
        <v>3559</v>
      </c>
    </row>
    <row r="591" spans="1:7" ht="16.5">
      <c r="A591" s="3032">
        <v>578</v>
      </c>
      <c r="B591" s="3032" t="s">
        <v>3539</v>
      </c>
      <c r="C591" s="3032" t="s">
        <v>3573</v>
      </c>
      <c r="D591" s="3032" t="s">
        <v>3574</v>
      </c>
      <c r="E591" s="3032">
        <v>106</v>
      </c>
      <c r="F591" s="3032">
        <v>69.290000000000006</v>
      </c>
      <c r="G591" s="3032" t="s">
        <v>3559</v>
      </c>
    </row>
    <row r="592" spans="1:7" ht="16.5">
      <c r="A592" s="3032">
        <v>579</v>
      </c>
      <c r="B592" s="3032" t="s">
        <v>3539</v>
      </c>
      <c r="C592" s="3032" t="s">
        <v>3573</v>
      </c>
      <c r="D592" s="3032" t="s">
        <v>3574</v>
      </c>
      <c r="E592" s="3032">
        <v>107</v>
      </c>
      <c r="F592" s="3032">
        <v>69.290000000000006</v>
      </c>
      <c r="G592" s="3032" t="s">
        <v>3559</v>
      </c>
    </row>
    <row r="593" spans="1:7" ht="16.5">
      <c r="A593" s="3032">
        <v>580</v>
      </c>
      <c r="B593" s="3032" t="s">
        <v>3539</v>
      </c>
      <c r="C593" s="3032" t="s">
        <v>3573</v>
      </c>
      <c r="D593" s="3032" t="s">
        <v>3574</v>
      </c>
      <c r="E593" s="3032">
        <v>108</v>
      </c>
      <c r="F593" s="3032">
        <v>69.290000000000006</v>
      </c>
      <c r="G593" s="3032" t="s">
        <v>3559</v>
      </c>
    </row>
    <row r="594" spans="1:7" ht="16.5">
      <c r="A594" s="3032">
        <v>581</v>
      </c>
      <c r="B594" s="3032" t="s">
        <v>3539</v>
      </c>
      <c r="C594" s="3032" t="s">
        <v>3573</v>
      </c>
      <c r="D594" s="3032" t="s">
        <v>3574</v>
      </c>
      <c r="E594" s="3032">
        <v>109</v>
      </c>
      <c r="F594" s="3032">
        <v>34.9</v>
      </c>
      <c r="G594" s="3032" t="s">
        <v>3559</v>
      </c>
    </row>
    <row r="595" spans="1:7" ht="16.5">
      <c r="A595" s="3032">
        <v>582</v>
      </c>
      <c r="B595" s="3032" t="s">
        <v>3539</v>
      </c>
      <c r="C595" s="3032" t="s">
        <v>3573</v>
      </c>
      <c r="D595" s="3032" t="s">
        <v>3574</v>
      </c>
      <c r="E595" s="3032">
        <v>110</v>
      </c>
      <c r="F595" s="3032">
        <v>55.11</v>
      </c>
      <c r="G595" s="3032" t="s">
        <v>3559</v>
      </c>
    </row>
    <row r="596" spans="1:7" ht="16.5">
      <c r="A596" s="3032">
        <v>583</v>
      </c>
      <c r="B596" s="3032" t="s">
        <v>3539</v>
      </c>
      <c r="C596" s="3032" t="s">
        <v>3573</v>
      </c>
      <c r="D596" s="3032" t="s">
        <v>3574</v>
      </c>
      <c r="E596" s="3032">
        <v>111</v>
      </c>
      <c r="F596" s="3032">
        <v>69.290000000000006</v>
      </c>
      <c r="G596" s="3032" t="s">
        <v>3559</v>
      </c>
    </row>
    <row r="597" spans="1:7" ht="16.5">
      <c r="A597" s="3032">
        <v>584</v>
      </c>
      <c r="B597" s="3032" t="s">
        <v>3539</v>
      </c>
      <c r="C597" s="3032" t="s">
        <v>3573</v>
      </c>
      <c r="D597" s="3032" t="s">
        <v>3574</v>
      </c>
      <c r="E597" s="3032">
        <v>112</v>
      </c>
      <c r="F597" s="3032">
        <v>51.23</v>
      </c>
      <c r="G597" s="3032" t="s">
        <v>3559</v>
      </c>
    </row>
    <row r="598" spans="1:7" ht="16.5">
      <c r="A598" s="3032">
        <v>585</v>
      </c>
      <c r="B598" s="3032" t="s">
        <v>3539</v>
      </c>
      <c r="C598" s="3032" t="s">
        <v>3573</v>
      </c>
      <c r="D598" s="3032" t="s">
        <v>3574</v>
      </c>
      <c r="E598" s="3032">
        <v>201</v>
      </c>
      <c r="F598" s="3032">
        <v>51.23</v>
      </c>
      <c r="G598" s="3032" t="s">
        <v>3559</v>
      </c>
    </row>
    <row r="599" spans="1:7" ht="16.5">
      <c r="A599" s="3032">
        <v>586</v>
      </c>
      <c r="B599" s="3032" t="s">
        <v>3539</v>
      </c>
      <c r="C599" s="3032" t="s">
        <v>3573</v>
      </c>
      <c r="D599" s="3032" t="s">
        <v>3574</v>
      </c>
      <c r="E599" s="3032">
        <v>202</v>
      </c>
      <c r="F599" s="3032">
        <v>69.33</v>
      </c>
      <c r="G599" s="3032" t="s">
        <v>3559</v>
      </c>
    </row>
    <row r="600" spans="1:7" ht="16.5">
      <c r="A600" s="3032">
        <v>587</v>
      </c>
      <c r="B600" s="3032" t="s">
        <v>3539</v>
      </c>
      <c r="C600" s="3032" t="s">
        <v>3573</v>
      </c>
      <c r="D600" s="3032" t="s">
        <v>3574</v>
      </c>
      <c r="E600" s="3032">
        <v>203</v>
      </c>
      <c r="F600" s="3032">
        <v>55.11</v>
      </c>
      <c r="G600" s="3032" t="s">
        <v>3559</v>
      </c>
    </row>
    <row r="601" spans="1:7" ht="16.5">
      <c r="A601" s="3032">
        <v>588</v>
      </c>
      <c r="B601" s="3032" t="s">
        <v>3539</v>
      </c>
      <c r="C601" s="3032" t="s">
        <v>3573</v>
      </c>
      <c r="D601" s="3032" t="s">
        <v>3574</v>
      </c>
      <c r="E601" s="3032">
        <v>204</v>
      </c>
      <c r="F601" s="3032">
        <v>69.33</v>
      </c>
      <c r="G601" s="3032" t="s">
        <v>3559</v>
      </c>
    </row>
    <row r="602" spans="1:7" ht="16.5">
      <c r="A602" s="3032">
        <v>589</v>
      </c>
      <c r="B602" s="3032" t="s">
        <v>3539</v>
      </c>
      <c r="C602" s="3032" t="s">
        <v>3573</v>
      </c>
      <c r="D602" s="3032" t="s">
        <v>3574</v>
      </c>
      <c r="E602" s="3032">
        <v>205</v>
      </c>
      <c r="F602" s="3032">
        <v>69.33</v>
      </c>
      <c r="G602" s="3032" t="s">
        <v>3559</v>
      </c>
    </row>
    <row r="603" spans="1:7" ht="16.5">
      <c r="A603" s="3032">
        <v>590</v>
      </c>
      <c r="B603" s="3032" t="s">
        <v>3539</v>
      </c>
      <c r="C603" s="3032" t="s">
        <v>3573</v>
      </c>
      <c r="D603" s="3032" t="s">
        <v>3574</v>
      </c>
      <c r="E603" s="3032">
        <v>206</v>
      </c>
      <c r="F603" s="3032">
        <v>69.33</v>
      </c>
      <c r="G603" s="3032" t="s">
        <v>3559</v>
      </c>
    </row>
    <row r="604" spans="1:7" ht="16.5">
      <c r="A604" s="3032">
        <v>591</v>
      </c>
      <c r="B604" s="3032" t="s">
        <v>3539</v>
      </c>
      <c r="C604" s="3032" t="s">
        <v>3573</v>
      </c>
      <c r="D604" s="3032" t="s">
        <v>3574</v>
      </c>
      <c r="E604" s="3032">
        <v>207</v>
      </c>
      <c r="F604" s="3032">
        <v>69.33</v>
      </c>
      <c r="G604" s="3032" t="s">
        <v>3559</v>
      </c>
    </row>
    <row r="605" spans="1:7" ht="16.5">
      <c r="A605" s="3032">
        <v>592</v>
      </c>
      <c r="B605" s="3032" t="s">
        <v>3539</v>
      </c>
      <c r="C605" s="3032" t="s">
        <v>3573</v>
      </c>
      <c r="D605" s="3032" t="s">
        <v>3574</v>
      </c>
      <c r="E605" s="3032">
        <v>208</v>
      </c>
      <c r="F605" s="3032">
        <v>69.33</v>
      </c>
      <c r="G605" s="3032" t="s">
        <v>3559</v>
      </c>
    </row>
    <row r="606" spans="1:7" ht="16.5">
      <c r="A606" s="3032">
        <v>593</v>
      </c>
      <c r="B606" s="3032" t="s">
        <v>3539</v>
      </c>
      <c r="C606" s="3032" t="s">
        <v>3573</v>
      </c>
      <c r="D606" s="3032" t="s">
        <v>3574</v>
      </c>
      <c r="E606" s="3032">
        <v>209</v>
      </c>
      <c r="F606" s="3032">
        <v>69.33</v>
      </c>
      <c r="G606" s="3032" t="s">
        <v>3559</v>
      </c>
    </row>
    <row r="607" spans="1:7" ht="16.5">
      <c r="A607" s="3032">
        <v>594</v>
      </c>
      <c r="B607" s="3032" t="s">
        <v>3539</v>
      </c>
      <c r="C607" s="3032" t="s">
        <v>3573</v>
      </c>
      <c r="D607" s="3032" t="s">
        <v>3574</v>
      </c>
      <c r="E607" s="3032">
        <v>210</v>
      </c>
      <c r="F607" s="3032">
        <v>34.9</v>
      </c>
      <c r="G607" s="3032" t="s">
        <v>3559</v>
      </c>
    </row>
    <row r="608" spans="1:7" ht="16.5">
      <c r="A608" s="3032">
        <v>595</v>
      </c>
      <c r="B608" s="3032" t="s">
        <v>3539</v>
      </c>
      <c r="C608" s="3032" t="s">
        <v>3573</v>
      </c>
      <c r="D608" s="3032" t="s">
        <v>3574</v>
      </c>
      <c r="E608" s="3032">
        <v>211</v>
      </c>
      <c r="F608" s="3032">
        <v>55.11</v>
      </c>
      <c r="G608" s="3032" t="s">
        <v>3559</v>
      </c>
    </row>
    <row r="609" spans="1:7" ht="16.5">
      <c r="A609" s="3032">
        <v>596</v>
      </c>
      <c r="B609" s="3032" t="s">
        <v>3539</v>
      </c>
      <c r="C609" s="3032" t="s">
        <v>3573</v>
      </c>
      <c r="D609" s="3032" t="s">
        <v>3574</v>
      </c>
      <c r="E609" s="3032">
        <v>212</v>
      </c>
      <c r="F609" s="3032">
        <v>69.33</v>
      </c>
      <c r="G609" s="3032" t="s">
        <v>3559</v>
      </c>
    </row>
    <row r="610" spans="1:7" ht="16.5">
      <c r="A610" s="3032">
        <v>597</v>
      </c>
      <c r="B610" s="3032" t="s">
        <v>3539</v>
      </c>
      <c r="C610" s="3032" t="s">
        <v>3573</v>
      </c>
      <c r="D610" s="3032" t="s">
        <v>3574</v>
      </c>
      <c r="E610" s="3032">
        <v>213</v>
      </c>
      <c r="F610" s="3032">
        <v>51.23</v>
      </c>
      <c r="G610" s="3032" t="s">
        <v>3559</v>
      </c>
    </row>
    <row r="611" spans="1:7" ht="16.5">
      <c r="A611" s="3032">
        <v>598</v>
      </c>
      <c r="B611" s="3032" t="s">
        <v>3539</v>
      </c>
      <c r="C611" s="3032" t="s">
        <v>3573</v>
      </c>
      <c r="D611" s="3032" t="s">
        <v>3574</v>
      </c>
      <c r="E611" s="3032">
        <v>301</v>
      </c>
      <c r="F611" s="3032">
        <v>51.23</v>
      </c>
      <c r="G611" s="3032" t="s">
        <v>3559</v>
      </c>
    </row>
    <row r="612" spans="1:7" ht="16.5">
      <c r="A612" s="3032">
        <v>599</v>
      </c>
      <c r="B612" s="3032" t="s">
        <v>3539</v>
      </c>
      <c r="C612" s="3032" t="s">
        <v>3573</v>
      </c>
      <c r="D612" s="3032" t="s">
        <v>3574</v>
      </c>
      <c r="E612" s="3032">
        <v>302</v>
      </c>
      <c r="F612" s="3032">
        <v>69.33</v>
      </c>
      <c r="G612" s="3032" t="s">
        <v>3559</v>
      </c>
    </row>
    <row r="613" spans="1:7" ht="16.5">
      <c r="A613" s="3032">
        <v>600</v>
      </c>
      <c r="B613" s="3032" t="s">
        <v>3539</v>
      </c>
      <c r="C613" s="3032" t="s">
        <v>3573</v>
      </c>
      <c r="D613" s="3032" t="s">
        <v>3574</v>
      </c>
      <c r="E613" s="3032">
        <v>303</v>
      </c>
      <c r="F613" s="3032">
        <v>55.11</v>
      </c>
      <c r="G613" s="3032" t="s">
        <v>3559</v>
      </c>
    </row>
    <row r="614" spans="1:7" ht="16.5">
      <c r="A614" s="3032">
        <v>601</v>
      </c>
      <c r="B614" s="3032" t="s">
        <v>3539</v>
      </c>
      <c r="C614" s="3032" t="s">
        <v>3573</v>
      </c>
      <c r="D614" s="3032" t="s">
        <v>3574</v>
      </c>
      <c r="E614" s="3032">
        <v>304</v>
      </c>
      <c r="F614" s="3032">
        <v>69.33</v>
      </c>
      <c r="G614" s="3032" t="s">
        <v>3559</v>
      </c>
    </row>
    <row r="615" spans="1:7" ht="16.5">
      <c r="A615" s="3032">
        <v>602</v>
      </c>
      <c r="B615" s="3032" t="s">
        <v>3539</v>
      </c>
      <c r="C615" s="3032" t="s">
        <v>3573</v>
      </c>
      <c r="D615" s="3032" t="s">
        <v>3574</v>
      </c>
      <c r="E615" s="3032">
        <v>305</v>
      </c>
      <c r="F615" s="3032">
        <v>69.33</v>
      </c>
      <c r="G615" s="3032" t="s">
        <v>3559</v>
      </c>
    </row>
    <row r="616" spans="1:7" ht="16.5">
      <c r="A616" s="3032">
        <v>603</v>
      </c>
      <c r="B616" s="3032" t="s">
        <v>3539</v>
      </c>
      <c r="C616" s="3032" t="s">
        <v>3573</v>
      </c>
      <c r="D616" s="3032" t="s">
        <v>3574</v>
      </c>
      <c r="E616" s="3032">
        <v>306</v>
      </c>
      <c r="F616" s="3032">
        <v>69.33</v>
      </c>
      <c r="G616" s="3032" t="s">
        <v>3559</v>
      </c>
    </row>
    <row r="617" spans="1:7" ht="16.5">
      <c r="A617" s="3032">
        <v>604</v>
      </c>
      <c r="B617" s="3032" t="s">
        <v>3539</v>
      </c>
      <c r="C617" s="3032" t="s">
        <v>3573</v>
      </c>
      <c r="D617" s="3032" t="s">
        <v>3574</v>
      </c>
      <c r="E617" s="3032">
        <v>307</v>
      </c>
      <c r="F617" s="3032">
        <v>69.33</v>
      </c>
      <c r="G617" s="3032" t="s">
        <v>3559</v>
      </c>
    </row>
    <row r="618" spans="1:7" ht="16.5">
      <c r="A618" s="3032">
        <v>605</v>
      </c>
      <c r="B618" s="3032" t="s">
        <v>3539</v>
      </c>
      <c r="C618" s="3032" t="s">
        <v>3573</v>
      </c>
      <c r="D618" s="3032" t="s">
        <v>3574</v>
      </c>
      <c r="E618" s="3032">
        <v>308</v>
      </c>
      <c r="F618" s="3032">
        <v>69.33</v>
      </c>
      <c r="G618" s="3032" t="s">
        <v>3559</v>
      </c>
    </row>
    <row r="619" spans="1:7" ht="16.5">
      <c r="A619" s="3032">
        <v>606</v>
      </c>
      <c r="B619" s="3032" t="s">
        <v>3539</v>
      </c>
      <c r="C619" s="3032" t="s">
        <v>3573</v>
      </c>
      <c r="D619" s="3032" t="s">
        <v>3574</v>
      </c>
      <c r="E619" s="3032">
        <v>309</v>
      </c>
      <c r="F619" s="3032">
        <v>69.33</v>
      </c>
      <c r="G619" s="3032" t="s">
        <v>3559</v>
      </c>
    </row>
    <row r="620" spans="1:7" ht="16.5">
      <c r="A620" s="3032">
        <v>607</v>
      </c>
      <c r="B620" s="3032" t="s">
        <v>3539</v>
      </c>
      <c r="C620" s="3032" t="s">
        <v>3573</v>
      </c>
      <c r="D620" s="3032" t="s">
        <v>3574</v>
      </c>
      <c r="E620" s="3032">
        <v>310</v>
      </c>
      <c r="F620" s="3032">
        <v>34.9</v>
      </c>
      <c r="G620" s="3032" t="s">
        <v>3559</v>
      </c>
    </row>
    <row r="621" spans="1:7" ht="16.5">
      <c r="A621" s="3032">
        <v>608</v>
      </c>
      <c r="B621" s="3032" t="s">
        <v>3539</v>
      </c>
      <c r="C621" s="3032" t="s">
        <v>3573</v>
      </c>
      <c r="D621" s="3032" t="s">
        <v>3574</v>
      </c>
      <c r="E621" s="3032">
        <v>311</v>
      </c>
      <c r="F621" s="3032">
        <v>55.11</v>
      </c>
      <c r="G621" s="3032" t="s">
        <v>3559</v>
      </c>
    </row>
    <row r="622" spans="1:7" ht="16.5">
      <c r="A622" s="3032">
        <v>609</v>
      </c>
      <c r="B622" s="3032" t="s">
        <v>3539</v>
      </c>
      <c r="C622" s="3032" t="s">
        <v>3573</v>
      </c>
      <c r="D622" s="3032" t="s">
        <v>3574</v>
      </c>
      <c r="E622" s="3032">
        <v>312</v>
      </c>
      <c r="F622" s="3032">
        <v>69.33</v>
      </c>
      <c r="G622" s="3032" t="s">
        <v>3559</v>
      </c>
    </row>
    <row r="623" spans="1:7" ht="16.5">
      <c r="A623" s="3032">
        <v>610</v>
      </c>
      <c r="B623" s="3032" t="s">
        <v>3539</v>
      </c>
      <c r="C623" s="3032" t="s">
        <v>3573</v>
      </c>
      <c r="D623" s="3032" t="s">
        <v>3574</v>
      </c>
      <c r="E623" s="3032">
        <v>313</v>
      </c>
      <c r="F623" s="3032">
        <v>51.23</v>
      </c>
      <c r="G623" s="3032" t="s">
        <v>3559</v>
      </c>
    </row>
    <row r="624" spans="1:7" ht="16.5">
      <c r="A624" s="3032">
        <v>611</v>
      </c>
      <c r="B624" s="3032" t="s">
        <v>3539</v>
      </c>
      <c r="C624" s="3032" t="s">
        <v>3573</v>
      </c>
      <c r="D624" s="3032" t="s">
        <v>3574</v>
      </c>
      <c r="E624" s="3032">
        <v>401</v>
      </c>
      <c r="F624" s="3032">
        <v>51.23</v>
      </c>
      <c r="G624" s="3032" t="s">
        <v>3559</v>
      </c>
    </row>
    <row r="625" spans="1:7" ht="16.5">
      <c r="A625" s="3032">
        <v>612</v>
      </c>
      <c r="B625" s="3032" t="s">
        <v>3539</v>
      </c>
      <c r="C625" s="3032" t="s">
        <v>3573</v>
      </c>
      <c r="D625" s="3032" t="s">
        <v>3574</v>
      </c>
      <c r="E625" s="3032">
        <v>402</v>
      </c>
      <c r="F625" s="3032">
        <v>69.33</v>
      </c>
      <c r="G625" s="3032" t="s">
        <v>3559</v>
      </c>
    </row>
    <row r="626" spans="1:7" ht="16.5">
      <c r="A626" s="3032">
        <v>613</v>
      </c>
      <c r="B626" s="3032" t="s">
        <v>3539</v>
      </c>
      <c r="C626" s="3032" t="s">
        <v>3573</v>
      </c>
      <c r="D626" s="3032" t="s">
        <v>3574</v>
      </c>
      <c r="E626" s="3032">
        <v>403</v>
      </c>
      <c r="F626" s="3032">
        <v>55.11</v>
      </c>
      <c r="G626" s="3032" t="s">
        <v>3559</v>
      </c>
    </row>
    <row r="627" spans="1:7" ht="16.5">
      <c r="A627" s="3032">
        <v>614</v>
      </c>
      <c r="B627" s="3032" t="s">
        <v>3539</v>
      </c>
      <c r="C627" s="3032" t="s">
        <v>3573</v>
      </c>
      <c r="D627" s="3032" t="s">
        <v>3574</v>
      </c>
      <c r="E627" s="3032">
        <v>404</v>
      </c>
      <c r="F627" s="3032">
        <v>69.33</v>
      </c>
      <c r="G627" s="3032" t="s">
        <v>3559</v>
      </c>
    </row>
    <row r="628" spans="1:7" ht="16.5">
      <c r="A628" s="3032">
        <v>615</v>
      </c>
      <c r="B628" s="3032" t="s">
        <v>3539</v>
      </c>
      <c r="C628" s="3032" t="s">
        <v>3573</v>
      </c>
      <c r="D628" s="3032" t="s">
        <v>3574</v>
      </c>
      <c r="E628" s="3032">
        <v>405</v>
      </c>
      <c r="F628" s="3032">
        <v>69.33</v>
      </c>
      <c r="G628" s="3032" t="s">
        <v>3559</v>
      </c>
    </row>
    <row r="629" spans="1:7" ht="16.5">
      <c r="A629" s="3032">
        <v>616</v>
      </c>
      <c r="B629" s="3032" t="s">
        <v>3539</v>
      </c>
      <c r="C629" s="3032" t="s">
        <v>3573</v>
      </c>
      <c r="D629" s="3032" t="s">
        <v>3574</v>
      </c>
      <c r="E629" s="3032">
        <v>406</v>
      </c>
      <c r="F629" s="3032">
        <v>69.33</v>
      </c>
      <c r="G629" s="3032" t="s">
        <v>3559</v>
      </c>
    </row>
    <row r="630" spans="1:7" ht="16.5">
      <c r="A630" s="3032">
        <v>617</v>
      </c>
      <c r="B630" s="3032" t="s">
        <v>3539</v>
      </c>
      <c r="C630" s="3032" t="s">
        <v>3573</v>
      </c>
      <c r="D630" s="3032" t="s">
        <v>3574</v>
      </c>
      <c r="E630" s="3032">
        <v>407</v>
      </c>
      <c r="F630" s="3032">
        <v>69.33</v>
      </c>
      <c r="G630" s="3032" t="s">
        <v>3559</v>
      </c>
    </row>
    <row r="631" spans="1:7" ht="16.5">
      <c r="A631" s="3032">
        <v>618</v>
      </c>
      <c r="B631" s="3032" t="s">
        <v>3539</v>
      </c>
      <c r="C631" s="3032" t="s">
        <v>3573</v>
      </c>
      <c r="D631" s="3032" t="s">
        <v>3574</v>
      </c>
      <c r="E631" s="3032">
        <v>408</v>
      </c>
      <c r="F631" s="3032">
        <v>69.33</v>
      </c>
      <c r="G631" s="3032" t="s">
        <v>3559</v>
      </c>
    </row>
    <row r="632" spans="1:7" ht="16.5">
      <c r="A632" s="3032">
        <v>619</v>
      </c>
      <c r="B632" s="3032" t="s">
        <v>3539</v>
      </c>
      <c r="C632" s="3032" t="s">
        <v>3573</v>
      </c>
      <c r="D632" s="3032" t="s">
        <v>3574</v>
      </c>
      <c r="E632" s="3032">
        <v>409</v>
      </c>
      <c r="F632" s="3032">
        <v>69.33</v>
      </c>
      <c r="G632" s="3032" t="s">
        <v>3559</v>
      </c>
    </row>
    <row r="633" spans="1:7" ht="16.5">
      <c r="A633" s="3032">
        <v>620</v>
      </c>
      <c r="B633" s="3032" t="s">
        <v>3539</v>
      </c>
      <c r="C633" s="3032" t="s">
        <v>3573</v>
      </c>
      <c r="D633" s="3032" t="s">
        <v>3574</v>
      </c>
      <c r="E633" s="3032">
        <v>410</v>
      </c>
      <c r="F633" s="3032">
        <v>34.9</v>
      </c>
      <c r="G633" s="3032" t="s">
        <v>3559</v>
      </c>
    </row>
    <row r="634" spans="1:7" ht="16.5">
      <c r="A634" s="3032">
        <v>621</v>
      </c>
      <c r="B634" s="3032" t="s">
        <v>3539</v>
      </c>
      <c r="C634" s="3032" t="s">
        <v>3573</v>
      </c>
      <c r="D634" s="3032" t="s">
        <v>3574</v>
      </c>
      <c r="E634" s="3032">
        <v>411</v>
      </c>
      <c r="F634" s="3032">
        <v>55.11</v>
      </c>
      <c r="G634" s="3032" t="s">
        <v>3559</v>
      </c>
    </row>
    <row r="635" spans="1:7" ht="16.5">
      <c r="A635" s="3032">
        <v>622</v>
      </c>
      <c r="B635" s="3032" t="s">
        <v>3539</v>
      </c>
      <c r="C635" s="3032" t="s">
        <v>3573</v>
      </c>
      <c r="D635" s="3032" t="s">
        <v>3574</v>
      </c>
      <c r="E635" s="3032">
        <v>412</v>
      </c>
      <c r="F635" s="3032">
        <v>69.33</v>
      </c>
      <c r="G635" s="3032" t="s">
        <v>3559</v>
      </c>
    </row>
    <row r="636" spans="1:7" ht="16.5">
      <c r="A636" s="3032">
        <v>623</v>
      </c>
      <c r="B636" s="3032" t="s">
        <v>3539</v>
      </c>
      <c r="C636" s="3032" t="s">
        <v>3573</v>
      </c>
      <c r="D636" s="3032" t="s">
        <v>3574</v>
      </c>
      <c r="E636" s="3032">
        <v>413</v>
      </c>
      <c r="F636" s="3032">
        <v>51.23</v>
      </c>
      <c r="G636" s="3032" t="s">
        <v>3559</v>
      </c>
    </row>
    <row r="637" spans="1:7" ht="16.5">
      <c r="A637" s="3032">
        <v>624</v>
      </c>
      <c r="B637" s="3032" t="s">
        <v>3539</v>
      </c>
      <c r="C637" s="3032" t="s">
        <v>3573</v>
      </c>
      <c r="D637" s="3032" t="s">
        <v>3574</v>
      </c>
      <c r="E637" s="3032">
        <v>501</v>
      </c>
      <c r="F637" s="3032">
        <v>51.23</v>
      </c>
      <c r="G637" s="3032" t="s">
        <v>3559</v>
      </c>
    </row>
    <row r="638" spans="1:7" ht="16.5">
      <c r="A638" s="3032">
        <v>625</v>
      </c>
      <c r="B638" s="3032" t="s">
        <v>3539</v>
      </c>
      <c r="C638" s="3032" t="s">
        <v>3573</v>
      </c>
      <c r="D638" s="3032" t="s">
        <v>3574</v>
      </c>
      <c r="E638" s="3032">
        <v>502</v>
      </c>
      <c r="F638" s="3032">
        <v>69.33</v>
      </c>
      <c r="G638" s="3032" t="s">
        <v>3559</v>
      </c>
    </row>
    <row r="639" spans="1:7" ht="16.5">
      <c r="A639" s="3032">
        <v>626</v>
      </c>
      <c r="B639" s="3032" t="s">
        <v>3539</v>
      </c>
      <c r="C639" s="3032" t="s">
        <v>3573</v>
      </c>
      <c r="D639" s="3032" t="s">
        <v>3574</v>
      </c>
      <c r="E639" s="3032">
        <v>503</v>
      </c>
      <c r="F639" s="3032">
        <v>55.11</v>
      </c>
      <c r="G639" s="3032" t="s">
        <v>3559</v>
      </c>
    </row>
    <row r="640" spans="1:7" ht="16.5">
      <c r="A640" s="3032">
        <v>627</v>
      </c>
      <c r="B640" s="3032" t="s">
        <v>3539</v>
      </c>
      <c r="C640" s="3032" t="s">
        <v>3573</v>
      </c>
      <c r="D640" s="3032" t="s">
        <v>3574</v>
      </c>
      <c r="E640" s="3032">
        <v>504</v>
      </c>
      <c r="F640" s="3032">
        <v>69.33</v>
      </c>
      <c r="G640" s="3032" t="s">
        <v>3559</v>
      </c>
    </row>
    <row r="641" spans="1:7" ht="16.5">
      <c r="A641" s="3032">
        <v>628</v>
      </c>
      <c r="B641" s="3032" t="s">
        <v>3539</v>
      </c>
      <c r="C641" s="3032" t="s">
        <v>3573</v>
      </c>
      <c r="D641" s="3032" t="s">
        <v>3574</v>
      </c>
      <c r="E641" s="3032">
        <v>505</v>
      </c>
      <c r="F641" s="3032">
        <v>69.33</v>
      </c>
      <c r="G641" s="3032" t="s">
        <v>3559</v>
      </c>
    </row>
    <row r="642" spans="1:7" ht="16.5">
      <c r="A642" s="3032">
        <v>629</v>
      </c>
      <c r="B642" s="3032" t="s">
        <v>3539</v>
      </c>
      <c r="C642" s="3032" t="s">
        <v>3573</v>
      </c>
      <c r="D642" s="3032" t="s">
        <v>3574</v>
      </c>
      <c r="E642" s="3032">
        <v>506</v>
      </c>
      <c r="F642" s="3032">
        <v>69.33</v>
      </c>
      <c r="G642" s="3032" t="s">
        <v>3559</v>
      </c>
    </row>
    <row r="643" spans="1:7" ht="16.5">
      <c r="A643" s="3032">
        <v>630</v>
      </c>
      <c r="B643" s="3032" t="s">
        <v>3539</v>
      </c>
      <c r="C643" s="3032" t="s">
        <v>3573</v>
      </c>
      <c r="D643" s="3032" t="s">
        <v>3574</v>
      </c>
      <c r="E643" s="3032">
        <v>507</v>
      </c>
      <c r="F643" s="3032">
        <v>69.33</v>
      </c>
      <c r="G643" s="3032" t="s">
        <v>3559</v>
      </c>
    </row>
    <row r="644" spans="1:7" ht="16.5">
      <c r="A644" s="3032">
        <v>631</v>
      </c>
      <c r="B644" s="3032" t="s">
        <v>3539</v>
      </c>
      <c r="C644" s="3032" t="s">
        <v>3573</v>
      </c>
      <c r="D644" s="3032" t="s">
        <v>3574</v>
      </c>
      <c r="E644" s="3032">
        <v>508</v>
      </c>
      <c r="F644" s="3032">
        <v>69.33</v>
      </c>
      <c r="G644" s="3032" t="s">
        <v>3559</v>
      </c>
    </row>
    <row r="645" spans="1:7" ht="16.5">
      <c r="A645" s="3032">
        <v>632</v>
      </c>
      <c r="B645" s="3032" t="s">
        <v>3539</v>
      </c>
      <c r="C645" s="3032" t="s">
        <v>3573</v>
      </c>
      <c r="D645" s="3032" t="s">
        <v>3574</v>
      </c>
      <c r="E645" s="3032">
        <v>509</v>
      </c>
      <c r="F645" s="3032">
        <v>69.33</v>
      </c>
      <c r="G645" s="3032" t="s">
        <v>3559</v>
      </c>
    </row>
    <row r="646" spans="1:7" ht="16.5">
      <c r="A646" s="3032">
        <v>633</v>
      </c>
      <c r="B646" s="3032" t="s">
        <v>3539</v>
      </c>
      <c r="C646" s="3032" t="s">
        <v>3573</v>
      </c>
      <c r="D646" s="3032" t="s">
        <v>3574</v>
      </c>
      <c r="E646" s="3032">
        <v>510</v>
      </c>
      <c r="F646" s="3032">
        <v>34.9</v>
      </c>
      <c r="G646" s="3032" t="s">
        <v>3559</v>
      </c>
    </row>
    <row r="647" spans="1:7" ht="16.5">
      <c r="A647" s="3032">
        <v>634</v>
      </c>
      <c r="B647" s="3032" t="s">
        <v>3539</v>
      </c>
      <c r="C647" s="3032" t="s">
        <v>3573</v>
      </c>
      <c r="D647" s="3032" t="s">
        <v>3574</v>
      </c>
      <c r="E647" s="3032">
        <v>511</v>
      </c>
      <c r="F647" s="3032">
        <v>55.11</v>
      </c>
      <c r="G647" s="3032" t="s">
        <v>3559</v>
      </c>
    </row>
    <row r="648" spans="1:7" ht="16.5">
      <c r="A648" s="3032">
        <v>635</v>
      </c>
      <c r="B648" s="3032" t="s">
        <v>3539</v>
      </c>
      <c r="C648" s="3032" t="s">
        <v>3573</v>
      </c>
      <c r="D648" s="3032" t="s">
        <v>3574</v>
      </c>
      <c r="E648" s="3032">
        <v>512</v>
      </c>
      <c r="F648" s="3032">
        <v>69.33</v>
      </c>
      <c r="G648" s="3032" t="s">
        <v>3559</v>
      </c>
    </row>
    <row r="649" spans="1:7" ht="16.5">
      <c r="A649" s="3032">
        <v>636</v>
      </c>
      <c r="B649" s="3032" t="s">
        <v>3539</v>
      </c>
      <c r="C649" s="3032" t="s">
        <v>3573</v>
      </c>
      <c r="D649" s="3032" t="s">
        <v>3574</v>
      </c>
      <c r="E649" s="3032">
        <v>513</v>
      </c>
      <c r="F649" s="3032">
        <v>51.23</v>
      </c>
      <c r="G649" s="3032" t="s">
        <v>3559</v>
      </c>
    </row>
    <row r="650" spans="1:7" ht="16.5">
      <c r="A650" s="3032">
        <v>637</v>
      </c>
      <c r="B650" s="3032" t="s">
        <v>3539</v>
      </c>
      <c r="C650" s="3032" t="s">
        <v>3573</v>
      </c>
      <c r="D650" s="3032" t="s">
        <v>3574</v>
      </c>
      <c r="E650" s="3032">
        <v>601</v>
      </c>
      <c r="F650" s="3032">
        <v>51.23</v>
      </c>
      <c r="G650" s="3032" t="s">
        <v>3559</v>
      </c>
    </row>
    <row r="651" spans="1:7" ht="16.5">
      <c r="A651" s="3032">
        <v>638</v>
      </c>
      <c r="B651" s="3032" t="s">
        <v>3539</v>
      </c>
      <c r="C651" s="3032" t="s">
        <v>3573</v>
      </c>
      <c r="D651" s="3032" t="s">
        <v>3574</v>
      </c>
      <c r="E651" s="3032">
        <v>602</v>
      </c>
      <c r="F651" s="3032">
        <v>69.33</v>
      </c>
      <c r="G651" s="3032" t="s">
        <v>3559</v>
      </c>
    </row>
    <row r="652" spans="1:7" ht="16.5">
      <c r="A652" s="3032">
        <v>639</v>
      </c>
      <c r="B652" s="3032" t="s">
        <v>3539</v>
      </c>
      <c r="C652" s="3032" t="s">
        <v>3573</v>
      </c>
      <c r="D652" s="3032" t="s">
        <v>3574</v>
      </c>
      <c r="E652" s="3032">
        <v>603</v>
      </c>
      <c r="F652" s="3032">
        <v>55.11</v>
      </c>
      <c r="G652" s="3032" t="s">
        <v>3559</v>
      </c>
    </row>
    <row r="653" spans="1:7" ht="16.5">
      <c r="A653" s="3032">
        <v>640</v>
      </c>
      <c r="B653" s="3032" t="s">
        <v>3539</v>
      </c>
      <c r="C653" s="3032" t="s">
        <v>3573</v>
      </c>
      <c r="D653" s="3032" t="s">
        <v>3574</v>
      </c>
      <c r="E653" s="3032">
        <v>604</v>
      </c>
      <c r="F653" s="3032">
        <v>69.33</v>
      </c>
      <c r="G653" s="3032" t="s">
        <v>3559</v>
      </c>
    </row>
    <row r="654" spans="1:7" ht="16.5">
      <c r="A654" s="3032">
        <v>641</v>
      </c>
      <c r="B654" s="3032" t="s">
        <v>3539</v>
      </c>
      <c r="C654" s="3032" t="s">
        <v>3573</v>
      </c>
      <c r="D654" s="3032" t="s">
        <v>3574</v>
      </c>
      <c r="E654" s="3032">
        <v>605</v>
      </c>
      <c r="F654" s="3032">
        <v>69.33</v>
      </c>
      <c r="G654" s="3032" t="s">
        <v>3559</v>
      </c>
    </row>
    <row r="655" spans="1:7" ht="16.5">
      <c r="A655" s="3032">
        <v>642</v>
      </c>
      <c r="B655" s="3032" t="s">
        <v>3539</v>
      </c>
      <c r="C655" s="3032" t="s">
        <v>3573</v>
      </c>
      <c r="D655" s="3032" t="s">
        <v>3574</v>
      </c>
      <c r="E655" s="3032">
        <v>606</v>
      </c>
      <c r="F655" s="3032">
        <v>69.33</v>
      </c>
      <c r="G655" s="3032" t="s">
        <v>3559</v>
      </c>
    </row>
    <row r="656" spans="1:7" ht="16.5">
      <c r="A656" s="3032">
        <v>643</v>
      </c>
      <c r="B656" s="3032" t="s">
        <v>3539</v>
      </c>
      <c r="C656" s="3032" t="s">
        <v>3573</v>
      </c>
      <c r="D656" s="3032" t="s">
        <v>3574</v>
      </c>
      <c r="E656" s="3032">
        <v>607</v>
      </c>
      <c r="F656" s="3032">
        <v>69.33</v>
      </c>
      <c r="G656" s="3032" t="s">
        <v>3559</v>
      </c>
    </row>
    <row r="657" spans="1:7" ht="16.5">
      <c r="A657" s="3032">
        <v>644</v>
      </c>
      <c r="B657" s="3032" t="s">
        <v>3539</v>
      </c>
      <c r="C657" s="3032" t="s">
        <v>3573</v>
      </c>
      <c r="D657" s="3032" t="s">
        <v>3574</v>
      </c>
      <c r="E657" s="3032">
        <v>608</v>
      </c>
      <c r="F657" s="3032">
        <v>69.33</v>
      </c>
      <c r="G657" s="3032" t="s">
        <v>3559</v>
      </c>
    </row>
    <row r="658" spans="1:7" ht="16.5">
      <c r="A658" s="3032">
        <v>645</v>
      </c>
      <c r="B658" s="3032" t="s">
        <v>3539</v>
      </c>
      <c r="C658" s="3032" t="s">
        <v>3573</v>
      </c>
      <c r="D658" s="3032" t="s">
        <v>3574</v>
      </c>
      <c r="E658" s="3032">
        <v>609</v>
      </c>
      <c r="F658" s="3032">
        <v>69.33</v>
      </c>
      <c r="G658" s="3032" t="s">
        <v>3559</v>
      </c>
    </row>
    <row r="659" spans="1:7" ht="16.5">
      <c r="A659" s="3032">
        <v>646</v>
      </c>
      <c r="B659" s="3032" t="s">
        <v>3539</v>
      </c>
      <c r="C659" s="3032" t="s">
        <v>3573</v>
      </c>
      <c r="D659" s="3032" t="s">
        <v>3574</v>
      </c>
      <c r="E659" s="3032">
        <v>610</v>
      </c>
      <c r="F659" s="3032">
        <v>34.9</v>
      </c>
      <c r="G659" s="3032" t="s">
        <v>3559</v>
      </c>
    </row>
    <row r="660" spans="1:7" ht="16.5">
      <c r="A660" s="3032">
        <v>647</v>
      </c>
      <c r="B660" s="3032" t="s">
        <v>3539</v>
      </c>
      <c r="C660" s="3032" t="s">
        <v>3573</v>
      </c>
      <c r="D660" s="3032" t="s">
        <v>3574</v>
      </c>
      <c r="E660" s="3032">
        <v>611</v>
      </c>
      <c r="F660" s="3032">
        <v>55.11</v>
      </c>
      <c r="G660" s="3032" t="s">
        <v>3559</v>
      </c>
    </row>
    <row r="661" spans="1:7" ht="16.5">
      <c r="A661" s="3032">
        <v>648</v>
      </c>
      <c r="B661" s="3032" t="s">
        <v>3539</v>
      </c>
      <c r="C661" s="3032" t="s">
        <v>3573</v>
      </c>
      <c r="D661" s="3032" t="s">
        <v>3574</v>
      </c>
      <c r="E661" s="3032">
        <v>612</v>
      </c>
      <c r="F661" s="3032">
        <v>69.33</v>
      </c>
      <c r="G661" s="3032" t="s">
        <v>3559</v>
      </c>
    </row>
    <row r="662" spans="1:7" ht="16.5">
      <c r="A662" s="3032">
        <v>649</v>
      </c>
      <c r="B662" s="3032" t="s">
        <v>3539</v>
      </c>
      <c r="C662" s="3032" t="s">
        <v>3573</v>
      </c>
      <c r="D662" s="3032" t="s">
        <v>3574</v>
      </c>
      <c r="E662" s="3032">
        <v>613</v>
      </c>
      <c r="F662" s="3032">
        <v>51.23</v>
      </c>
      <c r="G662" s="3032" t="s">
        <v>3559</v>
      </c>
    </row>
    <row r="663" spans="1:7" ht="16.5">
      <c r="A663" s="3032">
        <v>650</v>
      </c>
      <c r="B663" s="3032" t="s">
        <v>3539</v>
      </c>
      <c r="C663" s="3032" t="s">
        <v>3573</v>
      </c>
      <c r="D663" s="3032" t="s">
        <v>3574</v>
      </c>
      <c r="E663" s="3032">
        <v>701</v>
      </c>
      <c r="F663" s="3032">
        <v>51.23</v>
      </c>
      <c r="G663" s="3032" t="s">
        <v>3559</v>
      </c>
    </row>
    <row r="664" spans="1:7" ht="16.5">
      <c r="A664" s="3032">
        <v>651</v>
      </c>
      <c r="B664" s="3032" t="s">
        <v>3539</v>
      </c>
      <c r="C664" s="3032" t="s">
        <v>3573</v>
      </c>
      <c r="D664" s="3032" t="s">
        <v>3574</v>
      </c>
      <c r="E664" s="3032">
        <v>702</v>
      </c>
      <c r="F664" s="3032">
        <v>69.33</v>
      </c>
      <c r="G664" s="3032" t="s">
        <v>3559</v>
      </c>
    </row>
    <row r="665" spans="1:7" ht="16.5">
      <c r="A665" s="3032">
        <v>652</v>
      </c>
      <c r="B665" s="3032" t="s">
        <v>3539</v>
      </c>
      <c r="C665" s="3032" t="s">
        <v>3573</v>
      </c>
      <c r="D665" s="3032" t="s">
        <v>3574</v>
      </c>
      <c r="E665" s="3032">
        <v>703</v>
      </c>
      <c r="F665" s="3032">
        <v>55.11</v>
      </c>
      <c r="G665" s="3032" t="s">
        <v>3559</v>
      </c>
    </row>
    <row r="666" spans="1:7" ht="16.5">
      <c r="A666" s="3032">
        <v>653</v>
      </c>
      <c r="B666" s="3032" t="s">
        <v>3539</v>
      </c>
      <c r="C666" s="3032" t="s">
        <v>3573</v>
      </c>
      <c r="D666" s="3032" t="s">
        <v>3574</v>
      </c>
      <c r="E666" s="3032">
        <v>704</v>
      </c>
      <c r="F666" s="3032">
        <v>69.33</v>
      </c>
      <c r="G666" s="3032" t="s">
        <v>3559</v>
      </c>
    </row>
    <row r="667" spans="1:7" ht="16.5">
      <c r="A667" s="3032">
        <v>654</v>
      </c>
      <c r="B667" s="3032" t="s">
        <v>3539</v>
      </c>
      <c r="C667" s="3032" t="s">
        <v>3573</v>
      </c>
      <c r="D667" s="3032" t="s">
        <v>3574</v>
      </c>
      <c r="E667" s="3032">
        <v>705</v>
      </c>
      <c r="F667" s="3032">
        <v>69.33</v>
      </c>
      <c r="G667" s="3032" t="s">
        <v>3559</v>
      </c>
    </row>
    <row r="668" spans="1:7" ht="16.5">
      <c r="A668" s="3032">
        <v>655</v>
      </c>
      <c r="B668" s="3032" t="s">
        <v>3539</v>
      </c>
      <c r="C668" s="3032" t="s">
        <v>3573</v>
      </c>
      <c r="D668" s="3032" t="s">
        <v>3574</v>
      </c>
      <c r="E668" s="3032">
        <v>706</v>
      </c>
      <c r="F668" s="3032">
        <v>69.33</v>
      </c>
      <c r="G668" s="3032" t="s">
        <v>3559</v>
      </c>
    </row>
    <row r="669" spans="1:7" ht="16.5">
      <c r="A669" s="3032">
        <v>656</v>
      </c>
      <c r="B669" s="3032" t="s">
        <v>3539</v>
      </c>
      <c r="C669" s="3032" t="s">
        <v>3573</v>
      </c>
      <c r="D669" s="3032" t="s">
        <v>3574</v>
      </c>
      <c r="E669" s="3032">
        <v>707</v>
      </c>
      <c r="F669" s="3032">
        <v>69.33</v>
      </c>
      <c r="G669" s="3032" t="s">
        <v>3559</v>
      </c>
    </row>
    <row r="670" spans="1:7" ht="16.5">
      <c r="A670" s="3032">
        <v>657</v>
      </c>
      <c r="B670" s="3032" t="s">
        <v>3539</v>
      </c>
      <c r="C670" s="3032" t="s">
        <v>3573</v>
      </c>
      <c r="D670" s="3032" t="s">
        <v>3574</v>
      </c>
      <c r="E670" s="3032">
        <v>708</v>
      </c>
      <c r="F670" s="3032">
        <v>69.33</v>
      </c>
      <c r="G670" s="3032" t="s">
        <v>3559</v>
      </c>
    </row>
    <row r="671" spans="1:7" ht="16.5">
      <c r="A671" s="3032">
        <v>658</v>
      </c>
      <c r="B671" s="3032" t="s">
        <v>3539</v>
      </c>
      <c r="C671" s="3032" t="s">
        <v>3573</v>
      </c>
      <c r="D671" s="3032" t="s">
        <v>3574</v>
      </c>
      <c r="E671" s="3032">
        <v>709</v>
      </c>
      <c r="F671" s="3032">
        <v>69.33</v>
      </c>
      <c r="G671" s="3032" t="s">
        <v>3559</v>
      </c>
    </row>
    <row r="672" spans="1:7" ht="16.5">
      <c r="A672" s="3032">
        <v>659</v>
      </c>
      <c r="B672" s="3032" t="s">
        <v>3539</v>
      </c>
      <c r="C672" s="3032" t="s">
        <v>3573</v>
      </c>
      <c r="D672" s="3032" t="s">
        <v>3574</v>
      </c>
      <c r="E672" s="3032">
        <v>710</v>
      </c>
      <c r="F672" s="3032">
        <v>34.9</v>
      </c>
      <c r="G672" s="3032" t="s">
        <v>3559</v>
      </c>
    </row>
    <row r="673" spans="1:7" ht="16.5">
      <c r="A673" s="3032">
        <v>660</v>
      </c>
      <c r="B673" s="3032" t="s">
        <v>3539</v>
      </c>
      <c r="C673" s="3032" t="s">
        <v>3573</v>
      </c>
      <c r="D673" s="3032" t="s">
        <v>3574</v>
      </c>
      <c r="E673" s="3032">
        <v>711</v>
      </c>
      <c r="F673" s="3032">
        <v>55.11</v>
      </c>
      <c r="G673" s="3032" t="s">
        <v>3559</v>
      </c>
    </row>
    <row r="674" spans="1:7" ht="16.5">
      <c r="A674" s="3032">
        <v>661</v>
      </c>
      <c r="B674" s="3032" t="s">
        <v>3539</v>
      </c>
      <c r="C674" s="3032" t="s">
        <v>3573</v>
      </c>
      <c r="D674" s="3032" t="s">
        <v>3574</v>
      </c>
      <c r="E674" s="3032">
        <v>712</v>
      </c>
      <c r="F674" s="3032">
        <v>69.33</v>
      </c>
      <c r="G674" s="3032" t="s">
        <v>3559</v>
      </c>
    </row>
    <row r="675" spans="1:7" ht="16.5">
      <c r="A675" s="3032">
        <v>662</v>
      </c>
      <c r="B675" s="3032" t="s">
        <v>3539</v>
      </c>
      <c r="C675" s="3032" t="s">
        <v>3573</v>
      </c>
      <c r="D675" s="3032" t="s">
        <v>3574</v>
      </c>
      <c r="E675" s="3032">
        <v>713</v>
      </c>
      <c r="F675" s="3032">
        <v>51.23</v>
      </c>
      <c r="G675" s="3032" t="s">
        <v>3559</v>
      </c>
    </row>
    <row r="676" spans="1:7" ht="16.5">
      <c r="A676" s="3032">
        <v>663</v>
      </c>
      <c r="B676" s="3032" t="s">
        <v>3539</v>
      </c>
      <c r="C676" s="3032" t="s">
        <v>3573</v>
      </c>
      <c r="D676" s="3032" t="s">
        <v>3574</v>
      </c>
      <c r="E676" s="3032">
        <v>801</v>
      </c>
      <c r="F676" s="3032">
        <v>51.23</v>
      </c>
      <c r="G676" s="3032" t="s">
        <v>3559</v>
      </c>
    </row>
    <row r="677" spans="1:7" ht="16.5">
      <c r="A677" s="3032">
        <v>664</v>
      </c>
      <c r="B677" s="3032" t="s">
        <v>3539</v>
      </c>
      <c r="C677" s="3032" t="s">
        <v>3573</v>
      </c>
      <c r="D677" s="3032" t="s">
        <v>3574</v>
      </c>
      <c r="E677" s="3032">
        <v>802</v>
      </c>
      <c r="F677" s="3032">
        <v>69.33</v>
      </c>
      <c r="G677" s="3032" t="s">
        <v>3559</v>
      </c>
    </row>
    <row r="678" spans="1:7" ht="16.5">
      <c r="A678" s="3032">
        <v>665</v>
      </c>
      <c r="B678" s="3032" t="s">
        <v>3539</v>
      </c>
      <c r="C678" s="3032" t="s">
        <v>3573</v>
      </c>
      <c r="D678" s="3032" t="s">
        <v>3574</v>
      </c>
      <c r="E678" s="3032">
        <v>803</v>
      </c>
      <c r="F678" s="3032">
        <v>55.11</v>
      </c>
      <c r="G678" s="3032" t="s">
        <v>3559</v>
      </c>
    </row>
    <row r="679" spans="1:7" ht="16.5">
      <c r="A679" s="3032">
        <v>666</v>
      </c>
      <c r="B679" s="3032" t="s">
        <v>3539</v>
      </c>
      <c r="C679" s="3032" t="s">
        <v>3573</v>
      </c>
      <c r="D679" s="3032" t="s">
        <v>3574</v>
      </c>
      <c r="E679" s="3032">
        <v>804</v>
      </c>
      <c r="F679" s="3032">
        <v>69.33</v>
      </c>
      <c r="G679" s="3032" t="s">
        <v>3559</v>
      </c>
    </row>
    <row r="680" spans="1:7" ht="16.5">
      <c r="A680" s="3032">
        <v>667</v>
      </c>
      <c r="B680" s="3032" t="s">
        <v>3539</v>
      </c>
      <c r="C680" s="3032" t="s">
        <v>3573</v>
      </c>
      <c r="D680" s="3032" t="s">
        <v>3574</v>
      </c>
      <c r="E680" s="3032">
        <v>805</v>
      </c>
      <c r="F680" s="3032">
        <v>69.33</v>
      </c>
      <c r="G680" s="3032" t="s">
        <v>3559</v>
      </c>
    </row>
    <row r="681" spans="1:7" ht="16.5">
      <c r="A681" s="3032">
        <v>668</v>
      </c>
      <c r="B681" s="3032" t="s">
        <v>3539</v>
      </c>
      <c r="C681" s="3032" t="s">
        <v>3573</v>
      </c>
      <c r="D681" s="3032" t="s">
        <v>3574</v>
      </c>
      <c r="E681" s="3032">
        <v>806</v>
      </c>
      <c r="F681" s="3032">
        <v>69.33</v>
      </c>
      <c r="G681" s="3032" t="s">
        <v>3559</v>
      </c>
    </row>
    <row r="682" spans="1:7" ht="16.5">
      <c r="A682" s="3032">
        <v>669</v>
      </c>
      <c r="B682" s="3032" t="s">
        <v>3539</v>
      </c>
      <c r="C682" s="3032" t="s">
        <v>3573</v>
      </c>
      <c r="D682" s="3032" t="s">
        <v>3574</v>
      </c>
      <c r="E682" s="3032">
        <v>807</v>
      </c>
      <c r="F682" s="3032">
        <v>69.33</v>
      </c>
      <c r="G682" s="3032" t="s">
        <v>3559</v>
      </c>
    </row>
    <row r="683" spans="1:7" ht="16.5">
      <c r="A683" s="3032">
        <v>670</v>
      </c>
      <c r="B683" s="3032" t="s">
        <v>3539</v>
      </c>
      <c r="C683" s="3032" t="s">
        <v>3573</v>
      </c>
      <c r="D683" s="3032" t="s">
        <v>3574</v>
      </c>
      <c r="E683" s="3032">
        <v>808</v>
      </c>
      <c r="F683" s="3032">
        <v>69.33</v>
      </c>
      <c r="G683" s="3032" t="s">
        <v>3559</v>
      </c>
    </row>
    <row r="684" spans="1:7" ht="16.5">
      <c r="A684" s="3032">
        <v>671</v>
      </c>
      <c r="B684" s="3032" t="s">
        <v>3539</v>
      </c>
      <c r="C684" s="3032" t="s">
        <v>3573</v>
      </c>
      <c r="D684" s="3032" t="s">
        <v>3574</v>
      </c>
      <c r="E684" s="3032">
        <v>809</v>
      </c>
      <c r="F684" s="3032">
        <v>69.33</v>
      </c>
      <c r="G684" s="3032" t="s">
        <v>3559</v>
      </c>
    </row>
    <row r="685" spans="1:7" ht="16.5">
      <c r="A685" s="3032">
        <v>672</v>
      </c>
      <c r="B685" s="3032" t="s">
        <v>3539</v>
      </c>
      <c r="C685" s="3032" t="s">
        <v>3573</v>
      </c>
      <c r="D685" s="3032" t="s">
        <v>3574</v>
      </c>
      <c r="E685" s="3032">
        <v>810</v>
      </c>
      <c r="F685" s="3032">
        <v>34.9</v>
      </c>
      <c r="G685" s="3032" t="s">
        <v>3559</v>
      </c>
    </row>
    <row r="686" spans="1:7" ht="16.5">
      <c r="A686" s="3032">
        <v>673</v>
      </c>
      <c r="B686" s="3032" t="s">
        <v>3539</v>
      </c>
      <c r="C686" s="3032" t="s">
        <v>3573</v>
      </c>
      <c r="D686" s="3032" t="s">
        <v>3574</v>
      </c>
      <c r="E686" s="3032">
        <v>811</v>
      </c>
      <c r="F686" s="3032">
        <v>55.11</v>
      </c>
      <c r="G686" s="3032" t="s">
        <v>3559</v>
      </c>
    </row>
    <row r="687" spans="1:7" ht="16.5">
      <c r="A687" s="3032">
        <v>674</v>
      </c>
      <c r="B687" s="3032" t="s">
        <v>3539</v>
      </c>
      <c r="C687" s="3032" t="s">
        <v>3573</v>
      </c>
      <c r="D687" s="3032" t="s">
        <v>3574</v>
      </c>
      <c r="E687" s="3032">
        <v>812</v>
      </c>
      <c r="F687" s="3032">
        <v>69.33</v>
      </c>
      <c r="G687" s="3032" t="s">
        <v>3559</v>
      </c>
    </row>
    <row r="688" spans="1:7" ht="16.5">
      <c r="A688" s="3032">
        <v>675</v>
      </c>
      <c r="B688" s="3032" t="s">
        <v>3539</v>
      </c>
      <c r="C688" s="3032" t="s">
        <v>3573</v>
      </c>
      <c r="D688" s="3032" t="s">
        <v>3574</v>
      </c>
      <c r="E688" s="3032">
        <v>813</v>
      </c>
      <c r="F688" s="3032">
        <v>51.23</v>
      </c>
      <c r="G688" s="3032" t="s">
        <v>3559</v>
      </c>
    </row>
    <row r="689" spans="1:7" ht="16.5">
      <c r="A689" s="3032">
        <v>676</v>
      </c>
      <c r="B689" s="3032" t="s">
        <v>3539</v>
      </c>
      <c r="C689" s="3032" t="s">
        <v>3573</v>
      </c>
      <c r="D689" s="3032" t="s">
        <v>3574</v>
      </c>
      <c r="E689" s="3032">
        <v>901</v>
      </c>
      <c r="F689" s="3032">
        <v>51.23</v>
      </c>
      <c r="G689" s="3032" t="s">
        <v>3559</v>
      </c>
    </row>
    <row r="690" spans="1:7" ht="16.5">
      <c r="A690" s="3032">
        <v>677</v>
      </c>
      <c r="B690" s="3032" t="s">
        <v>3539</v>
      </c>
      <c r="C690" s="3032" t="s">
        <v>3573</v>
      </c>
      <c r="D690" s="3032" t="s">
        <v>3574</v>
      </c>
      <c r="E690" s="3032">
        <v>902</v>
      </c>
      <c r="F690" s="3032">
        <v>69.33</v>
      </c>
      <c r="G690" s="3032" t="s">
        <v>3559</v>
      </c>
    </row>
    <row r="691" spans="1:7" ht="16.5">
      <c r="A691" s="3032">
        <v>678</v>
      </c>
      <c r="B691" s="3032" t="s">
        <v>3539</v>
      </c>
      <c r="C691" s="3032" t="s">
        <v>3573</v>
      </c>
      <c r="D691" s="3032" t="s">
        <v>3574</v>
      </c>
      <c r="E691" s="3032">
        <v>903</v>
      </c>
      <c r="F691" s="3032">
        <v>55.11</v>
      </c>
      <c r="G691" s="3032" t="s">
        <v>3559</v>
      </c>
    </row>
    <row r="692" spans="1:7" ht="16.5">
      <c r="A692" s="3032">
        <v>679</v>
      </c>
      <c r="B692" s="3032" t="s">
        <v>3539</v>
      </c>
      <c r="C692" s="3032" t="s">
        <v>3573</v>
      </c>
      <c r="D692" s="3032" t="s">
        <v>3574</v>
      </c>
      <c r="E692" s="3032">
        <v>904</v>
      </c>
      <c r="F692" s="3032">
        <v>69.33</v>
      </c>
      <c r="G692" s="3032" t="s">
        <v>3559</v>
      </c>
    </row>
    <row r="693" spans="1:7" ht="16.5">
      <c r="A693" s="3032">
        <v>680</v>
      </c>
      <c r="B693" s="3032" t="s">
        <v>3539</v>
      </c>
      <c r="C693" s="3032" t="s">
        <v>3573</v>
      </c>
      <c r="D693" s="3032" t="s">
        <v>3574</v>
      </c>
      <c r="E693" s="3032">
        <v>905</v>
      </c>
      <c r="F693" s="3032">
        <v>69.33</v>
      </c>
      <c r="G693" s="3032" t="s">
        <v>3559</v>
      </c>
    </row>
    <row r="694" spans="1:7" ht="16.5">
      <c r="A694" s="3032">
        <v>681</v>
      </c>
      <c r="B694" s="3032" t="s">
        <v>3539</v>
      </c>
      <c r="C694" s="3032" t="s">
        <v>3573</v>
      </c>
      <c r="D694" s="3032" t="s">
        <v>3574</v>
      </c>
      <c r="E694" s="3032">
        <v>906</v>
      </c>
      <c r="F694" s="3032">
        <v>69.33</v>
      </c>
      <c r="G694" s="3032" t="s">
        <v>3559</v>
      </c>
    </row>
    <row r="695" spans="1:7" ht="16.5">
      <c r="A695" s="3032">
        <v>682</v>
      </c>
      <c r="B695" s="3032" t="s">
        <v>3539</v>
      </c>
      <c r="C695" s="3032" t="s">
        <v>3573</v>
      </c>
      <c r="D695" s="3032" t="s">
        <v>3574</v>
      </c>
      <c r="E695" s="3032">
        <v>907</v>
      </c>
      <c r="F695" s="3032">
        <v>69.33</v>
      </c>
      <c r="G695" s="3032" t="s">
        <v>3559</v>
      </c>
    </row>
    <row r="696" spans="1:7" ht="16.5">
      <c r="A696" s="3032">
        <v>683</v>
      </c>
      <c r="B696" s="3032" t="s">
        <v>3539</v>
      </c>
      <c r="C696" s="3032" t="s">
        <v>3573</v>
      </c>
      <c r="D696" s="3032" t="s">
        <v>3574</v>
      </c>
      <c r="E696" s="3032">
        <v>908</v>
      </c>
      <c r="F696" s="3032">
        <v>69.33</v>
      </c>
      <c r="G696" s="3032" t="s">
        <v>3559</v>
      </c>
    </row>
    <row r="697" spans="1:7" ht="16.5">
      <c r="A697" s="3032">
        <v>684</v>
      </c>
      <c r="B697" s="3032" t="s">
        <v>3539</v>
      </c>
      <c r="C697" s="3032" t="s">
        <v>3573</v>
      </c>
      <c r="D697" s="3032" t="s">
        <v>3574</v>
      </c>
      <c r="E697" s="3032">
        <v>909</v>
      </c>
      <c r="F697" s="3032">
        <v>69.33</v>
      </c>
      <c r="G697" s="3032" t="s">
        <v>3559</v>
      </c>
    </row>
    <row r="698" spans="1:7" ht="16.5">
      <c r="A698" s="3032">
        <v>685</v>
      </c>
      <c r="B698" s="3032" t="s">
        <v>3539</v>
      </c>
      <c r="C698" s="3032" t="s">
        <v>3573</v>
      </c>
      <c r="D698" s="3032" t="s">
        <v>3574</v>
      </c>
      <c r="E698" s="3032">
        <v>910</v>
      </c>
      <c r="F698" s="3032">
        <v>34.9</v>
      </c>
      <c r="G698" s="3032" t="s">
        <v>3559</v>
      </c>
    </row>
    <row r="699" spans="1:7" ht="16.5">
      <c r="A699" s="3032">
        <v>686</v>
      </c>
      <c r="B699" s="3032" t="s">
        <v>3539</v>
      </c>
      <c r="C699" s="3032" t="s">
        <v>3573</v>
      </c>
      <c r="D699" s="3032" t="s">
        <v>3574</v>
      </c>
      <c r="E699" s="3032">
        <v>911</v>
      </c>
      <c r="F699" s="3032">
        <v>55.11</v>
      </c>
      <c r="G699" s="3032" t="s">
        <v>3559</v>
      </c>
    </row>
    <row r="700" spans="1:7" ht="16.5">
      <c r="A700" s="3032">
        <v>687</v>
      </c>
      <c r="B700" s="3032" t="s">
        <v>3539</v>
      </c>
      <c r="C700" s="3032" t="s">
        <v>3573</v>
      </c>
      <c r="D700" s="3032" t="s">
        <v>3574</v>
      </c>
      <c r="E700" s="3032">
        <v>912</v>
      </c>
      <c r="F700" s="3032">
        <v>69.33</v>
      </c>
      <c r="G700" s="3032" t="s">
        <v>3559</v>
      </c>
    </row>
    <row r="701" spans="1:7" ht="16.5">
      <c r="A701" s="3032">
        <v>688</v>
      </c>
      <c r="B701" s="3032" t="s">
        <v>3539</v>
      </c>
      <c r="C701" s="3032" t="s">
        <v>3573</v>
      </c>
      <c r="D701" s="3032" t="s">
        <v>3574</v>
      </c>
      <c r="E701" s="3032">
        <v>913</v>
      </c>
      <c r="F701" s="3032">
        <v>51.23</v>
      </c>
      <c r="G701" s="3032" t="s">
        <v>3559</v>
      </c>
    </row>
    <row r="702" spans="1:7" ht="16.5">
      <c r="A702" s="3032">
        <v>689</v>
      </c>
      <c r="B702" s="3032" t="s">
        <v>3539</v>
      </c>
      <c r="C702" s="3032" t="s">
        <v>3573</v>
      </c>
      <c r="D702" s="3032" t="s">
        <v>3574</v>
      </c>
      <c r="E702" s="3032">
        <v>1001</v>
      </c>
      <c r="F702" s="3032">
        <v>51.23</v>
      </c>
      <c r="G702" s="3032" t="s">
        <v>3559</v>
      </c>
    </row>
    <row r="703" spans="1:7" ht="16.5">
      <c r="A703" s="3032">
        <v>690</v>
      </c>
      <c r="B703" s="3032" t="s">
        <v>3539</v>
      </c>
      <c r="C703" s="3032" t="s">
        <v>3573</v>
      </c>
      <c r="D703" s="3032" t="s">
        <v>3574</v>
      </c>
      <c r="E703" s="3032">
        <v>1002</v>
      </c>
      <c r="F703" s="3032">
        <v>69.33</v>
      </c>
      <c r="G703" s="3032" t="s">
        <v>3559</v>
      </c>
    </row>
    <row r="704" spans="1:7" ht="16.5">
      <c r="A704" s="3032">
        <v>691</v>
      </c>
      <c r="B704" s="3032" t="s">
        <v>3539</v>
      </c>
      <c r="C704" s="3032" t="s">
        <v>3573</v>
      </c>
      <c r="D704" s="3032" t="s">
        <v>3574</v>
      </c>
      <c r="E704" s="3032">
        <v>1003</v>
      </c>
      <c r="F704" s="3032">
        <v>55.11</v>
      </c>
      <c r="G704" s="3032" t="s">
        <v>3559</v>
      </c>
    </row>
    <row r="705" spans="1:7" ht="16.5">
      <c r="A705" s="3032">
        <v>692</v>
      </c>
      <c r="B705" s="3032" t="s">
        <v>3539</v>
      </c>
      <c r="C705" s="3032" t="s">
        <v>3573</v>
      </c>
      <c r="D705" s="3032" t="s">
        <v>3574</v>
      </c>
      <c r="E705" s="3032">
        <v>1004</v>
      </c>
      <c r="F705" s="3032">
        <v>69.33</v>
      </c>
      <c r="G705" s="3032" t="s">
        <v>3559</v>
      </c>
    </row>
    <row r="706" spans="1:7" ht="16.5">
      <c r="A706" s="3032">
        <v>693</v>
      </c>
      <c r="B706" s="3032" t="s">
        <v>3539</v>
      </c>
      <c r="C706" s="3032" t="s">
        <v>3573</v>
      </c>
      <c r="D706" s="3032" t="s">
        <v>3574</v>
      </c>
      <c r="E706" s="3032">
        <v>1005</v>
      </c>
      <c r="F706" s="3032">
        <v>69.33</v>
      </c>
      <c r="G706" s="3032" t="s">
        <v>3559</v>
      </c>
    </row>
    <row r="707" spans="1:7" ht="16.5">
      <c r="A707" s="3032">
        <v>694</v>
      </c>
      <c r="B707" s="3032" t="s">
        <v>3539</v>
      </c>
      <c r="C707" s="3032" t="s">
        <v>3573</v>
      </c>
      <c r="D707" s="3032" t="s">
        <v>3574</v>
      </c>
      <c r="E707" s="3032">
        <v>1006</v>
      </c>
      <c r="F707" s="3032">
        <v>69.33</v>
      </c>
      <c r="G707" s="3032" t="s">
        <v>3559</v>
      </c>
    </row>
    <row r="708" spans="1:7" ht="16.5">
      <c r="A708" s="3032">
        <v>695</v>
      </c>
      <c r="B708" s="3032" t="s">
        <v>3539</v>
      </c>
      <c r="C708" s="3032" t="s">
        <v>3573</v>
      </c>
      <c r="D708" s="3032" t="s">
        <v>3574</v>
      </c>
      <c r="E708" s="3032">
        <v>1007</v>
      </c>
      <c r="F708" s="3032">
        <v>69.33</v>
      </c>
      <c r="G708" s="3032" t="s">
        <v>3559</v>
      </c>
    </row>
    <row r="709" spans="1:7" ht="16.5">
      <c r="A709" s="3032">
        <v>696</v>
      </c>
      <c r="B709" s="3032" t="s">
        <v>3539</v>
      </c>
      <c r="C709" s="3032" t="s">
        <v>3573</v>
      </c>
      <c r="D709" s="3032" t="s">
        <v>3574</v>
      </c>
      <c r="E709" s="3032">
        <v>1008</v>
      </c>
      <c r="F709" s="3032">
        <v>69.33</v>
      </c>
      <c r="G709" s="3032" t="s">
        <v>3559</v>
      </c>
    </row>
    <row r="710" spans="1:7" ht="16.5">
      <c r="A710" s="3032">
        <v>697</v>
      </c>
      <c r="B710" s="3032" t="s">
        <v>3539</v>
      </c>
      <c r="C710" s="3032" t="s">
        <v>3573</v>
      </c>
      <c r="D710" s="3032" t="s">
        <v>3574</v>
      </c>
      <c r="E710" s="3032">
        <v>1009</v>
      </c>
      <c r="F710" s="3032">
        <v>69.33</v>
      </c>
      <c r="G710" s="3032" t="s">
        <v>3559</v>
      </c>
    </row>
    <row r="711" spans="1:7" ht="16.5">
      <c r="A711" s="3032">
        <v>698</v>
      </c>
      <c r="B711" s="3032" t="s">
        <v>3539</v>
      </c>
      <c r="C711" s="3032" t="s">
        <v>3573</v>
      </c>
      <c r="D711" s="3032" t="s">
        <v>3574</v>
      </c>
      <c r="E711" s="3032">
        <v>1010</v>
      </c>
      <c r="F711" s="3032">
        <v>34.9</v>
      </c>
      <c r="G711" s="3032" t="s">
        <v>3559</v>
      </c>
    </row>
    <row r="712" spans="1:7" ht="16.5">
      <c r="A712" s="3032">
        <v>699</v>
      </c>
      <c r="B712" s="3032" t="s">
        <v>3539</v>
      </c>
      <c r="C712" s="3032" t="s">
        <v>3573</v>
      </c>
      <c r="D712" s="3032" t="s">
        <v>3574</v>
      </c>
      <c r="E712" s="3032">
        <v>1011</v>
      </c>
      <c r="F712" s="3032">
        <v>55.11</v>
      </c>
      <c r="G712" s="3032" t="s">
        <v>3559</v>
      </c>
    </row>
    <row r="713" spans="1:7" ht="16.5">
      <c r="A713" s="3032">
        <v>700</v>
      </c>
      <c r="B713" s="3032" t="s">
        <v>3539</v>
      </c>
      <c r="C713" s="3032" t="s">
        <v>3573</v>
      </c>
      <c r="D713" s="3032" t="s">
        <v>3574</v>
      </c>
      <c r="E713" s="3032">
        <v>1012</v>
      </c>
      <c r="F713" s="3032">
        <v>69.33</v>
      </c>
      <c r="G713" s="3032" t="s">
        <v>3559</v>
      </c>
    </row>
    <row r="714" spans="1:7" ht="16.5">
      <c r="A714" s="3032">
        <v>701</v>
      </c>
      <c r="B714" s="3032" t="s">
        <v>3539</v>
      </c>
      <c r="C714" s="3032" t="s">
        <v>3573</v>
      </c>
      <c r="D714" s="3032" t="s">
        <v>3574</v>
      </c>
      <c r="E714" s="3032">
        <v>1013</v>
      </c>
      <c r="F714" s="3032">
        <v>51.23</v>
      </c>
      <c r="G714" s="3032" t="s">
        <v>3559</v>
      </c>
    </row>
    <row r="715" spans="1:7" ht="16.5">
      <c r="A715" s="3032">
        <v>702</v>
      </c>
      <c r="B715" s="3032" t="s">
        <v>3539</v>
      </c>
      <c r="C715" s="3032" t="s">
        <v>3573</v>
      </c>
      <c r="D715" s="3032" t="s">
        <v>3574</v>
      </c>
      <c r="E715" s="3032">
        <v>1101</v>
      </c>
      <c r="F715" s="3032">
        <v>51.23</v>
      </c>
      <c r="G715" s="3032" t="s">
        <v>3559</v>
      </c>
    </row>
    <row r="716" spans="1:7" ht="16.5">
      <c r="A716" s="3032">
        <v>703</v>
      </c>
      <c r="B716" s="3032" t="s">
        <v>3539</v>
      </c>
      <c r="C716" s="3032" t="s">
        <v>3573</v>
      </c>
      <c r="D716" s="3032" t="s">
        <v>3574</v>
      </c>
      <c r="E716" s="3032">
        <v>1102</v>
      </c>
      <c r="F716" s="3032">
        <v>69.33</v>
      </c>
      <c r="G716" s="3032" t="s">
        <v>3559</v>
      </c>
    </row>
    <row r="717" spans="1:7" ht="16.5">
      <c r="A717" s="3032">
        <v>704</v>
      </c>
      <c r="B717" s="3032" t="s">
        <v>3539</v>
      </c>
      <c r="C717" s="3032" t="s">
        <v>3573</v>
      </c>
      <c r="D717" s="3032" t="s">
        <v>3574</v>
      </c>
      <c r="E717" s="3032">
        <v>1103</v>
      </c>
      <c r="F717" s="3032">
        <v>55.11</v>
      </c>
      <c r="G717" s="3032" t="s">
        <v>3559</v>
      </c>
    </row>
    <row r="718" spans="1:7" ht="16.5">
      <c r="A718" s="3032">
        <v>705</v>
      </c>
      <c r="B718" s="3032" t="s">
        <v>3539</v>
      </c>
      <c r="C718" s="3032" t="s">
        <v>3573</v>
      </c>
      <c r="D718" s="3032" t="s">
        <v>3574</v>
      </c>
      <c r="E718" s="3032">
        <v>1104</v>
      </c>
      <c r="F718" s="3032">
        <v>69.33</v>
      </c>
      <c r="G718" s="3032" t="s">
        <v>3559</v>
      </c>
    </row>
    <row r="719" spans="1:7" ht="16.5">
      <c r="A719" s="3032">
        <v>706</v>
      </c>
      <c r="B719" s="3032" t="s">
        <v>3539</v>
      </c>
      <c r="C719" s="3032" t="s">
        <v>3573</v>
      </c>
      <c r="D719" s="3032" t="s">
        <v>3574</v>
      </c>
      <c r="E719" s="3032">
        <v>1105</v>
      </c>
      <c r="F719" s="3032">
        <v>69.33</v>
      </c>
      <c r="G719" s="3032" t="s">
        <v>3559</v>
      </c>
    </row>
    <row r="720" spans="1:7" ht="16.5">
      <c r="A720" s="3032">
        <v>707</v>
      </c>
      <c r="B720" s="3032" t="s">
        <v>3539</v>
      </c>
      <c r="C720" s="3032" t="s">
        <v>3573</v>
      </c>
      <c r="D720" s="3032" t="s">
        <v>3574</v>
      </c>
      <c r="E720" s="3032">
        <v>1106</v>
      </c>
      <c r="F720" s="3032">
        <v>69.33</v>
      </c>
      <c r="G720" s="3032" t="s">
        <v>3559</v>
      </c>
    </row>
    <row r="721" spans="1:7" ht="16.5">
      <c r="A721" s="3032">
        <v>708</v>
      </c>
      <c r="B721" s="3032" t="s">
        <v>3539</v>
      </c>
      <c r="C721" s="3032" t="s">
        <v>3573</v>
      </c>
      <c r="D721" s="3032" t="s">
        <v>3574</v>
      </c>
      <c r="E721" s="3032">
        <v>1107</v>
      </c>
      <c r="F721" s="3032">
        <v>69.33</v>
      </c>
      <c r="G721" s="3032" t="s">
        <v>3559</v>
      </c>
    </row>
    <row r="722" spans="1:7" ht="16.5">
      <c r="A722" s="3032">
        <v>709</v>
      </c>
      <c r="B722" s="3032" t="s">
        <v>3539</v>
      </c>
      <c r="C722" s="3032" t="s">
        <v>3573</v>
      </c>
      <c r="D722" s="3032" t="s">
        <v>3574</v>
      </c>
      <c r="E722" s="3032">
        <v>1108</v>
      </c>
      <c r="F722" s="3032">
        <v>69.33</v>
      </c>
      <c r="G722" s="3032" t="s">
        <v>3559</v>
      </c>
    </row>
    <row r="723" spans="1:7" ht="16.5">
      <c r="A723" s="3032">
        <v>710</v>
      </c>
      <c r="B723" s="3032" t="s">
        <v>3539</v>
      </c>
      <c r="C723" s="3032" t="s">
        <v>3573</v>
      </c>
      <c r="D723" s="3032" t="s">
        <v>3574</v>
      </c>
      <c r="E723" s="3032">
        <v>1109</v>
      </c>
      <c r="F723" s="3032">
        <v>69.33</v>
      </c>
      <c r="G723" s="3032" t="s">
        <v>3559</v>
      </c>
    </row>
    <row r="724" spans="1:7" ht="16.5">
      <c r="A724" s="3032">
        <v>711</v>
      </c>
      <c r="B724" s="3032" t="s">
        <v>3539</v>
      </c>
      <c r="C724" s="3032" t="s">
        <v>3573</v>
      </c>
      <c r="D724" s="3032" t="s">
        <v>3574</v>
      </c>
      <c r="E724" s="3032">
        <v>1110</v>
      </c>
      <c r="F724" s="3032">
        <v>34.9</v>
      </c>
      <c r="G724" s="3032" t="s">
        <v>3559</v>
      </c>
    </row>
    <row r="725" spans="1:7" ht="16.5">
      <c r="A725" s="3032">
        <v>712</v>
      </c>
      <c r="B725" s="3032" t="s">
        <v>3539</v>
      </c>
      <c r="C725" s="3032" t="s">
        <v>3573</v>
      </c>
      <c r="D725" s="3032" t="s">
        <v>3574</v>
      </c>
      <c r="E725" s="3032">
        <v>1111</v>
      </c>
      <c r="F725" s="3032">
        <v>55.11</v>
      </c>
      <c r="G725" s="3032" t="s">
        <v>3559</v>
      </c>
    </row>
    <row r="726" spans="1:7" ht="16.5">
      <c r="A726" s="3032">
        <v>713</v>
      </c>
      <c r="B726" s="3032" t="s">
        <v>3539</v>
      </c>
      <c r="C726" s="3032" t="s">
        <v>3573</v>
      </c>
      <c r="D726" s="3032" t="s">
        <v>3574</v>
      </c>
      <c r="E726" s="3032">
        <v>1112</v>
      </c>
      <c r="F726" s="3032">
        <v>69.33</v>
      </c>
      <c r="G726" s="3032" t="s">
        <v>3559</v>
      </c>
    </row>
    <row r="727" spans="1:7" ht="16.5">
      <c r="A727" s="3032">
        <v>714</v>
      </c>
      <c r="B727" s="3032" t="s">
        <v>3539</v>
      </c>
      <c r="C727" s="3032" t="s">
        <v>3573</v>
      </c>
      <c r="D727" s="3032" t="s">
        <v>3574</v>
      </c>
      <c r="E727" s="3032">
        <v>1113</v>
      </c>
      <c r="F727" s="3032">
        <v>51.23</v>
      </c>
      <c r="G727" s="3032" t="s">
        <v>3559</v>
      </c>
    </row>
    <row r="728" spans="1:7" ht="16.5">
      <c r="A728" s="3032">
        <v>715</v>
      </c>
      <c r="B728" s="3032" t="s">
        <v>3539</v>
      </c>
      <c r="C728" s="3032" t="s">
        <v>3573</v>
      </c>
      <c r="D728" s="3032" t="s">
        <v>3574</v>
      </c>
      <c r="E728" s="3032">
        <v>1201</v>
      </c>
      <c r="F728" s="3032">
        <v>51.23</v>
      </c>
      <c r="G728" s="3032" t="s">
        <v>3559</v>
      </c>
    </row>
    <row r="729" spans="1:7" ht="16.5">
      <c r="A729" s="3032">
        <v>716</v>
      </c>
      <c r="B729" s="3032" t="s">
        <v>3539</v>
      </c>
      <c r="C729" s="3032" t="s">
        <v>3573</v>
      </c>
      <c r="D729" s="3032" t="s">
        <v>3574</v>
      </c>
      <c r="E729" s="3032">
        <v>1202</v>
      </c>
      <c r="F729" s="3032">
        <v>69.33</v>
      </c>
      <c r="G729" s="3032" t="s">
        <v>3559</v>
      </c>
    </row>
    <row r="730" spans="1:7" ht="16.5">
      <c r="A730" s="3032">
        <v>717</v>
      </c>
      <c r="B730" s="3032" t="s">
        <v>3539</v>
      </c>
      <c r="C730" s="3032" t="s">
        <v>3573</v>
      </c>
      <c r="D730" s="3032" t="s">
        <v>3574</v>
      </c>
      <c r="E730" s="3032">
        <v>1203</v>
      </c>
      <c r="F730" s="3032">
        <v>55.11</v>
      </c>
      <c r="G730" s="3032" t="s">
        <v>3559</v>
      </c>
    </row>
    <row r="731" spans="1:7" ht="16.5">
      <c r="A731" s="3032">
        <v>718</v>
      </c>
      <c r="B731" s="3032" t="s">
        <v>3539</v>
      </c>
      <c r="C731" s="3032" t="s">
        <v>3573</v>
      </c>
      <c r="D731" s="3032" t="s">
        <v>3574</v>
      </c>
      <c r="E731" s="3032">
        <v>1204</v>
      </c>
      <c r="F731" s="3032">
        <v>69.33</v>
      </c>
      <c r="G731" s="3032" t="s">
        <v>3559</v>
      </c>
    </row>
    <row r="732" spans="1:7" ht="16.5">
      <c r="A732" s="3032">
        <v>719</v>
      </c>
      <c r="B732" s="3032" t="s">
        <v>3539</v>
      </c>
      <c r="C732" s="3032" t="s">
        <v>3573</v>
      </c>
      <c r="D732" s="3032" t="s">
        <v>3574</v>
      </c>
      <c r="E732" s="3032">
        <v>1205</v>
      </c>
      <c r="F732" s="3032">
        <v>69.33</v>
      </c>
      <c r="G732" s="3032" t="s">
        <v>3559</v>
      </c>
    </row>
    <row r="733" spans="1:7" ht="16.5">
      <c r="A733" s="3032">
        <v>720</v>
      </c>
      <c r="B733" s="3032" t="s">
        <v>3539</v>
      </c>
      <c r="C733" s="3032" t="s">
        <v>3573</v>
      </c>
      <c r="D733" s="3032" t="s">
        <v>3574</v>
      </c>
      <c r="E733" s="3032">
        <v>1206</v>
      </c>
      <c r="F733" s="3032">
        <v>69.33</v>
      </c>
      <c r="G733" s="3032" t="s">
        <v>3559</v>
      </c>
    </row>
    <row r="734" spans="1:7" ht="16.5">
      <c r="A734" s="3032">
        <v>721</v>
      </c>
      <c r="B734" s="3032" t="s">
        <v>3539</v>
      </c>
      <c r="C734" s="3032" t="s">
        <v>3573</v>
      </c>
      <c r="D734" s="3032" t="s">
        <v>3574</v>
      </c>
      <c r="E734" s="3032">
        <v>1207</v>
      </c>
      <c r="F734" s="3032">
        <v>69.33</v>
      </c>
      <c r="G734" s="3032" t="s">
        <v>3559</v>
      </c>
    </row>
    <row r="735" spans="1:7" ht="16.5">
      <c r="A735" s="3032">
        <v>722</v>
      </c>
      <c r="B735" s="3032" t="s">
        <v>3539</v>
      </c>
      <c r="C735" s="3032" t="s">
        <v>3573</v>
      </c>
      <c r="D735" s="3032" t="s">
        <v>3574</v>
      </c>
      <c r="E735" s="3032">
        <v>1208</v>
      </c>
      <c r="F735" s="3032">
        <v>69.33</v>
      </c>
      <c r="G735" s="3032" t="s">
        <v>3559</v>
      </c>
    </row>
    <row r="736" spans="1:7" ht="16.5">
      <c r="A736" s="3032">
        <v>723</v>
      </c>
      <c r="B736" s="3032" t="s">
        <v>3539</v>
      </c>
      <c r="C736" s="3032" t="s">
        <v>3573</v>
      </c>
      <c r="D736" s="3032" t="s">
        <v>3574</v>
      </c>
      <c r="E736" s="3032">
        <v>1209</v>
      </c>
      <c r="F736" s="3032">
        <v>69.33</v>
      </c>
      <c r="G736" s="3032" t="s">
        <v>3559</v>
      </c>
    </row>
    <row r="737" spans="1:7" ht="16.5">
      <c r="A737" s="3032">
        <v>724</v>
      </c>
      <c r="B737" s="3032" t="s">
        <v>3539</v>
      </c>
      <c r="C737" s="3032" t="s">
        <v>3573</v>
      </c>
      <c r="D737" s="3032" t="s">
        <v>3574</v>
      </c>
      <c r="E737" s="3032">
        <v>1210</v>
      </c>
      <c r="F737" s="3032">
        <v>34.9</v>
      </c>
      <c r="G737" s="3032" t="s">
        <v>3559</v>
      </c>
    </row>
    <row r="738" spans="1:7" ht="16.5">
      <c r="A738" s="3032">
        <v>725</v>
      </c>
      <c r="B738" s="3032" t="s">
        <v>3539</v>
      </c>
      <c r="C738" s="3032" t="s">
        <v>3573</v>
      </c>
      <c r="D738" s="3032" t="s">
        <v>3574</v>
      </c>
      <c r="E738" s="3032">
        <v>1211</v>
      </c>
      <c r="F738" s="3032">
        <v>55.11</v>
      </c>
      <c r="G738" s="3032" t="s">
        <v>3559</v>
      </c>
    </row>
    <row r="739" spans="1:7" ht="16.5">
      <c r="A739" s="3032">
        <v>726</v>
      </c>
      <c r="B739" s="3032" t="s">
        <v>3539</v>
      </c>
      <c r="C739" s="3032" t="s">
        <v>3573</v>
      </c>
      <c r="D739" s="3032" t="s">
        <v>3574</v>
      </c>
      <c r="E739" s="3032">
        <v>1212</v>
      </c>
      <c r="F739" s="3032">
        <v>69.33</v>
      </c>
      <c r="G739" s="3032" t="s">
        <v>3559</v>
      </c>
    </row>
    <row r="740" spans="1:7" ht="16.5">
      <c r="A740" s="3032">
        <v>727</v>
      </c>
      <c r="B740" s="3032" t="s">
        <v>3539</v>
      </c>
      <c r="C740" s="3032" t="s">
        <v>3573</v>
      </c>
      <c r="D740" s="3032" t="s">
        <v>3574</v>
      </c>
      <c r="E740" s="3032">
        <v>1213</v>
      </c>
      <c r="F740" s="3032">
        <v>51.23</v>
      </c>
      <c r="G740" s="3032" t="s">
        <v>3559</v>
      </c>
    </row>
    <row r="741" spans="1:7" ht="16.5">
      <c r="A741" s="3032">
        <v>728</v>
      </c>
      <c r="B741" s="3032" t="s">
        <v>3539</v>
      </c>
      <c r="C741" s="3032" t="s">
        <v>3573</v>
      </c>
      <c r="D741" s="3032" t="s">
        <v>3574</v>
      </c>
      <c r="E741" s="3032">
        <v>1301</v>
      </c>
      <c r="F741" s="3032">
        <v>51.23</v>
      </c>
      <c r="G741" s="3032" t="s">
        <v>3559</v>
      </c>
    </row>
    <row r="742" spans="1:7" ht="16.5">
      <c r="A742" s="3032">
        <v>729</v>
      </c>
      <c r="B742" s="3032" t="s">
        <v>3539</v>
      </c>
      <c r="C742" s="3032" t="s">
        <v>3573</v>
      </c>
      <c r="D742" s="3032" t="s">
        <v>3574</v>
      </c>
      <c r="E742" s="3032">
        <v>1302</v>
      </c>
      <c r="F742" s="3032">
        <v>69.33</v>
      </c>
      <c r="G742" s="3032" t="s">
        <v>3559</v>
      </c>
    </row>
    <row r="743" spans="1:7" ht="16.5">
      <c r="A743" s="3032">
        <v>730</v>
      </c>
      <c r="B743" s="3032" t="s">
        <v>3539</v>
      </c>
      <c r="C743" s="3032" t="s">
        <v>3573</v>
      </c>
      <c r="D743" s="3032" t="s">
        <v>3574</v>
      </c>
      <c r="E743" s="3032">
        <v>1303</v>
      </c>
      <c r="F743" s="3032">
        <v>55.11</v>
      </c>
      <c r="G743" s="3032" t="s">
        <v>3559</v>
      </c>
    </row>
    <row r="744" spans="1:7" ht="16.5">
      <c r="A744" s="3032">
        <v>731</v>
      </c>
      <c r="B744" s="3032" t="s">
        <v>3539</v>
      </c>
      <c r="C744" s="3032" t="s">
        <v>3573</v>
      </c>
      <c r="D744" s="3032" t="s">
        <v>3574</v>
      </c>
      <c r="E744" s="3032">
        <v>1304</v>
      </c>
      <c r="F744" s="3032">
        <v>69.33</v>
      </c>
      <c r="G744" s="3032" t="s">
        <v>3559</v>
      </c>
    </row>
    <row r="745" spans="1:7" ht="16.5">
      <c r="A745" s="3032">
        <v>732</v>
      </c>
      <c r="B745" s="3032" t="s">
        <v>3539</v>
      </c>
      <c r="C745" s="3032" t="s">
        <v>3573</v>
      </c>
      <c r="D745" s="3032" t="s">
        <v>3574</v>
      </c>
      <c r="E745" s="3032">
        <v>1305</v>
      </c>
      <c r="F745" s="3032">
        <v>69.33</v>
      </c>
      <c r="G745" s="3032" t="s">
        <v>3559</v>
      </c>
    </row>
    <row r="746" spans="1:7" ht="16.5">
      <c r="A746" s="3032">
        <v>733</v>
      </c>
      <c r="B746" s="3032" t="s">
        <v>3539</v>
      </c>
      <c r="C746" s="3032" t="s">
        <v>3573</v>
      </c>
      <c r="D746" s="3032" t="s">
        <v>3574</v>
      </c>
      <c r="E746" s="3032">
        <v>1306</v>
      </c>
      <c r="F746" s="3032">
        <v>69.33</v>
      </c>
      <c r="G746" s="3032" t="s">
        <v>3559</v>
      </c>
    </row>
    <row r="747" spans="1:7" ht="16.5">
      <c r="A747" s="3032">
        <v>734</v>
      </c>
      <c r="B747" s="3032" t="s">
        <v>3539</v>
      </c>
      <c r="C747" s="3032" t="s">
        <v>3573</v>
      </c>
      <c r="D747" s="3032" t="s">
        <v>3574</v>
      </c>
      <c r="E747" s="3032">
        <v>1307</v>
      </c>
      <c r="F747" s="3032">
        <v>69.33</v>
      </c>
      <c r="G747" s="3032" t="s">
        <v>3559</v>
      </c>
    </row>
    <row r="748" spans="1:7" ht="16.5">
      <c r="A748" s="3032">
        <v>735</v>
      </c>
      <c r="B748" s="3032" t="s">
        <v>3539</v>
      </c>
      <c r="C748" s="3032" t="s">
        <v>3573</v>
      </c>
      <c r="D748" s="3032" t="s">
        <v>3574</v>
      </c>
      <c r="E748" s="3032">
        <v>1308</v>
      </c>
      <c r="F748" s="3032">
        <v>69.33</v>
      </c>
      <c r="G748" s="3032" t="s">
        <v>3559</v>
      </c>
    </row>
    <row r="749" spans="1:7" ht="16.5">
      <c r="A749" s="3032">
        <v>736</v>
      </c>
      <c r="B749" s="3032" t="s">
        <v>3539</v>
      </c>
      <c r="C749" s="3032" t="s">
        <v>3573</v>
      </c>
      <c r="D749" s="3032" t="s">
        <v>3574</v>
      </c>
      <c r="E749" s="3032">
        <v>1309</v>
      </c>
      <c r="F749" s="3032">
        <v>69.33</v>
      </c>
      <c r="G749" s="3032" t="s">
        <v>3559</v>
      </c>
    </row>
    <row r="750" spans="1:7" ht="16.5">
      <c r="A750" s="3032">
        <v>737</v>
      </c>
      <c r="B750" s="3032" t="s">
        <v>3539</v>
      </c>
      <c r="C750" s="3032" t="s">
        <v>3573</v>
      </c>
      <c r="D750" s="3032" t="s">
        <v>3574</v>
      </c>
      <c r="E750" s="3032">
        <v>1310</v>
      </c>
      <c r="F750" s="3032">
        <v>34.9</v>
      </c>
      <c r="G750" s="3032" t="s">
        <v>3559</v>
      </c>
    </row>
    <row r="751" spans="1:7" ht="16.5">
      <c r="A751" s="3032">
        <v>738</v>
      </c>
      <c r="B751" s="3032" t="s">
        <v>3539</v>
      </c>
      <c r="C751" s="3032" t="s">
        <v>3573</v>
      </c>
      <c r="D751" s="3032" t="s">
        <v>3574</v>
      </c>
      <c r="E751" s="3032">
        <v>1311</v>
      </c>
      <c r="F751" s="3032">
        <v>55.11</v>
      </c>
      <c r="G751" s="3032" t="s">
        <v>3559</v>
      </c>
    </row>
    <row r="752" spans="1:7" ht="16.5">
      <c r="A752" s="3032">
        <v>739</v>
      </c>
      <c r="B752" s="3032" t="s">
        <v>3539</v>
      </c>
      <c r="C752" s="3032" t="s">
        <v>3573</v>
      </c>
      <c r="D752" s="3032" t="s">
        <v>3574</v>
      </c>
      <c r="E752" s="3032">
        <v>1312</v>
      </c>
      <c r="F752" s="3032">
        <v>69.33</v>
      </c>
      <c r="G752" s="3032" t="s">
        <v>3559</v>
      </c>
    </row>
    <row r="753" spans="1:7" ht="16.5">
      <c r="A753" s="3032">
        <v>740</v>
      </c>
      <c r="B753" s="3032" t="s">
        <v>3539</v>
      </c>
      <c r="C753" s="3032" t="s">
        <v>3573</v>
      </c>
      <c r="D753" s="3032" t="s">
        <v>3574</v>
      </c>
      <c r="E753" s="3032">
        <v>1313</v>
      </c>
      <c r="F753" s="3032">
        <v>51.23</v>
      </c>
      <c r="G753" s="3032" t="s">
        <v>3559</v>
      </c>
    </row>
    <row r="754" spans="1:7" ht="16.5">
      <c r="A754" s="3032">
        <v>741</v>
      </c>
      <c r="B754" s="3032" t="s">
        <v>3539</v>
      </c>
      <c r="C754" s="3032" t="s">
        <v>3573</v>
      </c>
      <c r="D754" s="3032" t="s">
        <v>3574</v>
      </c>
      <c r="E754" s="3032">
        <v>1401</v>
      </c>
      <c r="F754" s="3032">
        <v>51.23</v>
      </c>
      <c r="G754" s="3032" t="s">
        <v>3559</v>
      </c>
    </row>
    <row r="755" spans="1:7" ht="16.5">
      <c r="A755" s="3032">
        <v>742</v>
      </c>
      <c r="B755" s="3032" t="s">
        <v>3539</v>
      </c>
      <c r="C755" s="3032" t="s">
        <v>3573</v>
      </c>
      <c r="D755" s="3032" t="s">
        <v>3574</v>
      </c>
      <c r="E755" s="3032">
        <v>1402</v>
      </c>
      <c r="F755" s="3032">
        <v>69.33</v>
      </c>
      <c r="G755" s="3032" t="s">
        <v>3559</v>
      </c>
    </row>
    <row r="756" spans="1:7" ht="16.5">
      <c r="A756" s="3032">
        <v>743</v>
      </c>
      <c r="B756" s="3032" t="s">
        <v>3539</v>
      </c>
      <c r="C756" s="3032" t="s">
        <v>3573</v>
      </c>
      <c r="D756" s="3032" t="s">
        <v>3574</v>
      </c>
      <c r="E756" s="3032">
        <v>1403</v>
      </c>
      <c r="F756" s="3032">
        <v>55.11</v>
      </c>
      <c r="G756" s="3032" t="s">
        <v>3559</v>
      </c>
    </row>
    <row r="757" spans="1:7" ht="16.5">
      <c r="A757" s="3032">
        <v>744</v>
      </c>
      <c r="B757" s="3032" t="s">
        <v>3539</v>
      </c>
      <c r="C757" s="3032" t="s">
        <v>3573</v>
      </c>
      <c r="D757" s="3032" t="s">
        <v>3574</v>
      </c>
      <c r="E757" s="3032">
        <v>1404</v>
      </c>
      <c r="F757" s="3032">
        <v>69.33</v>
      </c>
      <c r="G757" s="3032" t="s">
        <v>3559</v>
      </c>
    </row>
    <row r="758" spans="1:7" ht="16.5">
      <c r="A758" s="3032">
        <v>745</v>
      </c>
      <c r="B758" s="3032" t="s">
        <v>3539</v>
      </c>
      <c r="C758" s="3032" t="s">
        <v>3573</v>
      </c>
      <c r="D758" s="3032" t="s">
        <v>3574</v>
      </c>
      <c r="E758" s="3032">
        <v>1405</v>
      </c>
      <c r="F758" s="3032">
        <v>69.33</v>
      </c>
      <c r="G758" s="3032" t="s">
        <v>3559</v>
      </c>
    </row>
    <row r="759" spans="1:7" ht="16.5">
      <c r="A759" s="3032">
        <v>746</v>
      </c>
      <c r="B759" s="3032" t="s">
        <v>3539</v>
      </c>
      <c r="C759" s="3032" t="s">
        <v>3573</v>
      </c>
      <c r="D759" s="3032" t="s">
        <v>3574</v>
      </c>
      <c r="E759" s="3032">
        <v>1406</v>
      </c>
      <c r="F759" s="3032">
        <v>69.33</v>
      </c>
      <c r="G759" s="3032" t="s">
        <v>3559</v>
      </c>
    </row>
    <row r="760" spans="1:7" ht="16.5">
      <c r="A760" s="3032">
        <v>747</v>
      </c>
      <c r="B760" s="3032" t="s">
        <v>3539</v>
      </c>
      <c r="C760" s="3032" t="s">
        <v>3573</v>
      </c>
      <c r="D760" s="3032" t="s">
        <v>3574</v>
      </c>
      <c r="E760" s="3032">
        <v>1407</v>
      </c>
      <c r="F760" s="3032">
        <v>69.33</v>
      </c>
      <c r="G760" s="3032" t="s">
        <v>3559</v>
      </c>
    </row>
    <row r="761" spans="1:7" ht="16.5">
      <c r="A761" s="3032">
        <v>748</v>
      </c>
      <c r="B761" s="3032" t="s">
        <v>3539</v>
      </c>
      <c r="C761" s="3032" t="s">
        <v>3573</v>
      </c>
      <c r="D761" s="3032" t="s">
        <v>3574</v>
      </c>
      <c r="E761" s="3032">
        <v>1408</v>
      </c>
      <c r="F761" s="3032">
        <v>69.33</v>
      </c>
      <c r="G761" s="3032" t="s">
        <v>3559</v>
      </c>
    </row>
    <row r="762" spans="1:7" ht="16.5">
      <c r="A762" s="3032">
        <v>749</v>
      </c>
      <c r="B762" s="3032" t="s">
        <v>3539</v>
      </c>
      <c r="C762" s="3032" t="s">
        <v>3573</v>
      </c>
      <c r="D762" s="3032" t="s">
        <v>3574</v>
      </c>
      <c r="E762" s="3032">
        <v>1409</v>
      </c>
      <c r="F762" s="3032">
        <v>69.33</v>
      </c>
      <c r="G762" s="3032" t="s">
        <v>3559</v>
      </c>
    </row>
    <row r="763" spans="1:7" ht="16.5">
      <c r="A763" s="3032">
        <v>750</v>
      </c>
      <c r="B763" s="3032" t="s">
        <v>3539</v>
      </c>
      <c r="C763" s="3032" t="s">
        <v>3573</v>
      </c>
      <c r="D763" s="3032" t="s">
        <v>3574</v>
      </c>
      <c r="E763" s="3032">
        <v>1410</v>
      </c>
      <c r="F763" s="3032">
        <v>34.9</v>
      </c>
      <c r="G763" s="3032" t="s">
        <v>3559</v>
      </c>
    </row>
    <row r="764" spans="1:7" ht="16.5">
      <c r="A764" s="3032">
        <v>751</v>
      </c>
      <c r="B764" s="3032" t="s">
        <v>3539</v>
      </c>
      <c r="C764" s="3032" t="s">
        <v>3573</v>
      </c>
      <c r="D764" s="3032" t="s">
        <v>3574</v>
      </c>
      <c r="E764" s="3032">
        <v>1411</v>
      </c>
      <c r="F764" s="3032">
        <v>55.11</v>
      </c>
      <c r="G764" s="3032" t="s">
        <v>3559</v>
      </c>
    </row>
    <row r="765" spans="1:7" ht="16.5">
      <c r="A765" s="3032">
        <v>752</v>
      </c>
      <c r="B765" s="3032" t="s">
        <v>3539</v>
      </c>
      <c r="C765" s="3032" t="s">
        <v>3573</v>
      </c>
      <c r="D765" s="3032" t="s">
        <v>3574</v>
      </c>
      <c r="E765" s="3032">
        <v>1412</v>
      </c>
      <c r="F765" s="3032">
        <v>69.33</v>
      </c>
      <c r="G765" s="3032" t="s">
        <v>3559</v>
      </c>
    </row>
    <row r="766" spans="1:7" ht="16.5">
      <c r="A766" s="3032">
        <v>753</v>
      </c>
      <c r="B766" s="3032" t="s">
        <v>3539</v>
      </c>
      <c r="C766" s="3032" t="s">
        <v>3573</v>
      </c>
      <c r="D766" s="3032" t="s">
        <v>3574</v>
      </c>
      <c r="E766" s="3032">
        <v>1413</v>
      </c>
      <c r="F766" s="3032">
        <v>51.23</v>
      </c>
      <c r="G766" s="3032" t="s">
        <v>3559</v>
      </c>
    </row>
    <row r="767" spans="1:7" ht="16.5">
      <c r="A767" s="3032">
        <v>754</v>
      </c>
      <c r="B767" s="3032" t="s">
        <v>3539</v>
      </c>
      <c r="C767" s="3032" t="s">
        <v>3573</v>
      </c>
      <c r="D767" s="3032" t="s">
        <v>3574</v>
      </c>
      <c r="E767" s="3032">
        <v>1501</v>
      </c>
      <c r="F767" s="3032">
        <v>51.23</v>
      </c>
      <c r="G767" s="3032" t="s">
        <v>3559</v>
      </c>
    </row>
    <row r="768" spans="1:7" ht="16.5">
      <c r="A768" s="3032">
        <v>755</v>
      </c>
      <c r="B768" s="3032" t="s">
        <v>3539</v>
      </c>
      <c r="C768" s="3032" t="s">
        <v>3573</v>
      </c>
      <c r="D768" s="3032" t="s">
        <v>3574</v>
      </c>
      <c r="E768" s="3032">
        <v>1502</v>
      </c>
      <c r="F768" s="3032">
        <v>69.33</v>
      </c>
      <c r="G768" s="3032" t="s">
        <v>3559</v>
      </c>
    </row>
    <row r="769" spans="1:7" ht="16.5">
      <c r="A769" s="3032">
        <v>756</v>
      </c>
      <c r="B769" s="3032" t="s">
        <v>3539</v>
      </c>
      <c r="C769" s="3032" t="s">
        <v>3573</v>
      </c>
      <c r="D769" s="3032" t="s">
        <v>3574</v>
      </c>
      <c r="E769" s="3032">
        <v>1503</v>
      </c>
      <c r="F769" s="3032">
        <v>55.11</v>
      </c>
      <c r="G769" s="3032" t="s">
        <v>3559</v>
      </c>
    </row>
    <row r="770" spans="1:7" ht="16.5">
      <c r="A770" s="3032">
        <v>757</v>
      </c>
      <c r="B770" s="3032" t="s">
        <v>3539</v>
      </c>
      <c r="C770" s="3032" t="s">
        <v>3573</v>
      </c>
      <c r="D770" s="3032" t="s">
        <v>3574</v>
      </c>
      <c r="E770" s="3032">
        <v>1504</v>
      </c>
      <c r="F770" s="3032">
        <v>69.33</v>
      </c>
      <c r="G770" s="3032" t="s">
        <v>3559</v>
      </c>
    </row>
    <row r="771" spans="1:7" ht="16.5">
      <c r="A771" s="3032">
        <v>758</v>
      </c>
      <c r="B771" s="3032" t="s">
        <v>3539</v>
      </c>
      <c r="C771" s="3032" t="s">
        <v>3573</v>
      </c>
      <c r="D771" s="3032" t="s">
        <v>3574</v>
      </c>
      <c r="E771" s="3032">
        <v>1505</v>
      </c>
      <c r="F771" s="3032">
        <v>69.33</v>
      </c>
      <c r="G771" s="3032" t="s">
        <v>3559</v>
      </c>
    </row>
    <row r="772" spans="1:7" ht="16.5">
      <c r="A772" s="3032">
        <v>759</v>
      </c>
      <c r="B772" s="3032" t="s">
        <v>3539</v>
      </c>
      <c r="C772" s="3032" t="s">
        <v>3573</v>
      </c>
      <c r="D772" s="3032" t="s">
        <v>3574</v>
      </c>
      <c r="E772" s="3032">
        <v>1506</v>
      </c>
      <c r="F772" s="3032">
        <v>69.33</v>
      </c>
      <c r="G772" s="3032" t="s">
        <v>3559</v>
      </c>
    </row>
    <row r="773" spans="1:7" ht="16.5">
      <c r="A773" s="3032">
        <v>760</v>
      </c>
      <c r="B773" s="3032" t="s">
        <v>3539</v>
      </c>
      <c r="C773" s="3032" t="s">
        <v>3573</v>
      </c>
      <c r="D773" s="3032" t="s">
        <v>3574</v>
      </c>
      <c r="E773" s="3032">
        <v>1507</v>
      </c>
      <c r="F773" s="3032">
        <v>69.33</v>
      </c>
      <c r="G773" s="3032" t="s">
        <v>3559</v>
      </c>
    </row>
    <row r="774" spans="1:7" ht="16.5">
      <c r="A774" s="3032">
        <v>761</v>
      </c>
      <c r="B774" s="3032" t="s">
        <v>3539</v>
      </c>
      <c r="C774" s="3032" t="s">
        <v>3573</v>
      </c>
      <c r="D774" s="3032" t="s">
        <v>3574</v>
      </c>
      <c r="E774" s="3032">
        <v>1508</v>
      </c>
      <c r="F774" s="3032">
        <v>69.33</v>
      </c>
      <c r="G774" s="3032" t="s">
        <v>3559</v>
      </c>
    </row>
    <row r="775" spans="1:7" ht="16.5">
      <c r="A775" s="3032">
        <v>762</v>
      </c>
      <c r="B775" s="3032" t="s">
        <v>3539</v>
      </c>
      <c r="C775" s="3032" t="s">
        <v>3573</v>
      </c>
      <c r="D775" s="3032" t="s">
        <v>3574</v>
      </c>
      <c r="E775" s="3032">
        <v>1509</v>
      </c>
      <c r="F775" s="3032">
        <v>69.33</v>
      </c>
      <c r="G775" s="3032" t="s">
        <v>3559</v>
      </c>
    </row>
    <row r="776" spans="1:7" ht="16.5">
      <c r="A776" s="3032">
        <v>763</v>
      </c>
      <c r="B776" s="3032" t="s">
        <v>3539</v>
      </c>
      <c r="C776" s="3032" t="s">
        <v>3573</v>
      </c>
      <c r="D776" s="3032" t="s">
        <v>3574</v>
      </c>
      <c r="E776" s="3032">
        <v>1510</v>
      </c>
      <c r="F776" s="3032">
        <v>34.9</v>
      </c>
      <c r="G776" s="3032" t="s">
        <v>3559</v>
      </c>
    </row>
    <row r="777" spans="1:7" ht="16.5">
      <c r="A777" s="3032">
        <v>764</v>
      </c>
      <c r="B777" s="3032" t="s">
        <v>3539</v>
      </c>
      <c r="C777" s="3032" t="s">
        <v>3573</v>
      </c>
      <c r="D777" s="3032" t="s">
        <v>3574</v>
      </c>
      <c r="E777" s="3032">
        <v>1511</v>
      </c>
      <c r="F777" s="3032">
        <v>55.11</v>
      </c>
      <c r="G777" s="3032" t="s">
        <v>3559</v>
      </c>
    </row>
    <row r="778" spans="1:7" ht="16.5">
      <c r="A778" s="3032">
        <v>765</v>
      </c>
      <c r="B778" s="3032" t="s">
        <v>3539</v>
      </c>
      <c r="C778" s="3032" t="s">
        <v>3573</v>
      </c>
      <c r="D778" s="3032" t="s">
        <v>3574</v>
      </c>
      <c r="E778" s="3032">
        <v>1512</v>
      </c>
      <c r="F778" s="3032">
        <v>69.33</v>
      </c>
      <c r="G778" s="3032" t="s">
        <v>3559</v>
      </c>
    </row>
    <row r="779" spans="1:7" ht="16.5">
      <c r="A779" s="3032">
        <v>766</v>
      </c>
      <c r="B779" s="3032" t="s">
        <v>3539</v>
      </c>
      <c r="C779" s="3032" t="s">
        <v>3573</v>
      </c>
      <c r="D779" s="3032" t="s">
        <v>3574</v>
      </c>
      <c r="E779" s="3032">
        <v>1513</v>
      </c>
      <c r="F779" s="3032">
        <v>51.23</v>
      </c>
      <c r="G779" s="3032" t="s">
        <v>3559</v>
      </c>
    </row>
    <row r="780" spans="1:7" ht="16.5">
      <c r="A780" s="3032">
        <v>767</v>
      </c>
      <c r="B780" s="3032" t="s">
        <v>3539</v>
      </c>
      <c r="C780" s="3032" t="s">
        <v>3573</v>
      </c>
      <c r="D780" s="3032" t="s">
        <v>3574</v>
      </c>
      <c r="E780" s="3032">
        <v>1601</v>
      </c>
      <c r="F780" s="3032">
        <v>51.23</v>
      </c>
      <c r="G780" s="3032" t="s">
        <v>3559</v>
      </c>
    </row>
    <row r="781" spans="1:7" ht="16.5">
      <c r="A781" s="3032">
        <v>768</v>
      </c>
      <c r="B781" s="3032" t="s">
        <v>3539</v>
      </c>
      <c r="C781" s="3032" t="s">
        <v>3573</v>
      </c>
      <c r="D781" s="3032" t="s">
        <v>3574</v>
      </c>
      <c r="E781" s="3032">
        <v>1602</v>
      </c>
      <c r="F781" s="3032">
        <v>69.33</v>
      </c>
      <c r="G781" s="3032" t="s">
        <v>3559</v>
      </c>
    </row>
    <row r="782" spans="1:7" ht="16.5">
      <c r="A782" s="3032">
        <v>769</v>
      </c>
      <c r="B782" s="3032" t="s">
        <v>3539</v>
      </c>
      <c r="C782" s="3032" t="s">
        <v>3573</v>
      </c>
      <c r="D782" s="3032" t="s">
        <v>3574</v>
      </c>
      <c r="E782" s="3032">
        <v>1603</v>
      </c>
      <c r="F782" s="3032">
        <v>55.11</v>
      </c>
      <c r="G782" s="3032" t="s">
        <v>3559</v>
      </c>
    </row>
    <row r="783" spans="1:7" ht="16.5">
      <c r="A783" s="3032">
        <v>770</v>
      </c>
      <c r="B783" s="3032" t="s">
        <v>3539</v>
      </c>
      <c r="C783" s="3032" t="s">
        <v>3573</v>
      </c>
      <c r="D783" s="3032" t="s">
        <v>3574</v>
      </c>
      <c r="E783" s="3032">
        <v>1604</v>
      </c>
      <c r="F783" s="3032">
        <v>69.33</v>
      </c>
      <c r="G783" s="3032" t="s">
        <v>3559</v>
      </c>
    </row>
    <row r="784" spans="1:7" ht="16.5">
      <c r="A784" s="3032">
        <v>771</v>
      </c>
      <c r="B784" s="3032" t="s">
        <v>3539</v>
      </c>
      <c r="C784" s="3032" t="s">
        <v>3573</v>
      </c>
      <c r="D784" s="3032" t="s">
        <v>3574</v>
      </c>
      <c r="E784" s="3032">
        <v>1605</v>
      </c>
      <c r="F784" s="3032">
        <v>69.33</v>
      </c>
      <c r="G784" s="3032" t="s">
        <v>3559</v>
      </c>
    </row>
    <row r="785" spans="1:7" ht="16.5">
      <c r="A785" s="3032">
        <v>772</v>
      </c>
      <c r="B785" s="3032" t="s">
        <v>3539</v>
      </c>
      <c r="C785" s="3032" t="s">
        <v>3573</v>
      </c>
      <c r="D785" s="3032" t="s">
        <v>3574</v>
      </c>
      <c r="E785" s="3032">
        <v>1606</v>
      </c>
      <c r="F785" s="3032">
        <v>69.33</v>
      </c>
      <c r="G785" s="3032" t="s">
        <v>3559</v>
      </c>
    </row>
    <row r="786" spans="1:7" ht="16.5">
      <c r="A786" s="3032">
        <v>773</v>
      </c>
      <c r="B786" s="3032" t="s">
        <v>3539</v>
      </c>
      <c r="C786" s="3032" t="s">
        <v>3573</v>
      </c>
      <c r="D786" s="3032" t="s">
        <v>3574</v>
      </c>
      <c r="E786" s="3032">
        <v>1607</v>
      </c>
      <c r="F786" s="3032">
        <v>69.33</v>
      </c>
      <c r="G786" s="3032" t="s">
        <v>3559</v>
      </c>
    </row>
    <row r="787" spans="1:7" ht="16.5">
      <c r="A787" s="3032">
        <v>774</v>
      </c>
      <c r="B787" s="3032" t="s">
        <v>3539</v>
      </c>
      <c r="C787" s="3032" t="s">
        <v>3573</v>
      </c>
      <c r="D787" s="3032" t="s">
        <v>3574</v>
      </c>
      <c r="E787" s="3032">
        <v>1608</v>
      </c>
      <c r="F787" s="3032">
        <v>69.33</v>
      </c>
      <c r="G787" s="3032" t="s">
        <v>3559</v>
      </c>
    </row>
    <row r="788" spans="1:7" ht="16.5">
      <c r="A788" s="3032">
        <v>775</v>
      </c>
      <c r="B788" s="3032" t="s">
        <v>3539</v>
      </c>
      <c r="C788" s="3032" t="s">
        <v>3573</v>
      </c>
      <c r="D788" s="3032" t="s">
        <v>3574</v>
      </c>
      <c r="E788" s="3032">
        <v>1609</v>
      </c>
      <c r="F788" s="3032">
        <v>69.33</v>
      </c>
      <c r="G788" s="3032" t="s">
        <v>3559</v>
      </c>
    </row>
    <row r="789" spans="1:7" ht="16.5">
      <c r="A789" s="3032">
        <v>776</v>
      </c>
      <c r="B789" s="3032" t="s">
        <v>3539</v>
      </c>
      <c r="C789" s="3032" t="s">
        <v>3573</v>
      </c>
      <c r="D789" s="3032" t="s">
        <v>3574</v>
      </c>
      <c r="E789" s="3032">
        <v>1610</v>
      </c>
      <c r="F789" s="3032">
        <v>34.9</v>
      </c>
      <c r="G789" s="3032" t="s">
        <v>3559</v>
      </c>
    </row>
    <row r="790" spans="1:7" ht="16.5">
      <c r="A790" s="3032">
        <v>777</v>
      </c>
      <c r="B790" s="3032" t="s">
        <v>3539</v>
      </c>
      <c r="C790" s="3032" t="s">
        <v>3573</v>
      </c>
      <c r="D790" s="3032" t="s">
        <v>3574</v>
      </c>
      <c r="E790" s="3032">
        <v>1611</v>
      </c>
      <c r="F790" s="3032">
        <v>55.11</v>
      </c>
      <c r="G790" s="3032" t="s">
        <v>3559</v>
      </c>
    </row>
    <row r="791" spans="1:7" ht="16.5">
      <c r="A791" s="3032">
        <v>778</v>
      </c>
      <c r="B791" s="3032" t="s">
        <v>3539</v>
      </c>
      <c r="C791" s="3032" t="s">
        <v>3573</v>
      </c>
      <c r="D791" s="3032" t="s">
        <v>3574</v>
      </c>
      <c r="E791" s="3032">
        <v>1612</v>
      </c>
      <c r="F791" s="3032">
        <v>69.33</v>
      </c>
      <c r="G791" s="3032" t="s">
        <v>3559</v>
      </c>
    </row>
    <row r="792" spans="1:7" ht="16.5">
      <c r="A792" s="3032">
        <v>779</v>
      </c>
      <c r="B792" s="3032" t="s">
        <v>3539</v>
      </c>
      <c r="C792" s="3032" t="s">
        <v>3573</v>
      </c>
      <c r="D792" s="3032" t="s">
        <v>3574</v>
      </c>
      <c r="E792" s="3032">
        <v>1613</v>
      </c>
      <c r="F792" s="3032">
        <v>51.23</v>
      </c>
      <c r="G792" s="3032" t="s">
        <v>3559</v>
      </c>
    </row>
    <row r="793" spans="1:7" ht="16.5">
      <c r="A793" s="3032">
        <v>780</v>
      </c>
      <c r="B793" s="3032" t="s">
        <v>3539</v>
      </c>
      <c r="C793" s="3032" t="s">
        <v>3573</v>
      </c>
      <c r="D793" s="3032" t="s">
        <v>3574</v>
      </c>
      <c r="E793" s="3032">
        <v>1701</v>
      </c>
      <c r="F793" s="3032">
        <v>35.479999999999997</v>
      </c>
      <c r="G793" s="3032" t="s">
        <v>3559</v>
      </c>
    </row>
    <row r="794" spans="1:7" ht="16.5">
      <c r="A794" s="3032">
        <v>781</v>
      </c>
      <c r="B794" s="3032" t="s">
        <v>3539</v>
      </c>
      <c r="C794" s="3032" t="s">
        <v>3573</v>
      </c>
      <c r="D794" s="3032" t="s">
        <v>3574</v>
      </c>
      <c r="E794" s="3032">
        <v>1702</v>
      </c>
      <c r="F794" s="3032">
        <v>55.11</v>
      </c>
      <c r="G794" s="3032" t="s">
        <v>3559</v>
      </c>
    </row>
    <row r="795" spans="1:7" ht="16.5">
      <c r="A795" s="3032">
        <v>782</v>
      </c>
      <c r="B795" s="3032" t="s">
        <v>3539</v>
      </c>
      <c r="C795" s="3032" t="s">
        <v>3573</v>
      </c>
      <c r="D795" s="3032" t="s">
        <v>3574</v>
      </c>
      <c r="E795" s="3032">
        <v>1703</v>
      </c>
      <c r="F795" s="3032">
        <v>69.33</v>
      </c>
      <c r="G795" s="3032" t="s">
        <v>3559</v>
      </c>
    </row>
    <row r="796" spans="1:7" ht="16.5">
      <c r="A796" s="3032">
        <v>783</v>
      </c>
      <c r="B796" s="3032" t="s">
        <v>3539</v>
      </c>
      <c r="C796" s="3032" t="s">
        <v>3573</v>
      </c>
      <c r="D796" s="3032" t="s">
        <v>3574</v>
      </c>
      <c r="E796" s="3032">
        <v>1704</v>
      </c>
      <c r="F796" s="3032">
        <v>69.33</v>
      </c>
      <c r="G796" s="3032" t="s">
        <v>3559</v>
      </c>
    </row>
    <row r="797" spans="1:7" ht="16.5">
      <c r="A797" s="3032">
        <v>784</v>
      </c>
      <c r="B797" s="3032" t="s">
        <v>3539</v>
      </c>
      <c r="C797" s="3032" t="s">
        <v>3573</v>
      </c>
      <c r="D797" s="3032" t="s">
        <v>3574</v>
      </c>
      <c r="E797" s="3032">
        <v>1705</v>
      </c>
      <c r="F797" s="3032">
        <v>69.33</v>
      </c>
      <c r="G797" s="3032" t="s">
        <v>3559</v>
      </c>
    </row>
    <row r="798" spans="1:7" ht="16.5">
      <c r="A798" s="3032">
        <v>785</v>
      </c>
      <c r="B798" s="3032" t="s">
        <v>3539</v>
      </c>
      <c r="C798" s="3032" t="s">
        <v>3573</v>
      </c>
      <c r="D798" s="3032" t="s">
        <v>3574</v>
      </c>
      <c r="E798" s="3032">
        <v>1706</v>
      </c>
      <c r="F798" s="3032">
        <v>69.33</v>
      </c>
      <c r="G798" s="3032" t="s">
        <v>3559</v>
      </c>
    </row>
    <row r="799" spans="1:7" ht="16.5">
      <c r="A799" s="3032">
        <v>786</v>
      </c>
      <c r="B799" s="3032" t="s">
        <v>3539</v>
      </c>
      <c r="C799" s="3032" t="s">
        <v>3573</v>
      </c>
      <c r="D799" s="3032" t="s">
        <v>3574</v>
      </c>
      <c r="E799" s="3032">
        <v>1707</v>
      </c>
      <c r="F799" s="3032">
        <v>69.33</v>
      </c>
      <c r="G799" s="3032" t="s">
        <v>3559</v>
      </c>
    </row>
    <row r="800" spans="1:7" ht="16.5">
      <c r="A800" s="3032">
        <v>787</v>
      </c>
      <c r="B800" s="3032" t="s">
        <v>3539</v>
      </c>
      <c r="C800" s="3032" t="s">
        <v>3573</v>
      </c>
      <c r="D800" s="3032" t="s">
        <v>3574</v>
      </c>
      <c r="E800" s="3032">
        <v>1708</v>
      </c>
      <c r="F800" s="3032">
        <v>69.33</v>
      </c>
      <c r="G800" s="3032" t="s">
        <v>3559</v>
      </c>
    </row>
    <row r="801" spans="1:7" ht="16.5">
      <c r="A801" s="3032">
        <v>788</v>
      </c>
      <c r="B801" s="3032" t="s">
        <v>3539</v>
      </c>
      <c r="C801" s="3032" t="s">
        <v>3573</v>
      </c>
      <c r="D801" s="3032" t="s">
        <v>3574</v>
      </c>
      <c r="E801" s="3032">
        <v>1709</v>
      </c>
      <c r="F801" s="3032">
        <v>34.9</v>
      </c>
      <c r="G801" s="3032" t="s">
        <v>3559</v>
      </c>
    </row>
    <row r="802" spans="1:7" ht="16.5">
      <c r="A802" s="3032">
        <v>789</v>
      </c>
      <c r="B802" s="3032" t="s">
        <v>3539</v>
      </c>
      <c r="C802" s="3032" t="s">
        <v>3573</v>
      </c>
      <c r="D802" s="3032" t="s">
        <v>3574</v>
      </c>
      <c r="E802" s="3032">
        <v>1710</v>
      </c>
      <c r="F802" s="3032">
        <v>55.11</v>
      </c>
      <c r="G802" s="3032" t="s">
        <v>3559</v>
      </c>
    </row>
    <row r="803" spans="1:7" ht="16.5">
      <c r="A803" s="3032">
        <v>790</v>
      </c>
      <c r="B803" s="3032" t="s">
        <v>3539</v>
      </c>
      <c r="C803" s="3032" t="s">
        <v>3573</v>
      </c>
      <c r="D803" s="3032" t="s">
        <v>3574</v>
      </c>
      <c r="E803" s="3032">
        <v>1711</v>
      </c>
      <c r="F803" s="3032">
        <v>69.33</v>
      </c>
      <c r="G803" s="3032" t="s">
        <v>3559</v>
      </c>
    </row>
    <row r="804" spans="1:7" ht="16.5">
      <c r="A804" s="3032">
        <v>791</v>
      </c>
      <c r="B804" s="3032" t="s">
        <v>3539</v>
      </c>
      <c r="C804" s="3032" t="s">
        <v>3573</v>
      </c>
      <c r="D804" s="3032" t="s">
        <v>3574</v>
      </c>
      <c r="E804" s="3032">
        <v>1712</v>
      </c>
      <c r="F804" s="3032">
        <v>51.23</v>
      </c>
      <c r="G804" s="3032" t="s">
        <v>3559</v>
      </c>
    </row>
    <row r="805" spans="1:7" ht="16.5">
      <c r="A805" s="3032"/>
      <c r="B805" s="3032"/>
      <c r="C805" s="3032" t="s">
        <v>3572</v>
      </c>
      <c r="D805" s="3032"/>
      <c r="E805" s="3032"/>
      <c r="F805" s="3032">
        <f>SUM(F587:F804)</f>
        <v>13466.229999999983</v>
      </c>
      <c r="G805" s="3032"/>
    </row>
    <row r="806" spans="1:7" ht="16.5">
      <c r="A806" s="3032">
        <v>792</v>
      </c>
      <c r="B806" s="3032" t="s">
        <v>3539</v>
      </c>
      <c r="C806" s="3032" t="s">
        <v>3575</v>
      </c>
      <c r="D806" s="3032" t="s">
        <v>3574</v>
      </c>
      <c r="E806" s="3032">
        <v>101</v>
      </c>
      <c r="F806" s="3032">
        <v>51.14</v>
      </c>
      <c r="G806" s="3032" t="s">
        <v>3559</v>
      </c>
    </row>
    <row r="807" spans="1:7" ht="16.5">
      <c r="A807" s="3032">
        <v>793</v>
      </c>
      <c r="B807" s="3032" t="s">
        <v>3539</v>
      </c>
      <c r="C807" s="3032" t="s">
        <v>3575</v>
      </c>
      <c r="D807" s="3032" t="s">
        <v>3574</v>
      </c>
      <c r="E807" s="3032">
        <v>102</v>
      </c>
      <c r="F807" s="3032">
        <v>69.180000000000007</v>
      </c>
      <c r="G807" s="3032" t="s">
        <v>3559</v>
      </c>
    </row>
    <row r="808" spans="1:7" ht="16.5">
      <c r="A808" s="3032">
        <v>794</v>
      </c>
      <c r="B808" s="3032" t="s">
        <v>3539</v>
      </c>
      <c r="C808" s="3032" t="s">
        <v>3575</v>
      </c>
      <c r="D808" s="3032" t="s">
        <v>3574</v>
      </c>
      <c r="E808" s="3032">
        <v>103</v>
      </c>
      <c r="F808" s="3032">
        <v>55.02</v>
      </c>
      <c r="G808" s="3032" t="s">
        <v>3559</v>
      </c>
    </row>
    <row r="809" spans="1:7" ht="16.5">
      <c r="A809" s="3032">
        <v>795</v>
      </c>
      <c r="B809" s="3032" t="s">
        <v>3539</v>
      </c>
      <c r="C809" s="3032" t="s">
        <v>3575</v>
      </c>
      <c r="D809" s="3032" t="s">
        <v>3574</v>
      </c>
      <c r="E809" s="3032">
        <v>104</v>
      </c>
      <c r="F809" s="3032">
        <v>69.180000000000007</v>
      </c>
      <c r="G809" s="3032" t="s">
        <v>3559</v>
      </c>
    </row>
    <row r="810" spans="1:7" ht="16.5">
      <c r="A810" s="3032">
        <v>796</v>
      </c>
      <c r="B810" s="3032" t="s">
        <v>3539</v>
      </c>
      <c r="C810" s="3032" t="s">
        <v>3575</v>
      </c>
      <c r="D810" s="3032" t="s">
        <v>3574</v>
      </c>
      <c r="E810" s="3032">
        <v>105</v>
      </c>
      <c r="F810" s="3032">
        <v>69.180000000000007</v>
      </c>
      <c r="G810" s="3032" t="s">
        <v>3559</v>
      </c>
    </row>
    <row r="811" spans="1:7" ht="16.5">
      <c r="A811" s="3032">
        <v>797</v>
      </c>
      <c r="B811" s="3032" t="s">
        <v>3539</v>
      </c>
      <c r="C811" s="3032" t="s">
        <v>3575</v>
      </c>
      <c r="D811" s="3032" t="s">
        <v>3574</v>
      </c>
      <c r="E811" s="3032">
        <v>106</v>
      </c>
      <c r="F811" s="3032">
        <v>69.180000000000007</v>
      </c>
      <c r="G811" s="3032" t="s">
        <v>3559</v>
      </c>
    </row>
    <row r="812" spans="1:7" ht="16.5">
      <c r="A812" s="3032">
        <v>798</v>
      </c>
      <c r="B812" s="3032" t="s">
        <v>3539</v>
      </c>
      <c r="C812" s="3032" t="s">
        <v>3575</v>
      </c>
      <c r="D812" s="3032" t="s">
        <v>3574</v>
      </c>
      <c r="E812" s="3032">
        <v>107</v>
      </c>
      <c r="F812" s="3032">
        <v>69.180000000000007</v>
      </c>
      <c r="G812" s="3032" t="s">
        <v>3559</v>
      </c>
    </row>
    <row r="813" spans="1:7" ht="16.5">
      <c r="A813" s="3032">
        <v>799</v>
      </c>
      <c r="B813" s="3032" t="s">
        <v>3539</v>
      </c>
      <c r="C813" s="3032" t="s">
        <v>3575</v>
      </c>
      <c r="D813" s="3032" t="s">
        <v>3574</v>
      </c>
      <c r="E813" s="3032">
        <v>108</v>
      </c>
      <c r="F813" s="3032">
        <v>69.180000000000007</v>
      </c>
      <c r="G813" s="3032" t="s">
        <v>3559</v>
      </c>
    </row>
    <row r="814" spans="1:7" ht="16.5">
      <c r="A814" s="3032">
        <v>800</v>
      </c>
      <c r="B814" s="3032" t="s">
        <v>3539</v>
      </c>
      <c r="C814" s="3032" t="s">
        <v>3575</v>
      </c>
      <c r="D814" s="3032" t="s">
        <v>3574</v>
      </c>
      <c r="E814" s="3032">
        <v>109</v>
      </c>
      <c r="F814" s="3032">
        <v>69.180000000000007</v>
      </c>
      <c r="G814" s="3032" t="s">
        <v>3559</v>
      </c>
    </row>
    <row r="815" spans="1:7" ht="16.5">
      <c r="A815" s="3032">
        <v>801</v>
      </c>
      <c r="B815" s="3032" t="s">
        <v>3539</v>
      </c>
      <c r="C815" s="3032" t="s">
        <v>3575</v>
      </c>
      <c r="D815" s="3032" t="s">
        <v>3574</v>
      </c>
      <c r="E815" s="3032">
        <v>110</v>
      </c>
      <c r="F815" s="3032">
        <v>34.840000000000003</v>
      </c>
      <c r="G815" s="3032" t="s">
        <v>3559</v>
      </c>
    </row>
    <row r="816" spans="1:7" ht="16.5">
      <c r="A816" s="3032">
        <v>802</v>
      </c>
      <c r="B816" s="3032" t="s">
        <v>3539</v>
      </c>
      <c r="C816" s="3032" t="s">
        <v>3575</v>
      </c>
      <c r="D816" s="3032" t="s">
        <v>3574</v>
      </c>
      <c r="E816" s="3032">
        <v>111</v>
      </c>
      <c r="F816" s="3032">
        <v>55.02</v>
      </c>
      <c r="G816" s="3032" t="s">
        <v>3559</v>
      </c>
    </row>
    <row r="817" spans="1:7" ht="16.5">
      <c r="A817" s="3032">
        <v>803</v>
      </c>
      <c r="B817" s="3032" t="s">
        <v>3539</v>
      </c>
      <c r="C817" s="3032" t="s">
        <v>3575</v>
      </c>
      <c r="D817" s="3032" t="s">
        <v>3574</v>
      </c>
      <c r="E817" s="3032">
        <v>112</v>
      </c>
      <c r="F817" s="3032">
        <v>69.180000000000007</v>
      </c>
      <c r="G817" s="3032" t="s">
        <v>3559</v>
      </c>
    </row>
    <row r="818" spans="1:7" ht="16.5">
      <c r="A818" s="3032">
        <v>804</v>
      </c>
      <c r="B818" s="3032" t="s">
        <v>3539</v>
      </c>
      <c r="C818" s="3032" t="s">
        <v>3575</v>
      </c>
      <c r="D818" s="3032" t="s">
        <v>3574</v>
      </c>
      <c r="E818" s="3032">
        <v>201</v>
      </c>
      <c r="F818" s="3032">
        <v>51.14</v>
      </c>
      <c r="G818" s="3032" t="s">
        <v>3559</v>
      </c>
    </row>
    <row r="819" spans="1:7" ht="16.5">
      <c r="A819" s="3032">
        <v>805</v>
      </c>
      <c r="B819" s="3032" t="s">
        <v>3539</v>
      </c>
      <c r="C819" s="3032" t="s">
        <v>3575</v>
      </c>
      <c r="D819" s="3032" t="s">
        <v>3574</v>
      </c>
      <c r="E819" s="3032">
        <v>202</v>
      </c>
      <c r="F819" s="3032">
        <v>69.22</v>
      </c>
      <c r="G819" s="3032" t="s">
        <v>3559</v>
      </c>
    </row>
    <row r="820" spans="1:7" ht="16.5">
      <c r="A820" s="3032">
        <v>806</v>
      </c>
      <c r="B820" s="3032" t="s">
        <v>3539</v>
      </c>
      <c r="C820" s="3032" t="s">
        <v>3575</v>
      </c>
      <c r="D820" s="3032" t="s">
        <v>3574</v>
      </c>
      <c r="E820" s="3032">
        <v>203</v>
      </c>
      <c r="F820" s="3032">
        <v>55.02</v>
      </c>
      <c r="G820" s="3032" t="s">
        <v>3559</v>
      </c>
    </row>
    <row r="821" spans="1:7" ht="16.5">
      <c r="A821" s="3032">
        <v>807</v>
      </c>
      <c r="B821" s="3032" t="s">
        <v>3539</v>
      </c>
      <c r="C821" s="3032" t="s">
        <v>3575</v>
      </c>
      <c r="D821" s="3032" t="s">
        <v>3574</v>
      </c>
      <c r="E821" s="3032">
        <v>204</v>
      </c>
      <c r="F821" s="3032">
        <v>69.22</v>
      </c>
      <c r="G821" s="3032" t="s">
        <v>3559</v>
      </c>
    </row>
    <row r="822" spans="1:7" ht="16.5">
      <c r="A822" s="3032">
        <v>808</v>
      </c>
      <c r="B822" s="3032" t="s">
        <v>3539</v>
      </c>
      <c r="C822" s="3032" t="s">
        <v>3575</v>
      </c>
      <c r="D822" s="3032" t="s">
        <v>3574</v>
      </c>
      <c r="E822" s="3032">
        <v>205</v>
      </c>
      <c r="F822" s="3032">
        <v>69.22</v>
      </c>
      <c r="G822" s="3032" t="s">
        <v>3559</v>
      </c>
    </row>
    <row r="823" spans="1:7" ht="16.5">
      <c r="A823" s="3032">
        <v>809</v>
      </c>
      <c r="B823" s="3032" t="s">
        <v>3539</v>
      </c>
      <c r="C823" s="3032" t="s">
        <v>3575</v>
      </c>
      <c r="D823" s="3032" t="s">
        <v>3574</v>
      </c>
      <c r="E823" s="3032">
        <v>206</v>
      </c>
      <c r="F823" s="3032">
        <v>69.22</v>
      </c>
      <c r="G823" s="3032" t="s">
        <v>3559</v>
      </c>
    </row>
    <row r="824" spans="1:7" ht="16.5">
      <c r="A824" s="3032">
        <v>810</v>
      </c>
      <c r="B824" s="3032" t="s">
        <v>3539</v>
      </c>
      <c r="C824" s="3032" t="s">
        <v>3575</v>
      </c>
      <c r="D824" s="3032" t="s">
        <v>3574</v>
      </c>
      <c r="E824" s="3032">
        <v>207</v>
      </c>
      <c r="F824" s="3032">
        <v>69.22</v>
      </c>
      <c r="G824" s="3032" t="s">
        <v>3559</v>
      </c>
    </row>
    <row r="825" spans="1:7" ht="16.5">
      <c r="A825" s="3032">
        <v>811</v>
      </c>
      <c r="B825" s="3032" t="s">
        <v>3539</v>
      </c>
      <c r="C825" s="3032" t="s">
        <v>3575</v>
      </c>
      <c r="D825" s="3032" t="s">
        <v>3574</v>
      </c>
      <c r="E825" s="3032">
        <v>208</v>
      </c>
      <c r="F825" s="3032">
        <v>69.22</v>
      </c>
      <c r="G825" s="3032" t="s">
        <v>3559</v>
      </c>
    </row>
    <row r="826" spans="1:7" ht="16.5">
      <c r="A826" s="3032">
        <v>812</v>
      </c>
      <c r="B826" s="3032" t="s">
        <v>3539</v>
      </c>
      <c r="C826" s="3032" t="s">
        <v>3575</v>
      </c>
      <c r="D826" s="3032" t="s">
        <v>3574</v>
      </c>
      <c r="E826" s="3032">
        <v>209</v>
      </c>
      <c r="F826" s="3032">
        <v>69.22</v>
      </c>
      <c r="G826" s="3032" t="s">
        <v>3559</v>
      </c>
    </row>
    <row r="827" spans="1:7" ht="16.5">
      <c r="A827" s="3032">
        <v>813</v>
      </c>
      <c r="B827" s="3032" t="s">
        <v>3539</v>
      </c>
      <c r="C827" s="3032" t="s">
        <v>3575</v>
      </c>
      <c r="D827" s="3032" t="s">
        <v>3574</v>
      </c>
      <c r="E827" s="3032">
        <v>210</v>
      </c>
      <c r="F827" s="3032">
        <v>34.840000000000003</v>
      </c>
      <c r="G827" s="3032" t="s">
        <v>3559</v>
      </c>
    </row>
    <row r="828" spans="1:7" ht="16.5">
      <c r="A828" s="3032">
        <v>814</v>
      </c>
      <c r="B828" s="3032" t="s">
        <v>3539</v>
      </c>
      <c r="C828" s="3032" t="s">
        <v>3575</v>
      </c>
      <c r="D828" s="3032" t="s">
        <v>3574</v>
      </c>
      <c r="E828" s="3032">
        <v>211</v>
      </c>
      <c r="F828" s="3032">
        <v>55.02</v>
      </c>
      <c r="G828" s="3032" t="s">
        <v>3559</v>
      </c>
    </row>
    <row r="829" spans="1:7" ht="16.5">
      <c r="A829" s="3032">
        <v>815</v>
      </c>
      <c r="B829" s="3032" t="s">
        <v>3539</v>
      </c>
      <c r="C829" s="3032" t="s">
        <v>3575</v>
      </c>
      <c r="D829" s="3032" t="s">
        <v>3574</v>
      </c>
      <c r="E829" s="3032">
        <v>212</v>
      </c>
      <c r="F829" s="3032">
        <v>69.22</v>
      </c>
      <c r="G829" s="3032" t="s">
        <v>3559</v>
      </c>
    </row>
    <row r="830" spans="1:7" ht="16.5">
      <c r="A830" s="3032">
        <v>816</v>
      </c>
      <c r="B830" s="3032" t="s">
        <v>3539</v>
      </c>
      <c r="C830" s="3032" t="s">
        <v>3575</v>
      </c>
      <c r="D830" s="3032" t="s">
        <v>3574</v>
      </c>
      <c r="E830" s="3032">
        <v>213</v>
      </c>
      <c r="F830" s="3032">
        <v>51.14</v>
      </c>
      <c r="G830" s="3032" t="s">
        <v>3559</v>
      </c>
    </row>
    <row r="831" spans="1:7" ht="16.5">
      <c r="A831" s="3032">
        <v>817</v>
      </c>
      <c r="B831" s="3032" t="s">
        <v>3539</v>
      </c>
      <c r="C831" s="3032" t="s">
        <v>3575</v>
      </c>
      <c r="D831" s="3032" t="s">
        <v>3574</v>
      </c>
      <c r="E831" s="3032">
        <v>301</v>
      </c>
      <c r="F831" s="3032">
        <v>51.14</v>
      </c>
      <c r="G831" s="3032" t="s">
        <v>3559</v>
      </c>
    </row>
    <row r="832" spans="1:7" ht="16.5">
      <c r="A832" s="3032">
        <v>818</v>
      </c>
      <c r="B832" s="3032" t="s">
        <v>3539</v>
      </c>
      <c r="C832" s="3032" t="s">
        <v>3575</v>
      </c>
      <c r="D832" s="3032" t="s">
        <v>3574</v>
      </c>
      <c r="E832" s="3032">
        <v>302</v>
      </c>
      <c r="F832" s="3032">
        <v>69.22</v>
      </c>
      <c r="G832" s="3032" t="s">
        <v>3559</v>
      </c>
    </row>
    <row r="833" spans="1:7" ht="16.5">
      <c r="A833" s="3032">
        <v>819</v>
      </c>
      <c r="B833" s="3032" t="s">
        <v>3539</v>
      </c>
      <c r="C833" s="3032" t="s">
        <v>3575</v>
      </c>
      <c r="D833" s="3032" t="s">
        <v>3574</v>
      </c>
      <c r="E833" s="3032">
        <v>303</v>
      </c>
      <c r="F833" s="3032">
        <v>55.02</v>
      </c>
      <c r="G833" s="3032" t="s">
        <v>3559</v>
      </c>
    </row>
    <row r="834" spans="1:7" ht="16.5">
      <c r="A834" s="3032">
        <v>820</v>
      </c>
      <c r="B834" s="3032" t="s">
        <v>3539</v>
      </c>
      <c r="C834" s="3032" t="s">
        <v>3575</v>
      </c>
      <c r="D834" s="3032" t="s">
        <v>3574</v>
      </c>
      <c r="E834" s="3032">
        <v>304</v>
      </c>
      <c r="F834" s="3032">
        <v>69.22</v>
      </c>
      <c r="G834" s="3032" t="s">
        <v>3559</v>
      </c>
    </row>
    <row r="835" spans="1:7" ht="16.5">
      <c r="A835" s="3032">
        <v>821</v>
      </c>
      <c r="B835" s="3032" t="s">
        <v>3539</v>
      </c>
      <c r="C835" s="3032" t="s">
        <v>3575</v>
      </c>
      <c r="D835" s="3032" t="s">
        <v>3574</v>
      </c>
      <c r="E835" s="3032">
        <v>305</v>
      </c>
      <c r="F835" s="3032">
        <v>69.22</v>
      </c>
      <c r="G835" s="3032" t="s">
        <v>3559</v>
      </c>
    </row>
    <row r="836" spans="1:7" ht="16.5">
      <c r="A836" s="3032">
        <v>822</v>
      </c>
      <c r="B836" s="3032" t="s">
        <v>3539</v>
      </c>
      <c r="C836" s="3032" t="s">
        <v>3575</v>
      </c>
      <c r="D836" s="3032" t="s">
        <v>3574</v>
      </c>
      <c r="E836" s="3032">
        <v>306</v>
      </c>
      <c r="F836" s="3032">
        <v>69.22</v>
      </c>
      <c r="G836" s="3032" t="s">
        <v>3559</v>
      </c>
    </row>
    <row r="837" spans="1:7" ht="16.5">
      <c r="A837" s="3032">
        <v>823</v>
      </c>
      <c r="B837" s="3032" t="s">
        <v>3539</v>
      </c>
      <c r="C837" s="3032" t="s">
        <v>3575</v>
      </c>
      <c r="D837" s="3032" t="s">
        <v>3574</v>
      </c>
      <c r="E837" s="3032">
        <v>307</v>
      </c>
      <c r="F837" s="3032">
        <v>69.22</v>
      </c>
      <c r="G837" s="3032" t="s">
        <v>3559</v>
      </c>
    </row>
    <row r="838" spans="1:7" ht="16.5">
      <c r="A838" s="3032">
        <v>824</v>
      </c>
      <c r="B838" s="3032" t="s">
        <v>3539</v>
      </c>
      <c r="C838" s="3032" t="s">
        <v>3575</v>
      </c>
      <c r="D838" s="3032" t="s">
        <v>3574</v>
      </c>
      <c r="E838" s="3032">
        <v>308</v>
      </c>
      <c r="F838" s="3032">
        <v>69.22</v>
      </c>
      <c r="G838" s="3032" t="s">
        <v>3559</v>
      </c>
    </row>
    <row r="839" spans="1:7" ht="16.5">
      <c r="A839" s="3032">
        <v>825</v>
      </c>
      <c r="B839" s="3032" t="s">
        <v>3539</v>
      </c>
      <c r="C839" s="3032" t="s">
        <v>3575</v>
      </c>
      <c r="D839" s="3032" t="s">
        <v>3574</v>
      </c>
      <c r="E839" s="3032">
        <v>309</v>
      </c>
      <c r="F839" s="3032">
        <v>69.22</v>
      </c>
      <c r="G839" s="3032" t="s">
        <v>3559</v>
      </c>
    </row>
    <row r="840" spans="1:7" ht="16.5">
      <c r="A840" s="3032">
        <v>826</v>
      </c>
      <c r="B840" s="3032" t="s">
        <v>3539</v>
      </c>
      <c r="C840" s="3032" t="s">
        <v>3575</v>
      </c>
      <c r="D840" s="3032" t="s">
        <v>3574</v>
      </c>
      <c r="E840" s="3032">
        <v>310</v>
      </c>
      <c r="F840" s="3032">
        <v>34.840000000000003</v>
      </c>
      <c r="G840" s="3032" t="s">
        <v>3559</v>
      </c>
    </row>
    <row r="841" spans="1:7" ht="16.5">
      <c r="A841" s="3032">
        <v>827</v>
      </c>
      <c r="B841" s="3032" t="s">
        <v>3539</v>
      </c>
      <c r="C841" s="3032" t="s">
        <v>3575</v>
      </c>
      <c r="D841" s="3032" t="s">
        <v>3574</v>
      </c>
      <c r="E841" s="3032">
        <v>311</v>
      </c>
      <c r="F841" s="3032">
        <v>55.02</v>
      </c>
      <c r="G841" s="3032" t="s">
        <v>3559</v>
      </c>
    </row>
    <row r="842" spans="1:7" ht="16.5">
      <c r="A842" s="3032">
        <v>828</v>
      </c>
      <c r="B842" s="3032" t="s">
        <v>3539</v>
      </c>
      <c r="C842" s="3032" t="s">
        <v>3575</v>
      </c>
      <c r="D842" s="3032" t="s">
        <v>3574</v>
      </c>
      <c r="E842" s="3032">
        <v>312</v>
      </c>
      <c r="F842" s="3032">
        <v>69.22</v>
      </c>
      <c r="G842" s="3032" t="s">
        <v>3559</v>
      </c>
    </row>
    <row r="843" spans="1:7" ht="16.5">
      <c r="A843" s="3032">
        <v>829</v>
      </c>
      <c r="B843" s="3032" t="s">
        <v>3539</v>
      </c>
      <c r="C843" s="3032" t="s">
        <v>3575</v>
      </c>
      <c r="D843" s="3032" t="s">
        <v>3574</v>
      </c>
      <c r="E843" s="3032">
        <v>313</v>
      </c>
      <c r="F843" s="3032">
        <v>51.14</v>
      </c>
      <c r="G843" s="3032" t="s">
        <v>3559</v>
      </c>
    </row>
    <row r="844" spans="1:7" ht="16.5">
      <c r="A844" s="3032">
        <v>830</v>
      </c>
      <c r="B844" s="3032" t="s">
        <v>3539</v>
      </c>
      <c r="C844" s="3032" t="s">
        <v>3575</v>
      </c>
      <c r="D844" s="3032" t="s">
        <v>3574</v>
      </c>
      <c r="E844" s="3032">
        <v>401</v>
      </c>
      <c r="F844" s="3032">
        <v>51.14</v>
      </c>
      <c r="G844" s="3032" t="s">
        <v>3559</v>
      </c>
    </row>
    <row r="845" spans="1:7" ht="16.5">
      <c r="A845" s="3032">
        <v>831</v>
      </c>
      <c r="B845" s="3032" t="s">
        <v>3539</v>
      </c>
      <c r="C845" s="3032" t="s">
        <v>3575</v>
      </c>
      <c r="D845" s="3032" t="s">
        <v>3574</v>
      </c>
      <c r="E845" s="3032">
        <v>402</v>
      </c>
      <c r="F845" s="3032">
        <v>69.22</v>
      </c>
      <c r="G845" s="3032" t="s">
        <v>3559</v>
      </c>
    </row>
    <row r="846" spans="1:7" ht="16.5">
      <c r="A846" s="3032">
        <v>832</v>
      </c>
      <c r="B846" s="3032" t="s">
        <v>3539</v>
      </c>
      <c r="C846" s="3032" t="s">
        <v>3575</v>
      </c>
      <c r="D846" s="3032" t="s">
        <v>3574</v>
      </c>
      <c r="E846" s="3032">
        <v>403</v>
      </c>
      <c r="F846" s="3032">
        <v>55.02</v>
      </c>
      <c r="G846" s="3032" t="s">
        <v>3559</v>
      </c>
    </row>
    <row r="847" spans="1:7" ht="16.5">
      <c r="A847" s="3032">
        <v>833</v>
      </c>
      <c r="B847" s="3032" t="s">
        <v>3539</v>
      </c>
      <c r="C847" s="3032" t="s">
        <v>3575</v>
      </c>
      <c r="D847" s="3032" t="s">
        <v>3574</v>
      </c>
      <c r="E847" s="3032">
        <v>404</v>
      </c>
      <c r="F847" s="3032">
        <v>69.22</v>
      </c>
      <c r="G847" s="3032" t="s">
        <v>3559</v>
      </c>
    </row>
    <row r="848" spans="1:7" ht="16.5">
      <c r="A848" s="3032">
        <v>834</v>
      </c>
      <c r="B848" s="3032" t="s">
        <v>3539</v>
      </c>
      <c r="C848" s="3032" t="s">
        <v>3575</v>
      </c>
      <c r="D848" s="3032" t="s">
        <v>3574</v>
      </c>
      <c r="E848" s="3032">
        <v>405</v>
      </c>
      <c r="F848" s="3032">
        <v>69.22</v>
      </c>
      <c r="G848" s="3032" t="s">
        <v>3559</v>
      </c>
    </row>
    <row r="849" spans="1:7" ht="16.5">
      <c r="A849" s="3032">
        <v>835</v>
      </c>
      <c r="B849" s="3032" t="s">
        <v>3539</v>
      </c>
      <c r="C849" s="3032" t="s">
        <v>3575</v>
      </c>
      <c r="D849" s="3032" t="s">
        <v>3574</v>
      </c>
      <c r="E849" s="3032">
        <v>406</v>
      </c>
      <c r="F849" s="3032">
        <v>69.22</v>
      </c>
      <c r="G849" s="3032" t="s">
        <v>3559</v>
      </c>
    </row>
    <row r="850" spans="1:7" ht="16.5">
      <c r="A850" s="3032">
        <v>836</v>
      </c>
      <c r="B850" s="3032" t="s">
        <v>3539</v>
      </c>
      <c r="C850" s="3032" t="s">
        <v>3575</v>
      </c>
      <c r="D850" s="3032" t="s">
        <v>3574</v>
      </c>
      <c r="E850" s="3032">
        <v>407</v>
      </c>
      <c r="F850" s="3032">
        <v>69.22</v>
      </c>
      <c r="G850" s="3032" t="s">
        <v>3559</v>
      </c>
    </row>
    <row r="851" spans="1:7" ht="16.5">
      <c r="A851" s="3032">
        <v>837</v>
      </c>
      <c r="B851" s="3032" t="s">
        <v>3539</v>
      </c>
      <c r="C851" s="3032" t="s">
        <v>3575</v>
      </c>
      <c r="D851" s="3032" t="s">
        <v>3574</v>
      </c>
      <c r="E851" s="3032">
        <v>408</v>
      </c>
      <c r="F851" s="3032">
        <v>69.22</v>
      </c>
      <c r="G851" s="3032" t="s">
        <v>3559</v>
      </c>
    </row>
    <row r="852" spans="1:7" ht="16.5">
      <c r="A852" s="3032">
        <v>838</v>
      </c>
      <c r="B852" s="3032" t="s">
        <v>3539</v>
      </c>
      <c r="C852" s="3032" t="s">
        <v>3575</v>
      </c>
      <c r="D852" s="3032" t="s">
        <v>3574</v>
      </c>
      <c r="E852" s="3032">
        <v>409</v>
      </c>
      <c r="F852" s="3032">
        <v>69.22</v>
      </c>
      <c r="G852" s="3032" t="s">
        <v>3559</v>
      </c>
    </row>
    <row r="853" spans="1:7" ht="16.5">
      <c r="A853" s="3032">
        <v>839</v>
      </c>
      <c r="B853" s="3032" t="s">
        <v>3539</v>
      </c>
      <c r="C853" s="3032" t="s">
        <v>3575</v>
      </c>
      <c r="D853" s="3032" t="s">
        <v>3574</v>
      </c>
      <c r="E853" s="3032">
        <v>410</v>
      </c>
      <c r="F853" s="3032">
        <v>34.840000000000003</v>
      </c>
      <c r="G853" s="3032" t="s">
        <v>3559</v>
      </c>
    </row>
    <row r="854" spans="1:7" ht="16.5">
      <c r="A854" s="3032">
        <v>840</v>
      </c>
      <c r="B854" s="3032" t="s">
        <v>3539</v>
      </c>
      <c r="C854" s="3032" t="s">
        <v>3575</v>
      </c>
      <c r="D854" s="3032" t="s">
        <v>3574</v>
      </c>
      <c r="E854" s="3032">
        <v>411</v>
      </c>
      <c r="F854" s="3032">
        <v>55.02</v>
      </c>
      <c r="G854" s="3032" t="s">
        <v>3559</v>
      </c>
    </row>
    <row r="855" spans="1:7" ht="16.5">
      <c r="A855" s="3032">
        <v>841</v>
      </c>
      <c r="B855" s="3032" t="s">
        <v>3539</v>
      </c>
      <c r="C855" s="3032" t="s">
        <v>3575</v>
      </c>
      <c r="D855" s="3032" t="s">
        <v>3574</v>
      </c>
      <c r="E855" s="3032">
        <v>412</v>
      </c>
      <c r="F855" s="3032">
        <v>69.22</v>
      </c>
      <c r="G855" s="3032" t="s">
        <v>3559</v>
      </c>
    </row>
    <row r="856" spans="1:7" ht="16.5">
      <c r="A856" s="3032">
        <v>842</v>
      </c>
      <c r="B856" s="3032" t="s">
        <v>3539</v>
      </c>
      <c r="C856" s="3032" t="s">
        <v>3575</v>
      </c>
      <c r="D856" s="3032" t="s">
        <v>3574</v>
      </c>
      <c r="E856" s="3032">
        <v>413</v>
      </c>
      <c r="F856" s="3032">
        <v>51.14</v>
      </c>
      <c r="G856" s="3032" t="s">
        <v>3559</v>
      </c>
    </row>
    <row r="857" spans="1:7" ht="16.5">
      <c r="A857" s="3032">
        <v>843</v>
      </c>
      <c r="B857" s="3032" t="s">
        <v>3539</v>
      </c>
      <c r="C857" s="3032" t="s">
        <v>3575</v>
      </c>
      <c r="D857" s="3032" t="s">
        <v>3574</v>
      </c>
      <c r="E857" s="3032">
        <v>501</v>
      </c>
      <c r="F857" s="3032">
        <v>51.14</v>
      </c>
      <c r="G857" s="3032" t="s">
        <v>3559</v>
      </c>
    </row>
    <row r="858" spans="1:7" ht="16.5">
      <c r="A858" s="3032">
        <v>844</v>
      </c>
      <c r="B858" s="3032" t="s">
        <v>3539</v>
      </c>
      <c r="C858" s="3032" t="s">
        <v>3575</v>
      </c>
      <c r="D858" s="3032" t="s">
        <v>3574</v>
      </c>
      <c r="E858" s="3032">
        <v>502</v>
      </c>
      <c r="F858" s="3032">
        <v>69.22</v>
      </c>
      <c r="G858" s="3032" t="s">
        <v>3559</v>
      </c>
    </row>
    <row r="859" spans="1:7" ht="16.5">
      <c r="A859" s="3032">
        <v>845</v>
      </c>
      <c r="B859" s="3032" t="s">
        <v>3539</v>
      </c>
      <c r="C859" s="3032" t="s">
        <v>3575</v>
      </c>
      <c r="D859" s="3032" t="s">
        <v>3574</v>
      </c>
      <c r="E859" s="3032">
        <v>503</v>
      </c>
      <c r="F859" s="3032">
        <v>55.02</v>
      </c>
      <c r="G859" s="3032" t="s">
        <v>3559</v>
      </c>
    </row>
    <row r="860" spans="1:7" ht="16.5">
      <c r="A860" s="3032">
        <v>846</v>
      </c>
      <c r="B860" s="3032" t="s">
        <v>3539</v>
      </c>
      <c r="C860" s="3032" t="s">
        <v>3575</v>
      </c>
      <c r="D860" s="3032" t="s">
        <v>3574</v>
      </c>
      <c r="E860" s="3032">
        <v>504</v>
      </c>
      <c r="F860" s="3032">
        <v>69.22</v>
      </c>
      <c r="G860" s="3032" t="s">
        <v>3559</v>
      </c>
    </row>
    <row r="861" spans="1:7" ht="16.5">
      <c r="A861" s="3032">
        <v>847</v>
      </c>
      <c r="B861" s="3032" t="s">
        <v>3539</v>
      </c>
      <c r="C861" s="3032" t="s">
        <v>3575</v>
      </c>
      <c r="D861" s="3032" t="s">
        <v>3574</v>
      </c>
      <c r="E861" s="3032">
        <v>505</v>
      </c>
      <c r="F861" s="3032">
        <v>69.22</v>
      </c>
      <c r="G861" s="3032" t="s">
        <v>3559</v>
      </c>
    </row>
    <row r="862" spans="1:7" ht="16.5">
      <c r="A862" s="3032">
        <v>848</v>
      </c>
      <c r="B862" s="3032" t="s">
        <v>3539</v>
      </c>
      <c r="C862" s="3032" t="s">
        <v>3575</v>
      </c>
      <c r="D862" s="3032" t="s">
        <v>3574</v>
      </c>
      <c r="E862" s="3032">
        <v>506</v>
      </c>
      <c r="F862" s="3032">
        <v>69.22</v>
      </c>
      <c r="G862" s="3032" t="s">
        <v>3559</v>
      </c>
    </row>
    <row r="863" spans="1:7" ht="16.5">
      <c r="A863" s="3032">
        <v>849</v>
      </c>
      <c r="B863" s="3032" t="s">
        <v>3539</v>
      </c>
      <c r="C863" s="3032" t="s">
        <v>3575</v>
      </c>
      <c r="D863" s="3032" t="s">
        <v>3574</v>
      </c>
      <c r="E863" s="3032">
        <v>507</v>
      </c>
      <c r="F863" s="3032">
        <v>69.22</v>
      </c>
      <c r="G863" s="3032" t="s">
        <v>3559</v>
      </c>
    </row>
    <row r="864" spans="1:7" ht="16.5">
      <c r="A864" s="3032">
        <v>850</v>
      </c>
      <c r="B864" s="3032" t="s">
        <v>3539</v>
      </c>
      <c r="C864" s="3032" t="s">
        <v>3575</v>
      </c>
      <c r="D864" s="3032" t="s">
        <v>3574</v>
      </c>
      <c r="E864" s="3032">
        <v>508</v>
      </c>
      <c r="F864" s="3032">
        <v>69.22</v>
      </c>
      <c r="G864" s="3032" t="s">
        <v>3559</v>
      </c>
    </row>
    <row r="865" spans="1:7" ht="16.5">
      <c r="A865" s="3032">
        <v>851</v>
      </c>
      <c r="B865" s="3032" t="s">
        <v>3539</v>
      </c>
      <c r="C865" s="3032" t="s">
        <v>3575</v>
      </c>
      <c r="D865" s="3032" t="s">
        <v>3574</v>
      </c>
      <c r="E865" s="3032">
        <v>509</v>
      </c>
      <c r="F865" s="3032">
        <v>69.22</v>
      </c>
      <c r="G865" s="3032" t="s">
        <v>3559</v>
      </c>
    </row>
    <row r="866" spans="1:7" ht="16.5">
      <c r="A866" s="3032">
        <v>852</v>
      </c>
      <c r="B866" s="3032" t="s">
        <v>3539</v>
      </c>
      <c r="C866" s="3032" t="s">
        <v>3575</v>
      </c>
      <c r="D866" s="3032" t="s">
        <v>3574</v>
      </c>
      <c r="E866" s="3032">
        <v>510</v>
      </c>
      <c r="F866" s="3032">
        <v>34.840000000000003</v>
      </c>
      <c r="G866" s="3032" t="s">
        <v>3559</v>
      </c>
    </row>
    <row r="867" spans="1:7" ht="16.5">
      <c r="A867" s="3032">
        <v>853</v>
      </c>
      <c r="B867" s="3032" t="s">
        <v>3539</v>
      </c>
      <c r="C867" s="3032" t="s">
        <v>3575</v>
      </c>
      <c r="D867" s="3032" t="s">
        <v>3574</v>
      </c>
      <c r="E867" s="3032">
        <v>511</v>
      </c>
      <c r="F867" s="3032">
        <v>55.02</v>
      </c>
      <c r="G867" s="3032" t="s">
        <v>3559</v>
      </c>
    </row>
    <row r="868" spans="1:7" ht="16.5">
      <c r="A868" s="3032">
        <v>854</v>
      </c>
      <c r="B868" s="3032" t="s">
        <v>3539</v>
      </c>
      <c r="C868" s="3032" t="s">
        <v>3575</v>
      </c>
      <c r="D868" s="3032" t="s">
        <v>3574</v>
      </c>
      <c r="E868" s="3032">
        <v>512</v>
      </c>
      <c r="F868" s="3032">
        <v>69.22</v>
      </c>
      <c r="G868" s="3032" t="s">
        <v>3559</v>
      </c>
    </row>
    <row r="869" spans="1:7" ht="16.5">
      <c r="A869" s="3032">
        <v>855</v>
      </c>
      <c r="B869" s="3032" t="s">
        <v>3539</v>
      </c>
      <c r="C869" s="3032" t="s">
        <v>3575</v>
      </c>
      <c r="D869" s="3032" t="s">
        <v>3574</v>
      </c>
      <c r="E869" s="3032">
        <v>513</v>
      </c>
      <c r="F869" s="3032">
        <v>51.14</v>
      </c>
      <c r="G869" s="3032" t="s">
        <v>3559</v>
      </c>
    </row>
    <row r="870" spans="1:7" ht="16.5">
      <c r="A870" s="3032">
        <v>856</v>
      </c>
      <c r="B870" s="3032" t="s">
        <v>3539</v>
      </c>
      <c r="C870" s="3032" t="s">
        <v>3575</v>
      </c>
      <c r="D870" s="3032" t="s">
        <v>3574</v>
      </c>
      <c r="E870" s="3032">
        <v>601</v>
      </c>
      <c r="F870" s="3032">
        <v>51.14</v>
      </c>
      <c r="G870" s="3032" t="s">
        <v>3559</v>
      </c>
    </row>
    <row r="871" spans="1:7" ht="16.5">
      <c r="A871" s="3032">
        <v>857</v>
      </c>
      <c r="B871" s="3032" t="s">
        <v>3539</v>
      </c>
      <c r="C871" s="3032" t="s">
        <v>3575</v>
      </c>
      <c r="D871" s="3032" t="s">
        <v>3574</v>
      </c>
      <c r="E871" s="3032">
        <v>602</v>
      </c>
      <c r="F871" s="3032">
        <v>69.22</v>
      </c>
      <c r="G871" s="3032" t="s">
        <v>3559</v>
      </c>
    </row>
    <row r="872" spans="1:7" ht="16.5">
      <c r="A872" s="3032">
        <v>858</v>
      </c>
      <c r="B872" s="3032" t="s">
        <v>3539</v>
      </c>
      <c r="C872" s="3032" t="s">
        <v>3575</v>
      </c>
      <c r="D872" s="3032" t="s">
        <v>3574</v>
      </c>
      <c r="E872" s="3032">
        <v>603</v>
      </c>
      <c r="F872" s="3032">
        <v>55.02</v>
      </c>
      <c r="G872" s="3032" t="s">
        <v>3559</v>
      </c>
    </row>
    <row r="873" spans="1:7" ht="16.5">
      <c r="A873" s="3032">
        <v>859</v>
      </c>
      <c r="B873" s="3032" t="s">
        <v>3539</v>
      </c>
      <c r="C873" s="3032" t="s">
        <v>3575</v>
      </c>
      <c r="D873" s="3032" t="s">
        <v>3574</v>
      </c>
      <c r="E873" s="3032">
        <v>604</v>
      </c>
      <c r="F873" s="3032">
        <v>69.22</v>
      </c>
      <c r="G873" s="3032" t="s">
        <v>3559</v>
      </c>
    </row>
    <row r="874" spans="1:7" ht="16.5">
      <c r="A874" s="3032">
        <v>860</v>
      </c>
      <c r="B874" s="3032" t="s">
        <v>3539</v>
      </c>
      <c r="C874" s="3032" t="s">
        <v>3575</v>
      </c>
      <c r="D874" s="3032" t="s">
        <v>3574</v>
      </c>
      <c r="E874" s="3032">
        <v>605</v>
      </c>
      <c r="F874" s="3032">
        <v>69.22</v>
      </c>
      <c r="G874" s="3032" t="s">
        <v>3559</v>
      </c>
    </row>
    <row r="875" spans="1:7" ht="16.5">
      <c r="A875" s="3032">
        <v>861</v>
      </c>
      <c r="B875" s="3032" t="s">
        <v>3539</v>
      </c>
      <c r="C875" s="3032" t="s">
        <v>3575</v>
      </c>
      <c r="D875" s="3032" t="s">
        <v>3574</v>
      </c>
      <c r="E875" s="3032">
        <v>606</v>
      </c>
      <c r="F875" s="3032">
        <v>69.22</v>
      </c>
      <c r="G875" s="3032" t="s">
        <v>3559</v>
      </c>
    </row>
    <row r="876" spans="1:7" ht="16.5">
      <c r="A876" s="3032">
        <v>862</v>
      </c>
      <c r="B876" s="3032" t="s">
        <v>3539</v>
      </c>
      <c r="C876" s="3032" t="s">
        <v>3575</v>
      </c>
      <c r="D876" s="3032" t="s">
        <v>3574</v>
      </c>
      <c r="E876" s="3032">
        <v>607</v>
      </c>
      <c r="F876" s="3032">
        <v>69.22</v>
      </c>
      <c r="G876" s="3032" t="s">
        <v>3559</v>
      </c>
    </row>
    <row r="877" spans="1:7" ht="16.5">
      <c r="A877" s="3032">
        <v>863</v>
      </c>
      <c r="B877" s="3032" t="s">
        <v>3539</v>
      </c>
      <c r="C877" s="3032" t="s">
        <v>3575</v>
      </c>
      <c r="D877" s="3032" t="s">
        <v>3574</v>
      </c>
      <c r="E877" s="3032">
        <v>608</v>
      </c>
      <c r="F877" s="3032">
        <v>69.22</v>
      </c>
      <c r="G877" s="3032" t="s">
        <v>3559</v>
      </c>
    </row>
    <row r="878" spans="1:7" ht="16.5">
      <c r="A878" s="3032">
        <v>864</v>
      </c>
      <c r="B878" s="3032" t="s">
        <v>3539</v>
      </c>
      <c r="C878" s="3032" t="s">
        <v>3575</v>
      </c>
      <c r="D878" s="3032" t="s">
        <v>3574</v>
      </c>
      <c r="E878" s="3032">
        <v>609</v>
      </c>
      <c r="F878" s="3032">
        <v>69.22</v>
      </c>
      <c r="G878" s="3032" t="s">
        <v>3559</v>
      </c>
    </row>
    <row r="879" spans="1:7" ht="16.5">
      <c r="A879" s="3032">
        <v>865</v>
      </c>
      <c r="B879" s="3032" t="s">
        <v>3539</v>
      </c>
      <c r="C879" s="3032" t="s">
        <v>3575</v>
      </c>
      <c r="D879" s="3032" t="s">
        <v>3574</v>
      </c>
      <c r="E879" s="3032">
        <v>610</v>
      </c>
      <c r="F879" s="3032">
        <v>34.840000000000003</v>
      </c>
      <c r="G879" s="3032" t="s">
        <v>3559</v>
      </c>
    </row>
    <row r="880" spans="1:7" ht="16.5">
      <c r="A880" s="3032">
        <v>866</v>
      </c>
      <c r="B880" s="3032" t="s">
        <v>3539</v>
      </c>
      <c r="C880" s="3032" t="s">
        <v>3575</v>
      </c>
      <c r="D880" s="3032" t="s">
        <v>3574</v>
      </c>
      <c r="E880" s="3032">
        <v>611</v>
      </c>
      <c r="F880" s="3032">
        <v>55.02</v>
      </c>
      <c r="G880" s="3032" t="s">
        <v>3559</v>
      </c>
    </row>
    <row r="881" spans="1:7" ht="16.5">
      <c r="A881" s="3032">
        <v>867</v>
      </c>
      <c r="B881" s="3032" t="s">
        <v>3539</v>
      </c>
      <c r="C881" s="3032" t="s">
        <v>3575</v>
      </c>
      <c r="D881" s="3032" t="s">
        <v>3574</v>
      </c>
      <c r="E881" s="3032">
        <v>612</v>
      </c>
      <c r="F881" s="3032">
        <v>69.22</v>
      </c>
      <c r="G881" s="3032" t="s">
        <v>3559</v>
      </c>
    </row>
    <row r="882" spans="1:7" ht="16.5">
      <c r="A882" s="3032">
        <v>868</v>
      </c>
      <c r="B882" s="3032" t="s">
        <v>3539</v>
      </c>
      <c r="C882" s="3032" t="s">
        <v>3575</v>
      </c>
      <c r="D882" s="3032" t="s">
        <v>3574</v>
      </c>
      <c r="E882" s="3032">
        <v>613</v>
      </c>
      <c r="F882" s="3032">
        <v>51.14</v>
      </c>
      <c r="G882" s="3032" t="s">
        <v>3559</v>
      </c>
    </row>
    <row r="883" spans="1:7" ht="16.5">
      <c r="A883" s="3032">
        <v>869</v>
      </c>
      <c r="B883" s="3032" t="s">
        <v>3539</v>
      </c>
      <c r="C883" s="3032" t="s">
        <v>3575</v>
      </c>
      <c r="D883" s="3032" t="s">
        <v>3574</v>
      </c>
      <c r="E883" s="3032">
        <v>701</v>
      </c>
      <c r="F883" s="3032">
        <v>51.14</v>
      </c>
      <c r="G883" s="3032" t="s">
        <v>3559</v>
      </c>
    </row>
    <row r="884" spans="1:7" ht="16.5">
      <c r="A884" s="3032">
        <v>870</v>
      </c>
      <c r="B884" s="3032" t="s">
        <v>3539</v>
      </c>
      <c r="C884" s="3032" t="s">
        <v>3575</v>
      </c>
      <c r="D884" s="3032" t="s">
        <v>3574</v>
      </c>
      <c r="E884" s="3032">
        <v>702</v>
      </c>
      <c r="F884" s="3032">
        <v>69.22</v>
      </c>
      <c r="G884" s="3032" t="s">
        <v>3559</v>
      </c>
    </row>
    <row r="885" spans="1:7" ht="16.5">
      <c r="A885" s="3032">
        <v>871</v>
      </c>
      <c r="B885" s="3032" t="s">
        <v>3539</v>
      </c>
      <c r="C885" s="3032" t="s">
        <v>3575</v>
      </c>
      <c r="D885" s="3032" t="s">
        <v>3574</v>
      </c>
      <c r="E885" s="3032">
        <v>703</v>
      </c>
      <c r="F885" s="3032">
        <v>55.02</v>
      </c>
      <c r="G885" s="3032" t="s">
        <v>3559</v>
      </c>
    </row>
    <row r="886" spans="1:7" ht="16.5">
      <c r="A886" s="3032">
        <v>872</v>
      </c>
      <c r="B886" s="3032" t="s">
        <v>3539</v>
      </c>
      <c r="C886" s="3032" t="s">
        <v>3575</v>
      </c>
      <c r="D886" s="3032" t="s">
        <v>3574</v>
      </c>
      <c r="E886" s="3032">
        <v>704</v>
      </c>
      <c r="F886" s="3032">
        <v>69.22</v>
      </c>
      <c r="G886" s="3032" t="s">
        <v>3559</v>
      </c>
    </row>
    <row r="887" spans="1:7" ht="16.5">
      <c r="A887" s="3032">
        <v>873</v>
      </c>
      <c r="B887" s="3032" t="s">
        <v>3539</v>
      </c>
      <c r="C887" s="3032" t="s">
        <v>3575</v>
      </c>
      <c r="D887" s="3032" t="s">
        <v>3574</v>
      </c>
      <c r="E887" s="3032">
        <v>705</v>
      </c>
      <c r="F887" s="3032">
        <v>69.22</v>
      </c>
      <c r="G887" s="3032" t="s">
        <v>3559</v>
      </c>
    </row>
    <row r="888" spans="1:7" ht="16.5">
      <c r="A888" s="3032">
        <v>874</v>
      </c>
      <c r="B888" s="3032" t="s">
        <v>3539</v>
      </c>
      <c r="C888" s="3032" t="s">
        <v>3575</v>
      </c>
      <c r="D888" s="3032" t="s">
        <v>3574</v>
      </c>
      <c r="E888" s="3032">
        <v>706</v>
      </c>
      <c r="F888" s="3032">
        <v>69.22</v>
      </c>
      <c r="G888" s="3032" t="s">
        <v>3559</v>
      </c>
    </row>
    <row r="889" spans="1:7" ht="16.5">
      <c r="A889" s="3032">
        <v>875</v>
      </c>
      <c r="B889" s="3032" t="s">
        <v>3539</v>
      </c>
      <c r="C889" s="3032" t="s">
        <v>3575</v>
      </c>
      <c r="D889" s="3032" t="s">
        <v>3574</v>
      </c>
      <c r="E889" s="3032">
        <v>707</v>
      </c>
      <c r="F889" s="3032">
        <v>69.22</v>
      </c>
      <c r="G889" s="3032" t="s">
        <v>3559</v>
      </c>
    </row>
    <row r="890" spans="1:7" ht="16.5">
      <c r="A890" s="3032">
        <v>876</v>
      </c>
      <c r="B890" s="3032" t="s">
        <v>3539</v>
      </c>
      <c r="C890" s="3032" t="s">
        <v>3575</v>
      </c>
      <c r="D890" s="3032" t="s">
        <v>3574</v>
      </c>
      <c r="E890" s="3032">
        <v>708</v>
      </c>
      <c r="F890" s="3032">
        <v>69.22</v>
      </c>
      <c r="G890" s="3032" t="s">
        <v>3559</v>
      </c>
    </row>
    <row r="891" spans="1:7" ht="16.5">
      <c r="A891" s="3032">
        <v>877</v>
      </c>
      <c r="B891" s="3032" t="s">
        <v>3539</v>
      </c>
      <c r="C891" s="3032" t="s">
        <v>3575</v>
      </c>
      <c r="D891" s="3032" t="s">
        <v>3574</v>
      </c>
      <c r="E891" s="3032">
        <v>709</v>
      </c>
      <c r="F891" s="3032">
        <v>69.22</v>
      </c>
      <c r="G891" s="3032" t="s">
        <v>3559</v>
      </c>
    </row>
    <row r="892" spans="1:7" ht="16.5">
      <c r="A892" s="3032">
        <v>878</v>
      </c>
      <c r="B892" s="3032" t="s">
        <v>3539</v>
      </c>
      <c r="C892" s="3032" t="s">
        <v>3575</v>
      </c>
      <c r="D892" s="3032" t="s">
        <v>3574</v>
      </c>
      <c r="E892" s="3032">
        <v>710</v>
      </c>
      <c r="F892" s="3032">
        <v>34.840000000000003</v>
      </c>
      <c r="G892" s="3032" t="s">
        <v>3559</v>
      </c>
    </row>
    <row r="893" spans="1:7" ht="16.5">
      <c r="A893" s="3032">
        <v>879</v>
      </c>
      <c r="B893" s="3032" t="s">
        <v>3539</v>
      </c>
      <c r="C893" s="3032" t="s">
        <v>3575</v>
      </c>
      <c r="D893" s="3032" t="s">
        <v>3574</v>
      </c>
      <c r="E893" s="3032">
        <v>711</v>
      </c>
      <c r="F893" s="3032">
        <v>55.02</v>
      </c>
      <c r="G893" s="3032" t="s">
        <v>3559</v>
      </c>
    </row>
    <row r="894" spans="1:7" ht="16.5">
      <c r="A894" s="3032">
        <v>880</v>
      </c>
      <c r="B894" s="3032" t="s">
        <v>3539</v>
      </c>
      <c r="C894" s="3032" t="s">
        <v>3575</v>
      </c>
      <c r="D894" s="3032" t="s">
        <v>3574</v>
      </c>
      <c r="E894" s="3032">
        <v>712</v>
      </c>
      <c r="F894" s="3032">
        <v>69.22</v>
      </c>
      <c r="G894" s="3032" t="s">
        <v>3559</v>
      </c>
    </row>
    <row r="895" spans="1:7" ht="16.5">
      <c r="A895" s="3032">
        <v>881</v>
      </c>
      <c r="B895" s="3032" t="s">
        <v>3539</v>
      </c>
      <c r="C895" s="3032" t="s">
        <v>3575</v>
      </c>
      <c r="D895" s="3032" t="s">
        <v>3574</v>
      </c>
      <c r="E895" s="3032">
        <v>713</v>
      </c>
      <c r="F895" s="3032">
        <v>51.14</v>
      </c>
      <c r="G895" s="3032" t="s">
        <v>3559</v>
      </c>
    </row>
    <row r="896" spans="1:7" ht="16.5">
      <c r="A896" s="3032">
        <v>882</v>
      </c>
      <c r="B896" s="3032" t="s">
        <v>3539</v>
      </c>
      <c r="C896" s="3032" t="s">
        <v>3575</v>
      </c>
      <c r="D896" s="3032" t="s">
        <v>3574</v>
      </c>
      <c r="E896" s="3032">
        <v>801</v>
      </c>
      <c r="F896" s="3032">
        <v>51.14</v>
      </c>
      <c r="G896" s="3032" t="s">
        <v>3559</v>
      </c>
    </row>
    <row r="897" spans="1:7" ht="16.5">
      <c r="A897" s="3032">
        <v>883</v>
      </c>
      <c r="B897" s="3032" t="s">
        <v>3539</v>
      </c>
      <c r="C897" s="3032" t="s">
        <v>3575</v>
      </c>
      <c r="D897" s="3032" t="s">
        <v>3574</v>
      </c>
      <c r="E897" s="3032">
        <v>802</v>
      </c>
      <c r="F897" s="3032">
        <v>69.22</v>
      </c>
      <c r="G897" s="3032" t="s">
        <v>3559</v>
      </c>
    </row>
    <row r="898" spans="1:7" ht="16.5">
      <c r="A898" s="3032">
        <v>884</v>
      </c>
      <c r="B898" s="3032" t="s">
        <v>3539</v>
      </c>
      <c r="C898" s="3032" t="s">
        <v>3575</v>
      </c>
      <c r="D898" s="3032" t="s">
        <v>3574</v>
      </c>
      <c r="E898" s="3032">
        <v>803</v>
      </c>
      <c r="F898" s="3032">
        <v>55.02</v>
      </c>
      <c r="G898" s="3032" t="s">
        <v>3559</v>
      </c>
    </row>
    <row r="899" spans="1:7" ht="16.5">
      <c r="A899" s="3032">
        <v>885</v>
      </c>
      <c r="B899" s="3032" t="s">
        <v>3539</v>
      </c>
      <c r="C899" s="3032" t="s">
        <v>3575</v>
      </c>
      <c r="D899" s="3032" t="s">
        <v>3574</v>
      </c>
      <c r="E899" s="3032">
        <v>804</v>
      </c>
      <c r="F899" s="3032">
        <v>69.22</v>
      </c>
      <c r="G899" s="3032" t="s">
        <v>3559</v>
      </c>
    </row>
    <row r="900" spans="1:7" ht="16.5">
      <c r="A900" s="3032">
        <v>886</v>
      </c>
      <c r="B900" s="3032" t="s">
        <v>3539</v>
      </c>
      <c r="C900" s="3032" t="s">
        <v>3575</v>
      </c>
      <c r="D900" s="3032" t="s">
        <v>3574</v>
      </c>
      <c r="E900" s="3032">
        <v>805</v>
      </c>
      <c r="F900" s="3032">
        <v>69.22</v>
      </c>
      <c r="G900" s="3032" t="s">
        <v>3559</v>
      </c>
    </row>
    <row r="901" spans="1:7" ht="16.5">
      <c r="A901" s="3032">
        <v>887</v>
      </c>
      <c r="B901" s="3032" t="s">
        <v>3539</v>
      </c>
      <c r="C901" s="3032" t="s">
        <v>3575</v>
      </c>
      <c r="D901" s="3032" t="s">
        <v>3574</v>
      </c>
      <c r="E901" s="3032">
        <v>806</v>
      </c>
      <c r="F901" s="3032">
        <v>69.22</v>
      </c>
      <c r="G901" s="3032" t="s">
        <v>3559</v>
      </c>
    </row>
    <row r="902" spans="1:7" ht="16.5">
      <c r="A902" s="3032">
        <v>888</v>
      </c>
      <c r="B902" s="3032" t="s">
        <v>3539</v>
      </c>
      <c r="C902" s="3032" t="s">
        <v>3575</v>
      </c>
      <c r="D902" s="3032" t="s">
        <v>3574</v>
      </c>
      <c r="E902" s="3032">
        <v>807</v>
      </c>
      <c r="F902" s="3032">
        <v>69.22</v>
      </c>
      <c r="G902" s="3032" t="s">
        <v>3559</v>
      </c>
    </row>
    <row r="903" spans="1:7" ht="16.5">
      <c r="A903" s="3032">
        <v>889</v>
      </c>
      <c r="B903" s="3032" t="s">
        <v>3539</v>
      </c>
      <c r="C903" s="3032" t="s">
        <v>3575</v>
      </c>
      <c r="D903" s="3032" t="s">
        <v>3574</v>
      </c>
      <c r="E903" s="3032">
        <v>808</v>
      </c>
      <c r="F903" s="3032">
        <v>69.22</v>
      </c>
      <c r="G903" s="3032" t="s">
        <v>3559</v>
      </c>
    </row>
    <row r="904" spans="1:7" ht="16.5">
      <c r="A904" s="3032">
        <v>890</v>
      </c>
      <c r="B904" s="3032" t="s">
        <v>3539</v>
      </c>
      <c r="C904" s="3032" t="s">
        <v>3575</v>
      </c>
      <c r="D904" s="3032" t="s">
        <v>3574</v>
      </c>
      <c r="E904" s="3032">
        <v>809</v>
      </c>
      <c r="F904" s="3032">
        <v>69.22</v>
      </c>
      <c r="G904" s="3032" t="s">
        <v>3559</v>
      </c>
    </row>
    <row r="905" spans="1:7" ht="16.5">
      <c r="A905" s="3032">
        <v>891</v>
      </c>
      <c r="B905" s="3032" t="s">
        <v>3539</v>
      </c>
      <c r="C905" s="3032" t="s">
        <v>3575</v>
      </c>
      <c r="D905" s="3032" t="s">
        <v>3574</v>
      </c>
      <c r="E905" s="3032">
        <v>810</v>
      </c>
      <c r="F905" s="3032">
        <v>34.840000000000003</v>
      </c>
      <c r="G905" s="3032" t="s">
        <v>3559</v>
      </c>
    </row>
    <row r="906" spans="1:7" ht="16.5">
      <c r="A906" s="3032">
        <v>892</v>
      </c>
      <c r="B906" s="3032" t="s">
        <v>3539</v>
      </c>
      <c r="C906" s="3032" t="s">
        <v>3575</v>
      </c>
      <c r="D906" s="3032" t="s">
        <v>3574</v>
      </c>
      <c r="E906" s="3032">
        <v>811</v>
      </c>
      <c r="F906" s="3032">
        <v>55.02</v>
      </c>
      <c r="G906" s="3032" t="s">
        <v>3559</v>
      </c>
    </row>
    <row r="907" spans="1:7" ht="16.5">
      <c r="A907" s="3032">
        <v>893</v>
      </c>
      <c r="B907" s="3032" t="s">
        <v>3539</v>
      </c>
      <c r="C907" s="3032" t="s">
        <v>3575</v>
      </c>
      <c r="D907" s="3032" t="s">
        <v>3574</v>
      </c>
      <c r="E907" s="3032">
        <v>812</v>
      </c>
      <c r="F907" s="3032">
        <v>69.22</v>
      </c>
      <c r="G907" s="3032" t="s">
        <v>3559</v>
      </c>
    </row>
    <row r="908" spans="1:7" ht="16.5">
      <c r="A908" s="3032">
        <v>894</v>
      </c>
      <c r="B908" s="3032" t="s">
        <v>3539</v>
      </c>
      <c r="C908" s="3032" t="s">
        <v>3575</v>
      </c>
      <c r="D908" s="3032" t="s">
        <v>3574</v>
      </c>
      <c r="E908" s="3032">
        <v>813</v>
      </c>
      <c r="F908" s="3032">
        <v>51.14</v>
      </c>
      <c r="G908" s="3032" t="s">
        <v>3559</v>
      </c>
    </row>
    <row r="909" spans="1:7" ht="16.5">
      <c r="A909" s="3032">
        <v>895</v>
      </c>
      <c r="B909" s="3032" t="s">
        <v>3539</v>
      </c>
      <c r="C909" s="3032" t="s">
        <v>3575</v>
      </c>
      <c r="D909" s="3032" t="s">
        <v>3574</v>
      </c>
      <c r="E909" s="3032">
        <v>901</v>
      </c>
      <c r="F909" s="3032">
        <v>51.14</v>
      </c>
      <c r="G909" s="3032" t="s">
        <v>3559</v>
      </c>
    </row>
    <row r="910" spans="1:7" ht="16.5">
      <c r="A910" s="3032">
        <v>896</v>
      </c>
      <c r="B910" s="3032" t="s">
        <v>3539</v>
      </c>
      <c r="C910" s="3032" t="s">
        <v>3575</v>
      </c>
      <c r="D910" s="3032" t="s">
        <v>3574</v>
      </c>
      <c r="E910" s="3032">
        <v>902</v>
      </c>
      <c r="F910" s="3032">
        <v>69.22</v>
      </c>
      <c r="G910" s="3032" t="s">
        <v>3559</v>
      </c>
    </row>
    <row r="911" spans="1:7" ht="16.5">
      <c r="A911" s="3032">
        <v>897</v>
      </c>
      <c r="B911" s="3032" t="s">
        <v>3539</v>
      </c>
      <c r="C911" s="3032" t="s">
        <v>3575</v>
      </c>
      <c r="D911" s="3032" t="s">
        <v>3574</v>
      </c>
      <c r="E911" s="3032">
        <v>903</v>
      </c>
      <c r="F911" s="3032">
        <v>55.02</v>
      </c>
      <c r="G911" s="3032" t="s">
        <v>3559</v>
      </c>
    </row>
    <row r="912" spans="1:7" ht="16.5">
      <c r="A912" s="3032">
        <v>898</v>
      </c>
      <c r="B912" s="3032" t="s">
        <v>3539</v>
      </c>
      <c r="C912" s="3032" t="s">
        <v>3575</v>
      </c>
      <c r="D912" s="3032" t="s">
        <v>3574</v>
      </c>
      <c r="E912" s="3032">
        <v>904</v>
      </c>
      <c r="F912" s="3032">
        <v>69.22</v>
      </c>
      <c r="G912" s="3032" t="s">
        <v>3559</v>
      </c>
    </row>
    <row r="913" spans="1:7" ht="16.5">
      <c r="A913" s="3032">
        <v>899</v>
      </c>
      <c r="B913" s="3032" t="s">
        <v>3539</v>
      </c>
      <c r="C913" s="3032" t="s">
        <v>3575</v>
      </c>
      <c r="D913" s="3032" t="s">
        <v>3574</v>
      </c>
      <c r="E913" s="3032">
        <v>905</v>
      </c>
      <c r="F913" s="3032">
        <v>69.22</v>
      </c>
      <c r="G913" s="3032" t="s">
        <v>3559</v>
      </c>
    </row>
    <row r="914" spans="1:7" ht="16.5">
      <c r="A914" s="3032">
        <v>900</v>
      </c>
      <c r="B914" s="3032" t="s">
        <v>3539</v>
      </c>
      <c r="C914" s="3032" t="s">
        <v>3575</v>
      </c>
      <c r="D914" s="3032" t="s">
        <v>3574</v>
      </c>
      <c r="E914" s="3032">
        <v>906</v>
      </c>
      <c r="F914" s="3032">
        <v>69.22</v>
      </c>
      <c r="G914" s="3032" t="s">
        <v>3559</v>
      </c>
    </row>
    <row r="915" spans="1:7" ht="16.5">
      <c r="A915" s="3032">
        <v>901</v>
      </c>
      <c r="B915" s="3032" t="s">
        <v>3539</v>
      </c>
      <c r="C915" s="3032" t="s">
        <v>3575</v>
      </c>
      <c r="D915" s="3032" t="s">
        <v>3574</v>
      </c>
      <c r="E915" s="3032">
        <v>907</v>
      </c>
      <c r="F915" s="3032">
        <v>69.22</v>
      </c>
      <c r="G915" s="3032" t="s">
        <v>3559</v>
      </c>
    </row>
    <row r="916" spans="1:7" ht="16.5">
      <c r="A916" s="3032">
        <v>902</v>
      </c>
      <c r="B916" s="3032" t="s">
        <v>3539</v>
      </c>
      <c r="C916" s="3032" t="s">
        <v>3575</v>
      </c>
      <c r="D916" s="3032" t="s">
        <v>3574</v>
      </c>
      <c r="E916" s="3032">
        <v>908</v>
      </c>
      <c r="F916" s="3032">
        <v>69.22</v>
      </c>
      <c r="G916" s="3032" t="s">
        <v>3559</v>
      </c>
    </row>
    <row r="917" spans="1:7" ht="16.5">
      <c r="A917" s="3032">
        <v>903</v>
      </c>
      <c r="B917" s="3032" t="s">
        <v>3539</v>
      </c>
      <c r="C917" s="3032" t="s">
        <v>3575</v>
      </c>
      <c r="D917" s="3032" t="s">
        <v>3574</v>
      </c>
      <c r="E917" s="3032">
        <v>909</v>
      </c>
      <c r="F917" s="3032">
        <v>69.22</v>
      </c>
      <c r="G917" s="3032" t="s">
        <v>3559</v>
      </c>
    </row>
    <row r="918" spans="1:7" ht="16.5">
      <c r="A918" s="3032">
        <v>904</v>
      </c>
      <c r="B918" s="3032" t="s">
        <v>3539</v>
      </c>
      <c r="C918" s="3032" t="s">
        <v>3575</v>
      </c>
      <c r="D918" s="3032" t="s">
        <v>3574</v>
      </c>
      <c r="E918" s="3032">
        <v>910</v>
      </c>
      <c r="F918" s="3032">
        <v>34.840000000000003</v>
      </c>
      <c r="G918" s="3032" t="s">
        <v>3559</v>
      </c>
    </row>
    <row r="919" spans="1:7" ht="16.5">
      <c r="A919" s="3032">
        <v>905</v>
      </c>
      <c r="B919" s="3032" t="s">
        <v>3539</v>
      </c>
      <c r="C919" s="3032" t="s">
        <v>3575</v>
      </c>
      <c r="D919" s="3032" t="s">
        <v>3574</v>
      </c>
      <c r="E919" s="3032">
        <v>911</v>
      </c>
      <c r="F919" s="3032">
        <v>55.02</v>
      </c>
      <c r="G919" s="3032" t="s">
        <v>3559</v>
      </c>
    </row>
    <row r="920" spans="1:7" ht="16.5">
      <c r="A920" s="3032">
        <v>906</v>
      </c>
      <c r="B920" s="3032" t="s">
        <v>3539</v>
      </c>
      <c r="C920" s="3032" t="s">
        <v>3575</v>
      </c>
      <c r="D920" s="3032" t="s">
        <v>3574</v>
      </c>
      <c r="E920" s="3032">
        <v>912</v>
      </c>
      <c r="F920" s="3032">
        <v>69.22</v>
      </c>
      <c r="G920" s="3032" t="s">
        <v>3559</v>
      </c>
    </row>
    <row r="921" spans="1:7" ht="16.5">
      <c r="A921" s="3032">
        <v>907</v>
      </c>
      <c r="B921" s="3032" t="s">
        <v>3539</v>
      </c>
      <c r="C921" s="3032" t="s">
        <v>3575</v>
      </c>
      <c r="D921" s="3032" t="s">
        <v>3574</v>
      </c>
      <c r="E921" s="3032">
        <v>913</v>
      </c>
      <c r="F921" s="3032">
        <v>51.14</v>
      </c>
      <c r="G921" s="3032" t="s">
        <v>3559</v>
      </c>
    </row>
    <row r="922" spans="1:7" ht="16.5">
      <c r="A922" s="3032">
        <v>908</v>
      </c>
      <c r="B922" s="3032" t="s">
        <v>3539</v>
      </c>
      <c r="C922" s="3032" t="s">
        <v>3575</v>
      </c>
      <c r="D922" s="3032" t="s">
        <v>3574</v>
      </c>
      <c r="E922" s="3032">
        <v>1001</v>
      </c>
      <c r="F922" s="3032">
        <v>51.14</v>
      </c>
      <c r="G922" s="3032" t="s">
        <v>3559</v>
      </c>
    </row>
    <row r="923" spans="1:7" ht="16.5">
      <c r="A923" s="3032">
        <v>909</v>
      </c>
      <c r="B923" s="3032" t="s">
        <v>3539</v>
      </c>
      <c r="C923" s="3032" t="s">
        <v>3575</v>
      </c>
      <c r="D923" s="3032" t="s">
        <v>3574</v>
      </c>
      <c r="E923" s="3032">
        <v>1002</v>
      </c>
      <c r="F923" s="3032">
        <v>69.22</v>
      </c>
      <c r="G923" s="3032" t="s">
        <v>3559</v>
      </c>
    </row>
    <row r="924" spans="1:7" ht="16.5">
      <c r="A924" s="3032">
        <v>910</v>
      </c>
      <c r="B924" s="3032" t="s">
        <v>3539</v>
      </c>
      <c r="C924" s="3032" t="s">
        <v>3575</v>
      </c>
      <c r="D924" s="3032" t="s">
        <v>3574</v>
      </c>
      <c r="E924" s="3032">
        <v>1003</v>
      </c>
      <c r="F924" s="3032">
        <v>55.02</v>
      </c>
      <c r="G924" s="3032" t="s">
        <v>3559</v>
      </c>
    </row>
    <row r="925" spans="1:7" ht="16.5">
      <c r="A925" s="3032">
        <v>911</v>
      </c>
      <c r="B925" s="3032" t="s">
        <v>3539</v>
      </c>
      <c r="C925" s="3032" t="s">
        <v>3575</v>
      </c>
      <c r="D925" s="3032" t="s">
        <v>3574</v>
      </c>
      <c r="E925" s="3032">
        <v>1004</v>
      </c>
      <c r="F925" s="3032">
        <v>69.22</v>
      </c>
      <c r="G925" s="3032" t="s">
        <v>3559</v>
      </c>
    </row>
    <row r="926" spans="1:7" ht="16.5">
      <c r="A926" s="3032">
        <v>912</v>
      </c>
      <c r="B926" s="3032" t="s">
        <v>3539</v>
      </c>
      <c r="C926" s="3032" t="s">
        <v>3575</v>
      </c>
      <c r="D926" s="3032" t="s">
        <v>3574</v>
      </c>
      <c r="E926" s="3032">
        <v>1005</v>
      </c>
      <c r="F926" s="3032">
        <v>69.22</v>
      </c>
      <c r="G926" s="3032" t="s">
        <v>3559</v>
      </c>
    </row>
    <row r="927" spans="1:7" ht="16.5">
      <c r="A927" s="3032">
        <v>913</v>
      </c>
      <c r="B927" s="3032" t="s">
        <v>3539</v>
      </c>
      <c r="C927" s="3032" t="s">
        <v>3575</v>
      </c>
      <c r="D927" s="3032" t="s">
        <v>3574</v>
      </c>
      <c r="E927" s="3032">
        <v>1006</v>
      </c>
      <c r="F927" s="3032">
        <v>69.22</v>
      </c>
      <c r="G927" s="3032" t="s">
        <v>3559</v>
      </c>
    </row>
    <row r="928" spans="1:7" ht="16.5">
      <c r="A928" s="3032">
        <v>914</v>
      </c>
      <c r="B928" s="3032" t="s">
        <v>3539</v>
      </c>
      <c r="C928" s="3032" t="s">
        <v>3575</v>
      </c>
      <c r="D928" s="3032" t="s">
        <v>3574</v>
      </c>
      <c r="E928" s="3032">
        <v>1007</v>
      </c>
      <c r="F928" s="3032">
        <v>69.22</v>
      </c>
      <c r="G928" s="3032" t="s">
        <v>3559</v>
      </c>
    </row>
    <row r="929" spans="1:7" ht="16.5">
      <c r="A929" s="3032">
        <v>915</v>
      </c>
      <c r="B929" s="3032" t="s">
        <v>3539</v>
      </c>
      <c r="C929" s="3032" t="s">
        <v>3575</v>
      </c>
      <c r="D929" s="3032" t="s">
        <v>3574</v>
      </c>
      <c r="E929" s="3032">
        <v>1008</v>
      </c>
      <c r="F929" s="3032">
        <v>69.22</v>
      </c>
      <c r="G929" s="3032" t="s">
        <v>3559</v>
      </c>
    </row>
    <row r="930" spans="1:7" ht="16.5">
      <c r="A930" s="3032">
        <v>916</v>
      </c>
      <c r="B930" s="3032" t="s">
        <v>3539</v>
      </c>
      <c r="C930" s="3032" t="s">
        <v>3575</v>
      </c>
      <c r="D930" s="3032" t="s">
        <v>3574</v>
      </c>
      <c r="E930" s="3032">
        <v>1009</v>
      </c>
      <c r="F930" s="3032">
        <v>69.22</v>
      </c>
      <c r="G930" s="3032" t="s">
        <v>3559</v>
      </c>
    </row>
    <row r="931" spans="1:7" ht="16.5">
      <c r="A931" s="3032">
        <v>917</v>
      </c>
      <c r="B931" s="3032" t="s">
        <v>3539</v>
      </c>
      <c r="C931" s="3032" t="s">
        <v>3575</v>
      </c>
      <c r="D931" s="3032" t="s">
        <v>3574</v>
      </c>
      <c r="E931" s="3032">
        <v>1010</v>
      </c>
      <c r="F931" s="3032">
        <v>34.840000000000003</v>
      </c>
      <c r="G931" s="3032" t="s">
        <v>3559</v>
      </c>
    </row>
    <row r="932" spans="1:7" ht="16.5">
      <c r="A932" s="3032">
        <v>918</v>
      </c>
      <c r="B932" s="3032" t="s">
        <v>3539</v>
      </c>
      <c r="C932" s="3032" t="s">
        <v>3575</v>
      </c>
      <c r="D932" s="3032" t="s">
        <v>3574</v>
      </c>
      <c r="E932" s="3032">
        <v>1011</v>
      </c>
      <c r="F932" s="3032">
        <v>55.02</v>
      </c>
      <c r="G932" s="3032" t="s">
        <v>3559</v>
      </c>
    </row>
    <row r="933" spans="1:7" ht="16.5">
      <c r="A933" s="3032">
        <v>919</v>
      </c>
      <c r="B933" s="3032" t="s">
        <v>3539</v>
      </c>
      <c r="C933" s="3032" t="s">
        <v>3575</v>
      </c>
      <c r="D933" s="3032" t="s">
        <v>3574</v>
      </c>
      <c r="E933" s="3032">
        <v>1012</v>
      </c>
      <c r="F933" s="3032">
        <v>69.22</v>
      </c>
      <c r="G933" s="3032" t="s">
        <v>3559</v>
      </c>
    </row>
    <row r="934" spans="1:7" ht="16.5">
      <c r="A934" s="3032">
        <v>920</v>
      </c>
      <c r="B934" s="3032" t="s">
        <v>3539</v>
      </c>
      <c r="C934" s="3032" t="s">
        <v>3575</v>
      </c>
      <c r="D934" s="3032" t="s">
        <v>3574</v>
      </c>
      <c r="E934" s="3032">
        <v>1013</v>
      </c>
      <c r="F934" s="3032">
        <v>51.14</v>
      </c>
      <c r="G934" s="3032" t="s">
        <v>3559</v>
      </c>
    </row>
    <row r="935" spans="1:7" ht="16.5">
      <c r="A935" s="3032">
        <v>921</v>
      </c>
      <c r="B935" s="3032" t="s">
        <v>3539</v>
      </c>
      <c r="C935" s="3032" t="s">
        <v>3575</v>
      </c>
      <c r="D935" s="3032" t="s">
        <v>3574</v>
      </c>
      <c r="E935" s="3032">
        <v>1101</v>
      </c>
      <c r="F935" s="3032">
        <v>51.14</v>
      </c>
      <c r="G935" s="3032" t="s">
        <v>3559</v>
      </c>
    </row>
    <row r="936" spans="1:7" ht="16.5">
      <c r="A936" s="3032">
        <v>922</v>
      </c>
      <c r="B936" s="3032" t="s">
        <v>3539</v>
      </c>
      <c r="C936" s="3032" t="s">
        <v>3575</v>
      </c>
      <c r="D936" s="3032" t="s">
        <v>3574</v>
      </c>
      <c r="E936" s="3032">
        <v>1102</v>
      </c>
      <c r="F936" s="3032">
        <v>69.22</v>
      </c>
      <c r="G936" s="3032" t="s">
        <v>3559</v>
      </c>
    </row>
    <row r="937" spans="1:7" ht="16.5">
      <c r="A937" s="3032">
        <v>923</v>
      </c>
      <c r="B937" s="3032" t="s">
        <v>3539</v>
      </c>
      <c r="C937" s="3032" t="s">
        <v>3575</v>
      </c>
      <c r="D937" s="3032" t="s">
        <v>3574</v>
      </c>
      <c r="E937" s="3032">
        <v>1103</v>
      </c>
      <c r="F937" s="3032">
        <v>55.02</v>
      </c>
      <c r="G937" s="3032" t="s">
        <v>3559</v>
      </c>
    </row>
    <row r="938" spans="1:7" ht="16.5">
      <c r="A938" s="3032">
        <v>924</v>
      </c>
      <c r="B938" s="3032" t="s">
        <v>3539</v>
      </c>
      <c r="C938" s="3032" t="s">
        <v>3575</v>
      </c>
      <c r="D938" s="3032" t="s">
        <v>3574</v>
      </c>
      <c r="E938" s="3032">
        <v>1104</v>
      </c>
      <c r="F938" s="3032">
        <v>69.22</v>
      </c>
      <c r="G938" s="3032" t="s">
        <v>3559</v>
      </c>
    </row>
    <row r="939" spans="1:7" ht="16.5">
      <c r="A939" s="3032">
        <v>925</v>
      </c>
      <c r="B939" s="3032" t="s">
        <v>3539</v>
      </c>
      <c r="C939" s="3032" t="s">
        <v>3575</v>
      </c>
      <c r="D939" s="3032" t="s">
        <v>3574</v>
      </c>
      <c r="E939" s="3032">
        <v>1105</v>
      </c>
      <c r="F939" s="3032">
        <v>69.22</v>
      </c>
      <c r="G939" s="3032" t="s">
        <v>3559</v>
      </c>
    </row>
    <row r="940" spans="1:7" ht="16.5">
      <c r="A940" s="3032">
        <v>926</v>
      </c>
      <c r="B940" s="3032" t="s">
        <v>3539</v>
      </c>
      <c r="C940" s="3032" t="s">
        <v>3575</v>
      </c>
      <c r="D940" s="3032" t="s">
        <v>3574</v>
      </c>
      <c r="E940" s="3032">
        <v>1106</v>
      </c>
      <c r="F940" s="3032">
        <v>69.22</v>
      </c>
      <c r="G940" s="3032" t="s">
        <v>3559</v>
      </c>
    </row>
    <row r="941" spans="1:7" ht="16.5">
      <c r="A941" s="3032">
        <v>927</v>
      </c>
      <c r="B941" s="3032" t="s">
        <v>3539</v>
      </c>
      <c r="C941" s="3032" t="s">
        <v>3575</v>
      </c>
      <c r="D941" s="3032" t="s">
        <v>3574</v>
      </c>
      <c r="E941" s="3032">
        <v>1107</v>
      </c>
      <c r="F941" s="3032">
        <v>69.22</v>
      </c>
      <c r="G941" s="3032" t="s">
        <v>3559</v>
      </c>
    </row>
    <row r="942" spans="1:7" ht="16.5">
      <c r="A942" s="3032">
        <v>928</v>
      </c>
      <c r="B942" s="3032" t="s">
        <v>3539</v>
      </c>
      <c r="C942" s="3032" t="s">
        <v>3575</v>
      </c>
      <c r="D942" s="3032" t="s">
        <v>3574</v>
      </c>
      <c r="E942" s="3032">
        <v>1108</v>
      </c>
      <c r="F942" s="3032">
        <v>69.22</v>
      </c>
      <c r="G942" s="3032" t="s">
        <v>3559</v>
      </c>
    </row>
    <row r="943" spans="1:7" ht="16.5">
      <c r="A943" s="3032">
        <v>929</v>
      </c>
      <c r="B943" s="3032" t="s">
        <v>3539</v>
      </c>
      <c r="C943" s="3032" t="s">
        <v>3575</v>
      </c>
      <c r="D943" s="3032" t="s">
        <v>3574</v>
      </c>
      <c r="E943" s="3032">
        <v>1109</v>
      </c>
      <c r="F943" s="3032">
        <v>69.22</v>
      </c>
      <c r="G943" s="3032" t="s">
        <v>3559</v>
      </c>
    </row>
    <row r="944" spans="1:7" ht="16.5">
      <c r="A944" s="3032">
        <v>930</v>
      </c>
      <c r="B944" s="3032" t="s">
        <v>3539</v>
      </c>
      <c r="C944" s="3032" t="s">
        <v>3575</v>
      </c>
      <c r="D944" s="3032" t="s">
        <v>3574</v>
      </c>
      <c r="E944" s="3032">
        <v>1110</v>
      </c>
      <c r="F944" s="3032">
        <v>34.840000000000003</v>
      </c>
      <c r="G944" s="3032" t="s">
        <v>3559</v>
      </c>
    </row>
    <row r="945" spans="1:7" ht="16.5">
      <c r="A945" s="3032">
        <v>931</v>
      </c>
      <c r="B945" s="3032" t="s">
        <v>3539</v>
      </c>
      <c r="C945" s="3032" t="s">
        <v>3575</v>
      </c>
      <c r="D945" s="3032" t="s">
        <v>3574</v>
      </c>
      <c r="E945" s="3032">
        <v>1111</v>
      </c>
      <c r="F945" s="3032">
        <v>55.02</v>
      </c>
      <c r="G945" s="3032" t="s">
        <v>3559</v>
      </c>
    </row>
    <row r="946" spans="1:7" ht="16.5">
      <c r="A946" s="3032">
        <v>932</v>
      </c>
      <c r="B946" s="3032" t="s">
        <v>3539</v>
      </c>
      <c r="C946" s="3032" t="s">
        <v>3575</v>
      </c>
      <c r="D946" s="3032" t="s">
        <v>3574</v>
      </c>
      <c r="E946" s="3032">
        <v>1112</v>
      </c>
      <c r="F946" s="3032">
        <v>69.22</v>
      </c>
      <c r="G946" s="3032" t="s">
        <v>3559</v>
      </c>
    </row>
    <row r="947" spans="1:7" ht="16.5">
      <c r="A947" s="3032">
        <v>933</v>
      </c>
      <c r="B947" s="3032" t="s">
        <v>3539</v>
      </c>
      <c r="C947" s="3032" t="s">
        <v>3575</v>
      </c>
      <c r="D947" s="3032" t="s">
        <v>3574</v>
      </c>
      <c r="E947" s="3032">
        <v>1113</v>
      </c>
      <c r="F947" s="3032">
        <v>51.14</v>
      </c>
      <c r="G947" s="3032" t="s">
        <v>3559</v>
      </c>
    </row>
    <row r="948" spans="1:7" ht="16.5">
      <c r="A948" s="3032">
        <v>934</v>
      </c>
      <c r="B948" s="3032" t="s">
        <v>3539</v>
      </c>
      <c r="C948" s="3032" t="s">
        <v>3575</v>
      </c>
      <c r="D948" s="3032" t="s">
        <v>3574</v>
      </c>
      <c r="E948" s="3032">
        <v>1201</v>
      </c>
      <c r="F948" s="3032">
        <v>51.14</v>
      </c>
      <c r="G948" s="3032" t="s">
        <v>3559</v>
      </c>
    </row>
    <row r="949" spans="1:7" ht="16.5">
      <c r="A949" s="3032">
        <v>935</v>
      </c>
      <c r="B949" s="3032" t="s">
        <v>3539</v>
      </c>
      <c r="C949" s="3032" t="s">
        <v>3575</v>
      </c>
      <c r="D949" s="3032" t="s">
        <v>3574</v>
      </c>
      <c r="E949" s="3032">
        <v>1202</v>
      </c>
      <c r="F949" s="3032">
        <v>69.22</v>
      </c>
      <c r="G949" s="3032" t="s">
        <v>3559</v>
      </c>
    </row>
    <row r="950" spans="1:7" ht="16.5">
      <c r="A950" s="3032">
        <v>936</v>
      </c>
      <c r="B950" s="3032" t="s">
        <v>3539</v>
      </c>
      <c r="C950" s="3032" t="s">
        <v>3575</v>
      </c>
      <c r="D950" s="3032" t="s">
        <v>3574</v>
      </c>
      <c r="E950" s="3032">
        <v>1203</v>
      </c>
      <c r="F950" s="3032">
        <v>55.02</v>
      </c>
      <c r="G950" s="3032" t="s">
        <v>3559</v>
      </c>
    </row>
    <row r="951" spans="1:7" ht="16.5">
      <c r="A951" s="3032">
        <v>937</v>
      </c>
      <c r="B951" s="3032" t="s">
        <v>3539</v>
      </c>
      <c r="C951" s="3032" t="s">
        <v>3575</v>
      </c>
      <c r="D951" s="3032" t="s">
        <v>3574</v>
      </c>
      <c r="E951" s="3032">
        <v>1204</v>
      </c>
      <c r="F951" s="3032">
        <v>69.22</v>
      </c>
      <c r="G951" s="3032" t="s">
        <v>3559</v>
      </c>
    </row>
    <row r="952" spans="1:7" ht="16.5">
      <c r="A952" s="3032">
        <v>938</v>
      </c>
      <c r="B952" s="3032" t="s">
        <v>3539</v>
      </c>
      <c r="C952" s="3032" t="s">
        <v>3575</v>
      </c>
      <c r="D952" s="3032" t="s">
        <v>3574</v>
      </c>
      <c r="E952" s="3032">
        <v>1205</v>
      </c>
      <c r="F952" s="3032">
        <v>69.22</v>
      </c>
      <c r="G952" s="3032" t="s">
        <v>3559</v>
      </c>
    </row>
    <row r="953" spans="1:7" ht="16.5">
      <c r="A953" s="3032">
        <v>939</v>
      </c>
      <c r="B953" s="3032" t="s">
        <v>3539</v>
      </c>
      <c r="C953" s="3032" t="s">
        <v>3575</v>
      </c>
      <c r="D953" s="3032" t="s">
        <v>3574</v>
      </c>
      <c r="E953" s="3032">
        <v>1206</v>
      </c>
      <c r="F953" s="3032">
        <v>69.22</v>
      </c>
      <c r="G953" s="3032" t="s">
        <v>3559</v>
      </c>
    </row>
    <row r="954" spans="1:7" ht="16.5">
      <c r="A954" s="3032">
        <v>940</v>
      </c>
      <c r="B954" s="3032" t="s">
        <v>3539</v>
      </c>
      <c r="C954" s="3032" t="s">
        <v>3575</v>
      </c>
      <c r="D954" s="3032" t="s">
        <v>3574</v>
      </c>
      <c r="E954" s="3032">
        <v>1207</v>
      </c>
      <c r="F954" s="3032">
        <v>69.22</v>
      </c>
      <c r="G954" s="3032" t="s">
        <v>3559</v>
      </c>
    </row>
    <row r="955" spans="1:7" ht="16.5">
      <c r="A955" s="3032">
        <v>941</v>
      </c>
      <c r="B955" s="3032" t="s">
        <v>3539</v>
      </c>
      <c r="C955" s="3032" t="s">
        <v>3575</v>
      </c>
      <c r="D955" s="3032" t="s">
        <v>3574</v>
      </c>
      <c r="E955" s="3032">
        <v>1208</v>
      </c>
      <c r="F955" s="3032">
        <v>69.22</v>
      </c>
      <c r="G955" s="3032" t="s">
        <v>3559</v>
      </c>
    </row>
    <row r="956" spans="1:7" ht="16.5">
      <c r="A956" s="3032">
        <v>942</v>
      </c>
      <c r="B956" s="3032" t="s">
        <v>3539</v>
      </c>
      <c r="C956" s="3032" t="s">
        <v>3575</v>
      </c>
      <c r="D956" s="3032" t="s">
        <v>3574</v>
      </c>
      <c r="E956" s="3032">
        <v>1209</v>
      </c>
      <c r="F956" s="3032">
        <v>69.22</v>
      </c>
      <c r="G956" s="3032" t="s">
        <v>3559</v>
      </c>
    </row>
    <row r="957" spans="1:7" ht="16.5">
      <c r="A957" s="3032">
        <v>943</v>
      </c>
      <c r="B957" s="3032" t="s">
        <v>3539</v>
      </c>
      <c r="C957" s="3032" t="s">
        <v>3575</v>
      </c>
      <c r="D957" s="3032" t="s">
        <v>3574</v>
      </c>
      <c r="E957" s="3032">
        <v>1210</v>
      </c>
      <c r="F957" s="3032">
        <v>34.840000000000003</v>
      </c>
      <c r="G957" s="3032" t="s">
        <v>3559</v>
      </c>
    </row>
    <row r="958" spans="1:7" ht="16.5">
      <c r="A958" s="3032">
        <v>944</v>
      </c>
      <c r="B958" s="3032" t="s">
        <v>3539</v>
      </c>
      <c r="C958" s="3032" t="s">
        <v>3575</v>
      </c>
      <c r="D958" s="3032" t="s">
        <v>3574</v>
      </c>
      <c r="E958" s="3032">
        <v>1211</v>
      </c>
      <c r="F958" s="3032">
        <v>55.02</v>
      </c>
      <c r="G958" s="3032" t="s">
        <v>3559</v>
      </c>
    </row>
    <row r="959" spans="1:7" ht="16.5">
      <c r="A959" s="3032">
        <v>945</v>
      </c>
      <c r="B959" s="3032" t="s">
        <v>3539</v>
      </c>
      <c r="C959" s="3032" t="s">
        <v>3575</v>
      </c>
      <c r="D959" s="3032" t="s">
        <v>3574</v>
      </c>
      <c r="E959" s="3032">
        <v>1212</v>
      </c>
      <c r="F959" s="3032">
        <v>69.22</v>
      </c>
      <c r="G959" s="3032" t="s">
        <v>3559</v>
      </c>
    </row>
    <row r="960" spans="1:7" ht="16.5">
      <c r="A960" s="3032">
        <v>946</v>
      </c>
      <c r="B960" s="3032" t="s">
        <v>3539</v>
      </c>
      <c r="C960" s="3032" t="s">
        <v>3575</v>
      </c>
      <c r="D960" s="3032" t="s">
        <v>3574</v>
      </c>
      <c r="E960" s="3032">
        <v>1213</v>
      </c>
      <c r="F960" s="3032">
        <v>51.14</v>
      </c>
      <c r="G960" s="3032" t="s">
        <v>3559</v>
      </c>
    </row>
    <row r="961" spans="1:7" ht="16.5">
      <c r="A961" s="3032">
        <v>947</v>
      </c>
      <c r="B961" s="3032" t="s">
        <v>3539</v>
      </c>
      <c r="C961" s="3032" t="s">
        <v>3575</v>
      </c>
      <c r="D961" s="3032" t="s">
        <v>3574</v>
      </c>
      <c r="E961" s="3032">
        <v>1301</v>
      </c>
      <c r="F961" s="3032">
        <v>51.14</v>
      </c>
      <c r="G961" s="3032" t="s">
        <v>3559</v>
      </c>
    </row>
    <row r="962" spans="1:7" ht="16.5">
      <c r="A962" s="3032">
        <v>948</v>
      </c>
      <c r="B962" s="3032" t="s">
        <v>3539</v>
      </c>
      <c r="C962" s="3032" t="s">
        <v>3575</v>
      </c>
      <c r="D962" s="3032" t="s">
        <v>3574</v>
      </c>
      <c r="E962" s="3032">
        <v>1302</v>
      </c>
      <c r="F962" s="3032">
        <v>69.22</v>
      </c>
      <c r="G962" s="3032" t="s">
        <v>3559</v>
      </c>
    </row>
    <row r="963" spans="1:7" ht="16.5">
      <c r="A963" s="3032">
        <v>949</v>
      </c>
      <c r="B963" s="3032" t="s">
        <v>3539</v>
      </c>
      <c r="C963" s="3032" t="s">
        <v>3575</v>
      </c>
      <c r="D963" s="3032" t="s">
        <v>3574</v>
      </c>
      <c r="E963" s="3032">
        <v>1303</v>
      </c>
      <c r="F963" s="3032">
        <v>55.02</v>
      </c>
      <c r="G963" s="3032" t="s">
        <v>3559</v>
      </c>
    </row>
    <row r="964" spans="1:7" ht="16.5">
      <c r="A964" s="3032">
        <v>950</v>
      </c>
      <c r="B964" s="3032" t="s">
        <v>3539</v>
      </c>
      <c r="C964" s="3032" t="s">
        <v>3575</v>
      </c>
      <c r="D964" s="3032" t="s">
        <v>3574</v>
      </c>
      <c r="E964" s="3032">
        <v>1304</v>
      </c>
      <c r="F964" s="3032">
        <v>69.22</v>
      </c>
      <c r="G964" s="3032" t="s">
        <v>3559</v>
      </c>
    </row>
    <row r="965" spans="1:7" ht="16.5">
      <c r="A965" s="3032">
        <v>951</v>
      </c>
      <c r="B965" s="3032" t="s">
        <v>3539</v>
      </c>
      <c r="C965" s="3032" t="s">
        <v>3575</v>
      </c>
      <c r="D965" s="3032" t="s">
        <v>3574</v>
      </c>
      <c r="E965" s="3032">
        <v>1305</v>
      </c>
      <c r="F965" s="3032">
        <v>69.22</v>
      </c>
      <c r="G965" s="3032" t="s">
        <v>3559</v>
      </c>
    </row>
    <row r="966" spans="1:7" ht="16.5">
      <c r="A966" s="3032">
        <v>952</v>
      </c>
      <c r="B966" s="3032" t="s">
        <v>3539</v>
      </c>
      <c r="C966" s="3032" t="s">
        <v>3575</v>
      </c>
      <c r="D966" s="3032" t="s">
        <v>3574</v>
      </c>
      <c r="E966" s="3032">
        <v>1306</v>
      </c>
      <c r="F966" s="3032">
        <v>69.22</v>
      </c>
      <c r="G966" s="3032" t="s">
        <v>3559</v>
      </c>
    </row>
    <row r="967" spans="1:7" ht="16.5">
      <c r="A967" s="3032">
        <v>953</v>
      </c>
      <c r="B967" s="3032" t="s">
        <v>3539</v>
      </c>
      <c r="C967" s="3032" t="s">
        <v>3575</v>
      </c>
      <c r="D967" s="3032" t="s">
        <v>3574</v>
      </c>
      <c r="E967" s="3032">
        <v>1307</v>
      </c>
      <c r="F967" s="3032">
        <v>69.22</v>
      </c>
      <c r="G967" s="3032" t="s">
        <v>3559</v>
      </c>
    </row>
    <row r="968" spans="1:7" ht="16.5">
      <c r="A968" s="3032">
        <v>954</v>
      </c>
      <c r="B968" s="3032" t="s">
        <v>3539</v>
      </c>
      <c r="C968" s="3032" t="s">
        <v>3575</v>
      </c>
      <c r="D968" s="3032" t="s">
        <v>3574</v>
      </c>
      <c r="E968" s="3032">
        <v>1308</v>
      </c>
      <c r="F968" s="3032">
        <v>69.22</v>
      </c>
      <c r="G968" s="3032" t="s">
        <v>3559</v>
      </c>
    </row>
    <row r="969" spans="1:7" ht="16.5">
      <c r="A969" s="3032">
        <v>955</v>
      </c>
      <c r="B969" s="3032" t="s">
        <v>3539</v>
      </c>
      <c r="C969" s="3032" t="s">
        <v>3575</v>
      </c>
      <c r="D969" s="3032" t="s">
        <v>3574</v>
      </c>
      <c r="E969" s="3032">
        <v>1309</v>
      </c>
      <c r="F969" s="3032">
        <v>69.22</v>
      </c>
      <c r="G969" s="3032" t="s">
        <v>3559</v>
      </c>
    </row>
    <row r="970" spans="1:7" ht="16.5">
      <c r="A970" s="3032">
        <v>956</v>
      </c>
      <c r="B970" s="3032" t="s">
        <v>3539</v>
      </c>
      <c r="C970" s="3032" t="s">
        <v>3575</v>
      </c>
      <c r="D970" s="3032" t="s">
        <v>3574</v>
      </c>
      <c r="E970" s="3032">
        <v>1310</v>
      </c>
      <c r="F970" s="3032">
        <v>34.840000000000003</v>
      </c>
      <c r="G970" s="3032" t="s">
        <v>3559</v>
      </c>
    </row>
    <row r="971" spans="1:7" ht="16.5">
      <c r="A971" s="3032">
        <v>957</v>
      </c>
      <c r="B971" s="3032" t="s">
        <v>3539</v>
      </c>
      <c r="C971" s="3032" t="s">
        <v>3575</v>
      </c>
      <c r="D971" s="3032" t="s">
        <v>3574</v>
      </c>
      <c r="E971" s="3032">
        <v>1311</v>
      </c>
      <c r="F971" s="3032">
        <v>55.02</v>
      </c>
      <c r="G971" s="3032" t="s">
        <v>3559</v>
      </c>
    </row>
    <row r="972" spans="1:7" ht="16.5">
      <c r="A972" s="3032">
        <v>958</v>
      </c>
      <c r="B972" s="3032" t="s">
        <v>3539</v>
      </c>
      <c r="C972" s="3032" t="s">
        <v>3575</v>
      </c>
      <c r="D972" s="3032" t="s">
        <v>3574</v>
      </c>
      <c r="E972" s="3032">
        <v>1312</v>
      </c>
      <c r="F972" s="3032">
        <v>69.22</v>
      </c>
      <c r="G972" s="3032" t="s">
        <v>3559</v>
      </c>
    </row>
    <row r="973" spans="1:7" ht="16.5">
      <c r="A973" s="3032">
        <v>959</v>
      </c>
      <c r="B973" s="3032" t="s">
        <v>3539</v>
      </c>
      <c r="C973" s="3032" t="s">
        <v>3575</v>
      </c>
      <c r="D973" s="3032" t="s">
        <v>3574</v>
      </c>
      <c r="E973" s="3032">
        <v>1313</v>
      </c>
      <c r="F973" s="3032">
        <v>51.14</v>
      </c>
      <c r="G973" s="3032" t="s">
        <v>3559</v>
      </c>
    </row>
    <row r="974" spans="1:7" ht="16.5">
      <c r="A974" s="3032">
        <v>960</v>
      </c>
      <c r="B974" s="3032" t="s">
        <v>3539</v>
      </c>
      <c r="C974" s="3032" t="s">
        <v>3575</v>
      </c>
      <c r="D974" s="3032" t="s">
        <v>3574</v>
      </c>
      <c r="E974" s="3032">
        <v>1401</v>
      </c>
      <c r="F974" s="3032">
        <v>51.14</v>
      </c>
      <c r="G974" s="3032" t="s">
        <v>3559</v>
      </c>
    </row>
    <row r="975" spans="1:7" ht="16.5">
      <c r="A975" s="3032">
        <v>961</v>
      </c>
      <c r="B975" s="3032" t="s">
        <v>3539</v>
      </c>
      <c r="C975" s="3032" t="s">
        <v>3575</v>
      </c>
      <c r="D975" s="3032" t="s">
        <v>3574</v>
      </c>
      <c r="E975" s="3032">
        <v>1402</v>
      </c>
      <c r="F975" s="3032">
        <v>69.22</v>
      </c>
      <c r="G975" s="3032" t="s">
        <v>3559</v>
      </c>
    </row>
    <row r="976" spans="1:7" ht="16.5">
      <c r="A976" s="3032">
        <v>962</v>
      </c>
      <c r="B976" s="3032" t="s">
        <v>3539</v>
      </c>
      <c r="C976" s="3032" t="s">
        <v>3575</v>
      </c>
      <c r="D976" s="3032" t="s">
        <v>3574</v>
      </c>
      <c r="E976" s="3032">
        <v>1403</v>
      </c>
      <c r="F976" s="3032">
        <v>55.02</v>
      </c>
      <c r="G976" s="3032" t="s">
        <v>3559</v>
      </c>
    </row>
    <row r="977" spans="1:7" ht="16.5">
      <c r="A977" s="3032">
        <v>963</v>
      </c>
      <c r="B977" s="3032" t="s">
        <v>3539</v>
      </c>
      <c r="C977" s="3032" t="s">
        <v>3575</v>
      </c>
      <c r="D977" s="3032" t="s">
        <v>3574</v>
      </c>
      <c r="E977" s="3032">
        <v>1404</v>
      </c>
      <c r="F977" s="3032">
        <v>69.22</v>
      </c>
      <c r="G977" s="3032" t="s">
        <v>3559</v>
      </c>
    </row>
    <row r="978" spans="1:7" ht="16.5">
      <c r="A978" s="3032">
        <v>964</v>
      </c>
      <c r="B978" s="3032" t="s">
        <v>3539</v>
      </c>
      <c r="C978" s="3032" t="s">
        <v>3575</v>
      </c>
      <c r="D978" s="3032" t="s">
        <v>3574</v>
      </c>
      <c r="E978" s="3032">
        <v>1405</v>
      </c>
      <c r="F978" s="3032">
        <v>69.22</v>
      </c>
      <c r="G978" s="3032" t="s">
        <v>3559</v>
      </c>
    </row>
    <row r="979" spans="1:7" ht="16.5">
      <c r="A979" s="3032">
        <v>965</v>
      </c>
      <c r="B979" s="3032" t="s">
        <v>3539</v>
      </c>
      <c r="C979" s="3032" t="s">
        <v>3575</v>
      </c>
      <c r="D979" s="3032" t="s">
        <v>3574</v>
      </c>
      <c r="E979" s="3032">
        <v>1406</v>
      </c>
      <c r="F979" s="3032">
        <v>69.22</v>
      </c>
      <c r="G979" s="3032" t="s">
        <v>3559</v>
      </c>
    </row>
    <row r="980" spans="1:7" ht="16.5">
      <c r="A980" s="3032">
        <v>966</v>
      </c>
      <c r="B980" s="3032" t="s">
        <v>3539</v>
      </c>
      <c r="C980" s="3032" t="s">
        <v>3575</v>
      </c>
      <c r="D980" s="3032" t="s">
        <v>3574</v>
      </c>
      <c r="E980" s="3032">
        <v>1407</v>
      </c>
      <c r="F980" s="3032">
        <v>69.22</v>
      </c>
      <c r="G980" s="3032" t="s">
        <v>3559</v>
      </c>
    </row>
    <row r="981" spans="1:7" ht="16.5">
      <c r="A981" s="3032">
        <v>967</v>
      </c>
      <c r="B981" s="3032" t="s">
        <v>3539</v>
      </c>
      <c r="C981" s="3032" t="s">
        <v>3575</v>
      </c>
      <c r="D981" s="3032" t="s">
        <v>3574</v>
      </c>
      <c r="E981" s="3032">
        <v>1408</v>
      </c>
      <c r="F981" s="3032">
        <v>69.22</v>
      </c>
      <c r="G981" s="3032" t="s">
        <v>3559</v>
      </c>
    </row>
    <row r="982" spans="1:7" ht="16.5">
      <c r="A982" s="3032">
        <v>968</v>
      </c>
      <c r="B982" s="3032" t="s">
        <v>3539</v>
      </c>
      <c r="C982" s="3032" t="s">
        <v>3575</v>
      </c>
      <c r="D982" s="3032" t="s">
        <v>3574</v>
      </c>
      <c r="E982" s="3032">
        <v>1409</v>
      </c>
      <c r="F982" s="3032">
        <v>69.22</v>
      </c>
      <c r="G982" s="3032" t="s">
        <v>3559</v>
      </c>
    </row>
    <row r="983" spans="1:7" ht="16.5">
      <c r="A983" s="3032">
        <v>969</v>
      </c>
      <c r="B983" s="3032" t="s">
        <v>3539</v>
      </c>
      <c r="C983" s="3032" t="s">
        <v>3575</v>
      </c>
      <c r="D983" s="3032" t="s">
        <v>3574</v>
      </c>
      <c r="E983" s="3032">
        <v>1410</v>
      </c>
      <c r="F983" s="3032">
        <v>34.840000000000003</v>
      </c>
      <c r="G983" s="3032" t="s">
        <v>3559</v>
      </c>
    </row>
    <row r="984" spans="1:7" ht="16.5">
      <c r="A984" s="3032">
        <v>970</v>
      </c>
      <c r="B984" s="3032" t="s">
        <v>3539</v>
      </c>
      <c r="C984" s="3032" t="s">
        <v>3575</v>
      </c>
      <c r="D984" s="3032" t="s">
        <v>3574</v>
      </c>
      <c r="E984" s="3032">
        <v>1411</v>
      </c>
      <c r="F984" s="3032">
        <v>55.02</v>
      </c>
      <c r="G984" s="3032" t="s">
        <v>3559</v>
      </c>
    </row>
    <row r="985" spans="1:7" ht="16.5">
      <c r="A985" s="3032">
        <v>971</v>
      </c>
      <c r="B985" s="3032" t="s">
        <v>3539</v>
      </c>
      <c r="C985" s="3032" t="s">
        <v>3575</v>
      </c>
      <c r="D985" s="3032" t="s">
        <v>3574</v>
      </c>
      <c r="E985" s="3032">
        <v>1412</v>
      </c>
      <c r="F985" s="3032">
        <v>69.22</v>
      </c>
      <c r="G985" s="3032" t="s">
        <v>3559</v>
      </c>
    </row>
    <row r="986" spans="1:7" ht="16.5">
      <c r="A986" s="3032">
        <v>972</v>
      </c>
      <c r="B986" s="3032" t="s">
        <v>3539</v>
      </c>
      <c r="C986" s="3032" t="s">
        <v>3575</v>
      </c>
      <c r="D986" s="3032" t="s">
        <v>3574</v>
      </c>
      <c r="E986" s="3032">
        <v>1413</v>
      </c>
      <c r="F986" s="3032">
        <v>51.14</v>
      </c>
      <c r="G986" s="3032" t="s">
        <v>3559</v>
      </c>
    </row>
    <row r="987" spans="1:7" ht="16.5">
      <c r="A987" s="3032">
        <v>973</v>
      </c>
      <c r="B987" s="3032" t="s">
        <v>3539</v>
      </c>
      <c r="C987" s="3032" t="s">
        <v>3575</v>
      </c>
      <c r="D987" s="3032" t="s">
        <v>3574</v>
      </c>
      <c r="E987" s="3032">
        <v>1501</v>
      </c>
      <c r="F987" s="3032">
        <v>51.14</v>
      </c>
      <c r="G987" s="3032" t="s">
        <v>3559</v>
      </c>
    </row>
    <row r="988" spans="1:7" ht="16.5">
      <c r="A988" s="3032">
        <v>974</v>
      </c>
      <c r="B988" s="3032" t="s">
        <v>3539</v>
      </c>
      <c r="C988" s="3032" t="s">
        <v>3575</v>
      </c>
      <c r="D988" s="3032" t="s">
        <v>3574</v>
      </c>
      <c r="E988" s="3032">
        <v>1502</v>
      </c>
      <c r="F988" s="3032">
        <v>69.22</v>
      </c>
      <c r="G988" s="3032" t="s">
        <v>3559</v>
      </c>
    </row>
    <row r="989" spans="1:7" ht="16.5">
      <c r="A989" s="3032">
        <v>975</v>
      </c>
      <c r="B989" s="3032" t="s">
        <v>3539</v>
      </c>
      <c r="C989" s="3032" t="s">
        <v>3575</v>
      </c>
      <c r="D989" s="3032" t="s">
        <v>3574</v>
      </c>
      <c r="E989" s="3032">
        <v>1503</v>
      </c>
      <c r="F989" s="3032">
        <v>55.02</v>
      </c>
      <c r="G989" s="3032" t="s">
        <v>3559</v>
      </c>
    </row>
    <row r="990" spans="1:7" ht="16.5">
      <c r="A990" s="3032">
        <v>976</v>
      </c>
      <c r="B990" s="3032" t="s">
        <v>3539</v>
      </c>
      <c r="C990" s="3032" t="s">
        <v>3575</v>
      </c>
      <c r="D990" s="3032" t="s">
        <v>3574</v>
      </c>
      <c r="E990" s="3032">
        <v>1504</v>
      </c>
      <c r="F990" s="3032">
        <v>69.22</v>
      </c>
      <c r="G990" s="3032" t="s">
        <v>3559</v>
      </c>
    </row>
    <row r="991" spans="1:7" ht="16.5">
      <c r="A991" s="3032">
        <v>977</v>
      </c>
      <c r="B991" s="3032" t="s">
        <v>3539</v>
      </c>
      <c r="C991" s="3032" t="s">
        <v>3575</v>
      </c>
      <c r="D991" s="3032" t="s">
        <v>3574</v>
      </c>
      <c r="E991" s="3032">
        <v>1505</v>
      </c>
      <c r="F991" s="3032">
        <v>69.22</v>
      </c>
      <c r="G991" s="3032" t="s">
        <v>3559</v>
      </c>
    </row>
    <row r="992" spans="1:7" ht="16.5">
      <c r="A992" s="3032">
        <v>978</v>
      </c>
      <c r="B992" s="3032" t="s">
        <v>3539</v>
      </c>
      <c r="C992" s="3032" t="s">
        <v>3575</v>
      </c>
      <c r="D992" s="3032" t="s">
        <v>3574</v>
      </c>
      <c r="E992" s="3032">
        <v>1506</v>
      </c>
      <c r="F992" s="3032">
        <v>69.22</v>
      </c>
      <c r="G992" s="3032" t="s">
        <v>3559</v>
      </c>
    </row>
    <row r="993" spans="1:7" ht="16.5">
      <c r="A993" s="3032">
        <v>979</v>
      </c>
      <c r="B993" s="3032" t="s">
        <v>3539</v>
      </c>
      <c r="C993" s="3032" t="s">
        <v>3575</v>
      </c>
      <c r="D993" s="3032" t="s">
        <v>3574</v>
      </c>
      <c r="E993" s="3032">
        <v>1507</v>
      </c>
      <c r="F993" s="3032">
        <v>69.22</v>
      </c>
      <c r="G993" s="3032" t="s">
        <v>3559</v>
      </c>
    </row>
    <row r="994" spans="1:7" ht="16.5">
      <c r="A994" s="3032">
        <v>980</v>
      </c>
      <c r="B994" s="3032" t="s">
        <v>3539</v>
      </c>
      <c r="C994" s="3032" t="s">
        <v>3575</v>
      </c>
      <c r="D994" s="3032" t="s">
        <v>3574</v>
      </c>
      <c r="E994" s="3032">
        <v>1508</v>
      </c>
      <c r="F994" s="3032">
        <v>69.22</v>
      </c>
      <c r="G994" s="3032" t="s">
        <v>3559</v>
      </c>
    </row>
    <row r="995" spans="1:7" ht="16.5">
      <c r="A995" s="3032">
        <v>981</v>
      </c>
      <c r="B995" s="3032" t="s">
        <v>3539</v>
      </c>
      <c r="C995" s="3032" t="s">
        <v>3575</v>
      </c>
      <c r="D995" s="3032" t="s">
        <v>3574</v>
      </c>
      <c r="E995" s="3032">
        <v>1509</v>
      </c>
      <c r="F995" s="3032">
        <v>69.22</v>
      </c>
      <c r="G995" s="3032" t="s">
        <v>3559</v>
      </c>
    </row>
    <row r="996" spans="1:7" ht="16.5">
      <c r="A996" s="3032">
        <v>982</v>
      </c>
      <c r="B996" s="3032" t="s">
        <v>3539</v>
      </c>
      <c r="C996" s="3032" t="s">
        <v>3575</v>
      </c>
      <c r="D996" s="3032" t="s">
        <v>3574</v>
      </c>
      <c r="E996" s="3032">
        <v>1510</v>
      </c>
      <c r="F996" s="3032">
        <v>34.840000000000003</v>
      </c>
      <c r="G996" s="3032" t="s">
        <v>3559</v>
      </c>
    </row>
    <row r="997" spans="1:7" ht="16.5">
      <c r="A997" s="3032">
        <v>983</v>
      </c>
      <c r="B997" s="3032" t="s">
        <v>3539</v>
      </c>
      <c r="C997" s="3032" t="s">
        <v>3575</v>
      </c>
      <c r="D997" s="3032" t="s">
        <v>3574</v>
      </c>
      <c r="E997" s="3032">
        <v>1511</v>
      </c>
      <c r="F997" s="3032">
        <v>55.02</v>
      </c>
      <c r="G997" s="3032" t="s">
        <v>3559</v>
      </c>
    </row>
    <row r="998" spans="1:7" ht="16.5">
      <c r="A998" s="3032">
        <v>984</v>
      </c>
      <c r="B998" s="3032" t="s">
        <v>3539</v>
      </c>
      <c r="C998" s="3032" t="s">
        <v>3575</v>
      </c>
      <c r="D998" s="3032" t="s">
        <v>3574</v>
      </c>
      <c r="E998" s="3032">
        <v>1512</v>
      </c>
      <c r="F998" s="3032">
        <v>69.22</v>
      </c>
      <c r="G998" s="3032" t="s">
        <v>3559</v>
      </c>
    </row>
    <row r="999" spans="1:7" ht="16.5">
      <c r="A999" s="3032">
        <v>985</v>
      </c>
      <c r="B999" s="3032" t="s">
        <v>3539</v>
      </c>
      <c r="C999" s="3032" t="s">
        <v>3575</v>
      </c>
      <c r="D999" s="3032" t="s">
        <v>3574</v>
      </c>
      <c r="E999" s="3032">
        <v>1513</v>
      </c>
      <c r="F999" s="3032">
        <v>51.14</v>
      </c>
      <c r="G999" s="3032" t="s">
        <v>3559</v>
      </c>
    </row>
    <row r="1000" spans="1:7" ht="16.5">
      <c r="A1000" s="3032">
        <v>986</v>
      </c>
      <c r="B1000" s="3032" t="s">
        <v>3539</v>
      </c>
      <c r="C1000" s="3032" t="s">
        <v>3575</v>
      </c>
      <c r="D1000" s="3032" t="s">
        <v>3574</v>
      </c>
      <c r="E1000" s="3032">
        <v>1601</v>
      </c>
      <c r="F1000" s="3032">
        <v>51.14</v>
      </c>
      <c r="G1000" s="3032" t="s">
        <v>3559</v>
      </c>
    </row>
    <row r="1001" spans="1:7" ht="16.5">
      <c r="A1001" s="3032">
        <v>987</v>
      </c>
      <c r="B1001" s="3032" t="s">
        <v>3539</v>
      </c>
      <c r="C1001" s="3032" t="s">
        <v>3575</v>
      </c>
      <c r="D1001" s="3032" t="s">
        <v>3574</v>
      </c>
      <c r="E1001" s="3032">
        <v>1602</v>
      </c>
      <c r="F1001" s="3032">
        <v>69.22</v>
      </c>
      <c r="G1001" s="3032" t="s">
        <v>3559</v>
      </c>
    </row>
    <row r="1002" spans="1:7" ht="16.5">
      <c r="A1002" s="3032">
        <v>988</v>
      </c>
      <c r="B1002" s="3032" t="s">
        <v>3539</v>
      </c>
      <c r="C1002" s="3032" t="s">
        <v>3575</v>
      </c>
      <c r="D1002" s="3032" t="s">
        <v>3574</v>
      </c>
      <c r="E1002" s="3032">
        <v>1603</v>
      </c>
      <c r="F1002" s="3032">
        <v>55.02</v>
      </c>
      <c r="G1002" s="3032" t="s">
        <v>3559</v>
      </c>
    </row>
    <row r="1003" spans="1:7" ht="16.5">
      <c r="A1003" s="3032">
        <v>989</v>
      </c>
      <c r="B1003" s="3032" t="s">
        <v>3539</v>
      </c>
      <c r="C1003" s="3032" t="s">
        <v>3575</v>
      </c>
      <c r="D1003" s="3032" t="s">
        <v>3574</v>
      </c>
      <c r="E1003" s="3032">
        <v>1604</v>
      </c>
      <c r="F1003" s="3032">
        <v>69.22</v>
      </c>
      <c r="G1003" s="3032" t="s">
        <v>3559</v>
      </c>
    </row>
    <row r="1004" spans="1:7" ht="16.5">
      <c r="A1004" s="3032">
        <v>990</v>
      </c>
      <c r="B1004" s="3032" t="s">
        <v>3539</v>
      </c>
      <c r="C1004" s="3032" t="s">
        <v>3575</v>
      </c>
      <c r="D1004" s="3032" t="s">
        <v>3574</v>
      </c>
      <c r="E1004" s="3032">
        <v>1605</v>
      </c>
      <c r="F1004" s="3032">
        <v>69.22</v>
      </c>
      <c r="G1004" s="3032" t="s">
        <v>3559</v>
      </c>
    </row>
    <row r="1005" spans="1:7" ht="16.5">
      <c r="A1005" s="3032">
        <v>991</v>
      </c>
      <c r="B1005" s="3032" t="s">
        <v>3539</v>
      </c>
      <c r="C1005" s="3032" t="s">
        <v>3575</v>
      </c>
      <c r="D1005" s="3032" t="s">
        <v>3574</v>
      </c>
      <c r="E1005" s="3032">
        <v>1606</v>
      </c>
      <c r="F1005" s="3032">
        <v>69.22</v>
      </c>
      <c r="G1005" s="3032" t="s">
        <v>3559</v>
      </c>
    </row>
    <row r="1006" spans="1:7" ht="16.5">
      <c r="A1006" s="3032">
        <v>992</v>
      </c>
      <c r="B1006" s="3032" t="s">
        <v>3539</v>
      </c>
      <c r="C1006" s="3032" t="s">
        <v>3575</v>
      </c>
      <c r="D1006" s="3032" t="s">
        <v>3574</v>
      </c>
      <c r="E1006" s="3032">
        <v>1607</v>
      </c>
      <c r="F1006" s="3032">
        <v>69.22</v>
      </c>
      <c r="G1006" s="3032" t="s">
        <v>3559</v>
      </c>
    </row>
    <row r="1007" spans="1:7" ht="16.5">
      <c r="A1007" s="3032">
        <v>993</v>
      </c>
      <c r="B1007" s="3032" t="s">
        <v>3539</v>
      </c>
      <c r="C1007" s="3032" t="s">
        <v>3575</v>
      </c>
      <c r="D1007" s="3032" t="s">
        <v>3574</v>
      </c>
      <c r="E1007" s="3032">
        <v>1608</v>
      </c>
      <c r="F1007" s="3032">
        <v>69.22</v>
      </c>
      <c r="G1007" s="3032" t="s">
        <v>3559</v>
      </c>
    </row>
    <row r="1008" spans="1:7" ht="16.5">
      <c r="A1008" s="3032">
        <v>994</v>
      </c>
      <c r="B1008" s="3032" t="s">
        <v>3539</v>
      </c>
      <c r="C1008" s="3032" t="s">
        <v>3575</v>
      </c>
      <c r="D1008" s="3032" t="s">
        <v>3574</v>
      </c>
      <c r="E1008" s="3032">
        <v>1609</v>
      </c>
      <c r="F1008" s="3032">
        <v>69.22</v>
      </c>
      <c r="G1008" s="3032" t="s">
        <v>3559</v>
      </c>
    </row>
    <row r="1009" spans="1:7" ht="16.5">
      <c r="A1009" s="3032">
        <v>995</v>
      </c>
      <c r="B1009" s="3032" t="s">
        <v>3539</v>
      </c>
      <c r="C1009" s="3032" t="s">
        <v>3575</v>
      </c>
      <c r="D1009" s="3032" t="s">
        <v>3574</v>
      </c>
      <c r="E1009" s="3032">
        <v>1610</v>
      </c>
      <c r="F1009" s="3032">
        <v>34.840000000000003</v>
      </c>
      <c r="G1009" s="3032" t="s">
        <v>3559</v>
      </c>
    </row>
    <row r="1010" spans="1:7" ht="16.5">
      <c r="A1010" s="3032">
        <v>996</v>
      </c>
      <c r="B1010" s="3032" t="s">
        <v>3539</v>
      </c>
      <c r="C1010" s="3032" t="s">
        <v>3575</v>
      </c>
      <c r="D1010" s="3032" t="s">
        <v>3574</v>
      </c>
      <c r="E1010" s="3032">
        <v>1611</v>
      </c>
      <c r="F1010" s="3032">
        <v>55.02</v>
      </c>
      <c r="G1010" s="3032" t="s">
        <v>3559</v>
      </c>
    </row>
    <row r="1011" spans="1:7" ht="16.5">
      <c r="A1011" s="3032">
        <v>997</v>
      </c>
      <c r="B1011" s="3032" t="s">
        <v>3539</v>
      </c>
      <c r="C1011" s="3032" t="s">
        <v>3575</v>
      </c>
      <c r="D1011" s="3032" t="s">
        <v>3574</v>
      </c>
      <c r="E1011" s="3032">
        <v>1612</v>
      </c>
      <c r="F1011" s="3032">
        <v>69.22</v>
      </c>
      <c r="G1011" s="3032" t="s">
        <v>3559</v>
      </c>
    </row>
    <row r="1012" spans="1:7" ht="16.5">
      <c r="A1012" s="3032">
        <v>998</v>
      </c>
      <c r="B1012" s="3032" t="s">
        <v>3539</v>
      </c>
      <c r="C1012" s="3032" t="s">
        <v>3575</v>
      </c>
      <c r="D1012" s="3032" t="s">
        <v>3574</v>
      </c>
      <c r="E1012" s="3032">
        <v>1613</v>
      </c>
      <c r="F1012" s="3032">
        <v>51.14</v>
      </c>
      <c r="G1012" s="3032" t="s">
        <v>3559</v>
      </c>
    </row>
    <row r="1013" spans="1:7" ht="16.5">
      <c r="A1013" s="3032">
        <v>999</v>
      </c>
      <c r="B1013" s="3032" t="s">
        <v>3539</v>
      </c>
      <c r="C1013" s="3032" t="s">
        <v>3575</v>
      </c>
      <c r="D1013" s="3032" t="s">
        <v>3574</v>
      </c>
      <c r="E1013" s="3032">
        <v>1701</v>
      </c>
      <c r="F1013" s="3032">
        <v>51.14</v>
      </c>
      <c r="G1013" s="3032" t="s">
        <v>3559</v>
      </c>
    </row>
    <row r="1014" spans="1:7" ht="16.5">
      <c r="A1014" s="3032">
        <v>1000</v>
      </c>
      <c r="B1014" s="3032" t="s">
        <v>3539</v>
      </c>
      <c r="C1014" s="3032" t="s">
        <v>3575</v>
      </c>
      <c r="D1014" s="3032" t="s">
        <v>3574</v>
      </c>
      <c r="E1014" s="3032">
        <v>1702</v>
      </c>
      <c r="F1014" s="3032">
        <v>69.22</v>
      </c>
      <c r="G1014" s="3032" t="s">
        <v>3559</v>
      </c>
    </row>
    <row r="1015" spans="1:7" ht="16.5">
      <c r="A1015" s="3032">
        <v>1001</v>
      </c>
      <c r="B1015" s="3032" t="s">
        <v>3539</v>
      </c>
      <c r="C1015" s="3032" t="s">
        <v>3575</v>
      </c>
      <c r="D1015" s="3032" t="s">
        <v>3574</v>
      </c>
      <c r="E1015" s="3032">
        <v>1703</v>
      </c>
      <c r="F1015" s="3032">
        <v>55.02</v>
      </c>
      <c r="G1015" s="3032" t="s">
        <v>3559</v>
      </c>
    </row>
    <row r="1016" spans="1:7" ht="16.5">
      <c r="A1016" s="3032">
        <v>1002</v>
      </c>
      <c r="B1016" s="3032" t="s">
        <v>3539</v>
      </c>
      <c r="C1016" s="3032" t="s">
        <v>3575</v>
      </c>
      <c r="D1016" s="3032" t="s">
        <v>3574</v>
      </c>
      <c r="E1016" s="3032">
        <v>1704</v>
      </c>
      <c r="F1016" s="3032">
        <v>69.22</v>
      </c>
      <c r="G1016" s="3032" t="s">
        <v>3559</v>
      </c>
    </row>
    <row r="1017" spans="1:7" ht="16.5">
      <c r="A1017" s="3032">
        <v>1003</v>
      </c>
      <c r="B1017" s="3032" t="s">
        <v>3539</v>
      </c>
      <c r="C1017" s="3032" t="s">
        <v>3575</v>
      </c>
      <c r="D1017" s="3032" t="s">
        <v>3574</v>
      </c>
      <c r="E1017" s="3032">
        <v>1705</v>
      </c>
      <c r="F1017" s="3032">
        <v>69.22</v>
      </c>
      <c r="G1017" s="3032" t="s">
        <v>3559</v>
      </c>
    </row>
    <row r="1018" spans="1:7" ht="16.5">
      <c r="A1018" s="3032">
        <v>1004</v>
      </c>
      <c r="B1018" s="3032" t="s">
        <v>3539</v>
      </c>
      <c r="C1018" s="3032" t="s">
        <v>3575</v>
      </c>
      <c r="D1018" s="3032" t="s">
        <v>3574</v>
      </c>
      <c r="E1018" s="3032">
        <v>1706</v>
      </c>
      <c r="F1018" s="3032">
        <v>69.22</v>
      </c>
      <c r="G1018" s="3032" t="s">
        <v>3559</v>
      </c>
    </row>
    <row r="1019" spans="1:7" ht="16.5">
      <c r="A1019" s="3032">
        <v>1005</v>
      </c>
      <c r="B1019" s="3032" t="s">
        <v>3539</v>
      </c>
      <c r="C1019" s="3032" t="s">
        <v>3575</v>
      </c>
      <c r="D1019" s="3032" t="s">
        <v>3574</v>
      </c>
      <c r="E1019" s="3032">
        <v>1707</v>
      </c>
      <c r="F1019" s="3032">
        <v>69.22</v>
      </c>
      <c r="G1019" s="3032" t="s">
        <v>3559</v>
      </c>
    </row>
    <row r="1020" spans="1:7" ht="16.5">
      <c r="A1020" s="3032">
        <v>1006</v>
      </c>
      <c r="B1020" s="3032" t="s">
        <v>3539</v>
      </c>
      <c r="C1020" s="3032" t="s">
        <v>3575</v>
      </c>
      <c r="D1020" s="3032" t="s">
        <v>3574</v>
      </c>
      <c r="E1020" s="3032">
        <v>1708</v>
      </c>
      <c r="F1020" s="3032">
        <v>69.22</v>
      </c>
      <c r="G1020" s="3032" t="s">
        <v>3559</v>
      </c>
    </row>
    <row r="1021" spans="1:7" ht="16.5">
      <c r="A1021" s="3032">
        <v>1007</v>
      </c>
      <c r="B1021" s="3032" t="s">
        <v>3539</v>
      </c>
      <c r="C1021" s="3032" t="s">
        <v>3575</v>
      </c>
      <c r="D1021" s="3032" t="s">
        <v>3574</v>
      </c>
      <c r="E1021" s="3032">
        <v>1709</v>
      </c>
      <c r="F1021" s="3032">
        <v>69.22</v>
      </c>
      <c r="G1021" s="3032" t="s">
        <v>3559</v>
      </c>
    </row>
    <row r="1022" spans="1:7" ht="16.5">
      <c r="A1022" s="3032">
        <v>1008</v>
      </c>
      <c r="B1022" s="3032" t="s">
        <v>3539</v>
      </c>
      <c r="C1022" s="3032" t="s">
        <v>3575</v>
      </c>
      <c r="D1022" s="3032" t="s">
        <v>3574</v>
      </c>
      <c r="E1022" s="3032">
        <v>1710</v>
      </c>
      <c r="F1022" s="3032">
        <v>34.840000000000003</v>
      </c>
      <c r="G1022" s="3032" t="s">
        <v>3559</v>
      </c>
    </row>
    <row r="1023" spans="1:7" ht="16.5">
      <c r="A1023" s="3032">
        <v>1009</v>
      </c>
      <c r="B1023" s="3032" t="s">
        <v>3539</v>
      </c>
      <c r="C1023" s="3032" t="s">
        <v>3575</v>
      </c>
      <c r="D1023" s="3032" t="s">
        <v>3574</v>
      </c>
      <c r="E1023" s="3032">
        <v>1711</v>
      </c>
      <c r="F1023" s="3032">
        <v>55.02</v>
      </c>
      <c r="G1023" s="3032" t="s">
        <v>3559</v>
      </c>
    </row>
    <row r="1024" spans="1:7" ht="16.5">
      <c r="A1024" s="3032">
        <v>1010</v>
      </c>
      <c r="B1024" s="3032" t="s">
        <v>3539</v>
      </c>
      <c r="C1024" s="3032" t="s">
        <v>3575</v>
      </c>
      <c r="D1024" s="3032" t="s">
        <v>3574</v>
      </c>
      <c r="E1024" s="3032">
        <v>1712</v>
      </c>
      <c r="F1024" s="3032">
        <v>69.22</v>
      </c>
      <c r="G1024" s="3032" t="s">
        <v>3559</v>
      </c>
    </row>
    <row r="1025" spans="1:7" ht="16.5">
      <c r="A1025" s="3032">
        <v>1011</v>
      </c>
      <c r="B1025" s="3032" t="s">
        <v>3539</v>
      </c>
      <c r="C1025" s="3032" t="s">
        <v>3575</v>
      </c>
      <c r="D1025" s="3032" t="s">
        <v>3574</v>
      </c>
      <c r="E1025" s="3032">
        <v>1713</v>
      </c>
      <c r="F1025" s="3032">
        <v>51.14</v>
      </c>
      <c r="G1025" s="3032" t="s">
        <v>3559</v>
      </c>
    </row>
    <row r="1026" spans="1:7" ht="16.5">
      <c r="A1026" s="3032"/>
      <c r="B1026" s="3032"/>
      <c r="C1026" s="3032" t="s">
        <v>3572</v>
      </c>
      <c r="D1026" s="3032"/>
      <c r="E1026" s="3032"/>
      <c r="F1026" s="3032">
        <f>SUM(F806:F1025)</f>
        <v>13564.179999999978</v>
      </c>
      <c r="G1026" s="3032"/>
    </row>
    <row r="1027" spans="1:7" ht="16.5">
      <c r="A1027" s="3506" t="s">
        <v>3576</v>
      </c>
      <c r="B1027" s="3507"/>
      <c r="C1027" s="3508"/>
      <c r="D1027" s="3032"/>
      <c r="E1027" s="3032"/>
      <c r="F1027" s="3032">
        <f>SUM(F1026,F805,F586,F449,F341,F212)</f>
        <v>72165.51999999996</v>
      </c>
      <c r="G1027" s="3032"/>
    </row>
  </sheetData>
  <mergeCells count="1">
    <mergeCell ref="A1027:C1027"/>
  </mergeCells>
  <phoneticPr fontId="140" type="noConversion"/>
  <pageMargins left="0.7" right="0.7" top="0.75" bottom="0.75" header="0.3" footer="0.3"/>
  <pageSetup paperSize="9" orientation="portrait" verticalDpi="0"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1"/>
  <sheetViews>
    <sheetView topLeftCell="D1" workbookViewId="0">
      <selection activeCell="K12" sqref="K12"/>
    </sheetView>
  </sheetViews>
  <sheetFormatPr defaultRowHeight="12"/>
  <cols>
    <col min="1" max="1" width="20.125" style="3029" customWidth="1"/>
    <col min="2" max="2" width="6.25" style="3029" customWidth="1"/>
    <col min="3" max="3" width="11.75" style="3029" customWidth="1"/>
    <col min="4" max="5" width="13.875" style="3029" customWidth="1"/>
    <col min="6" max="6" width="15.75" style="3029" customWidth="1"/>
    <col min="7" max="7" width="7.875" style="3029" customWidth="1"/>
    <col min="8" max="8" width="13.25" style="3029" customWidth="1"/>
    <col min="9" max="10" width="9" style="3029" customWidth="1"/>
    <col min="11" max="12" width="10.625" style="3029" customWidth="1"/>
    <col min="13" max="13" width="14.375" style="3029" customWidth="1"/>
    <col min="14" max="14" width="6.25" style="3029" customWidth="1"/>
    <col min="15" max="15" width="29.75" style="3029" customWidth="1"/>
    <col min="16" max="16" width="7.875" style="3029" customWidth="1"/>
    <col min="17" max="256" width="9" style="3029"/>
    <col min="257" max="257" width="20.125" style="3029" customWidth="1"/>
    <col min="258" max="258" width="6.25" style="3029" customWidth="1"/>
    <col min="259" max="259" width="11.75" style="3029" customWidth="1"/>
    <col min="260" max="261" width="13.875" style="3029" customWidth="1"/>
    <col min="262" max="262" width="15.75" style="3029" customWidth="1"/>
    <col min="263" max="263" width="7.875" style="3029" customWidth="1"/>
    <col min="264" max="264" width="13.25" style="3029" customWidth="1"/>
    <col min="265" max="266" width="9" style="3029" customWidth="1"/>
    <col min="267" max="268" width="10.625" style="3029" customWidth="1"/>
    <col min="269" max="269" width="14.375" style="3029" customWidth="1"/>
    <col min="270" max="270" width="6.25" style="3029" customWidth="1"/>
    <col min="271" max="271" width="29.75" style="3029" customWidth="1"/>
    <col min="272" max="272" width="7.875" style="3029" customWidth="1"/>
    <col min="273" max="512" width="9" style="3029"/>
    <col min="513" max="513" width="20.125" style="3029" customWidth="1"/>
    <col min="514" max="514" width="6.25" style="3029" customWidth="1"/>
    <col min="515" max="515" width="11.75" style="3029" customWidth="1"/>
    <col min="516" max="517" width="13.875" style="3029" customWidth="1"/>
    <col min="518" max="518" width="15.75" style="3029" customWidth="1"/>
    <col min="519" max="519" width="7.875" style="3029" customWidth="1"/>
    <col min="520" max="520" width="13.25" style="3029" customWidth="1"/>
    <col min="521" max="522" width="9" style="3029" customWidth="1"/>
    <col min="523" max="524" width="10.625" style="3029" customWidth="1"/>
    <col min="525" max="525" width="14.375" style="3029" customWidth="1"/>
    <col min="526" max="526" width="6.25" style="3029" customWidth="1"/>
    <col min="527" max="527" width="29.75" style="3029" customWidth="1"/>
    <col min="528" max="528" width="7.875" style="3029" customWidth="1"/>
    <col min="529" max="768" width="9" style="3029"/>
    <col min="769" max="769" width="20.125" style="3029" customWidth="1"/>
    <col min="770" max="770" width="6.25" style="3029" customWidth="1"/>
    <col min="771" max="771" width="11.75" style="3029" customWidth="1"/>
    <col min="772" max="773" width="13.875" style="3029" customWidth="1"/>
    <col min="774" max="774" width="15.75" style="3029" customWidth="1"/>
    <col min="775" max="775" width="7.875" style="3029" customWidth="1"/>
    <col min="776" max="776" width="13.25" style="3029" customWidth="1"/>
    <col min="777" max="778" width="9" style="3029" customWidth="1"/>
    <col min="779" max="780" width="10.625" style="3029" customWidth="1"/>
    <col min="781" max="781" width="14.375" style="3029" customWidth="1"/>
    <col min="782" max="782" width="6.25" style="3029" customWidth="1"/>
    <col min="783" max="783" width="29.75" style="3029" customWidth="1"/>
    <col min="784" max="784" width="7.875" style="3029" customWidth="1"/>
    <col min="785" max="1024" width="9" style="3029"/>
    <col min="1025" max="1025" width="20.125" style="3029" customWidth="1"/>
    <col min="1026" max="1026" width="6.25" style="3029" customWidth="1"/>
    <col min="1027" max="1027" width="11.75" style="3029" customWidth="1"/>
    <col min="1028" max="1029" width="13.875" style="3029" customWidth="1"/>
    <col min="1030" max="1030" width="15.75" style="3029" customWidth="1"/>
    <col min="1031" max="1031" width="7.875" style="3029" customWidth="1"/>
    <col min="1032" max="1032" width="13.25" style="3029" customWidth="1"/>
    <col min="1033" max="1034" width="9" style="3029" customWidth="1"/>
    <col min="1035" max="1036" width="10.625" style="3029" customWidth="1"/>
    <col min="1037" max="1037" width="14.375" style="3029" customWidth="1"/>
    <col min="1038" max="1038" width="6.25" style="3029" customWidth="1"/>
    <col min="1039" max="1039" width="29.75" style="3029" customWidth="1"/>
    <col min="1040" max="1040" width="7.875" style="3029" customWidth="1"/>
    <col min="1041" max="1280" width="9" style="3029"/>
    <col min="1281" max="1281" width="20.125" style="3029" customWidth="1"/>
    <col min="1282" max="1282" width="6.25" style="3029" customWidth="1"/>
    <col min="1283" max="1283" width="11.75" style="3029" customWidth="1"/>
    <col min="1284" max="1285" width="13.875" style="3029" customWidth="1"/>
    <col min="1286" max="1286" width="15.75" style="3029" customWidth="1"/>
    <col min="1287" max="1287" width="7.875" style="3029" customWidth="1"/>
    <col min="1288" max="1288" width="13.25" style="3029" customWidth="1"/>
    <col min="1289" max="1290" width="9" style="3029" customWidth="1"/>
    <col min="1291" max="1292" width="10.625" style="3029" customWidth="1"/>
    <col min="1293" max="1293" width="14.375" style="3029" customWidth="1"/>
    <col min="1294" max="1294" width="6.25" style="3029" customWidth="1"/>
    <col min="1295" max="1295" width="29.75" style="3029" customWidth="1"/>
    <col min="1296" max="1296" width="7.875" style="3029" customWidth="1"/>
    <col min="1297" max="1536" width="9" style="3029"/>
    <col min="1537" max="1537" width="20.125" style="3029" customWidth="1"/>
    <col min="1538" max="1538" width="6.25" style="3029" customWidth="1"/>
    <col min="1539" max="1539" width="11.75" style="3029" customWidth="1"/>
    <col min="1540" max="1541" width="13.875" style="3029" customWidth="1"/>
    <col min="1542" max="1542" width="15.75" style="3029" customWidth="1"/>
    <col min="1543" max="1543" width="7.875" style="3029" customWidth="1"/>
    <col min="1544" max="1544" width="13.25" style="3029" customWidth="1"/>
    <col min="1545" max="1546" width="9" style="3029" customWidth="1"/>
    <col min="1547" max="1548" width="10.625" style="3029" customWidth="1"/>
    <col min="1549" max="1549" width="14.375" style="3029" customWidth="1"/>
    <col min="1550" max="1550" width="6.25" style="3029" customWidth="1"/>
    <col min="1551" max="1551" width="29.75" style="3029" customWidth="1"/>
    <col min="1552" max="1552" width="7.875" style="3029" customWidth="1"/>
    <col min="1553" max="1792" width="9" style="3029"/>
    <col min="1793" max="1793" width="20.125" style="3029" customWidth="1"/>
    <col min="1794" max="1794" width="6.25" style="3029" customWidth="1"/>
    <col min="1795" max="1795" width="11.75" style="3029" customWidth="1"/>
    <col min="1796" max="1797" width="13.875" style="3029" customWidth="1"/>
    <col min="1798" max="1798" width="15.75" style="3029" customWidth="1"/>
    <col min="1799" max="1799" width="7.875" style="3029" customWidth="1"/>
    <col min="1800" max="1800" width="13.25" style="3029" customWidth="1"/>
    <col min="1801" max="1802" width="9" style="3029" customWidth="1"/>
    <col min="1803" max="1804" width="10.625" style="3029" customWidth="1"/>
    <col min="1805" max="1805" width="14.375" style="3029" customWidth="1"/>
    <col min="1806" max="1806" width="6.25" style="3029" customWidth="1"/>
    <col min="1807" max="1807" width="29.75" style="3029" customWidth="1"/>
    <col min="1808" max="1808" width="7.875" style="3029" customWidth="1"/>
    <col min="1809" max="2048" width="9" style="3029"/>
    <col min="2049" max="2049" width="20.125" style="3029" customWidth="1"/>
    <col min="2050" max="2050" width="6.25" style="3029" customWidth="1"/>
    <col min="2051" max="2051" width="11.75" style="3029" customWidth="1"/>
    <col min="2052" max="2053" width="13.875" style="3029" customWidth="1"/>
    <col min="2054" max="2054" width="15.75" style="3029" customWidth="1"/>
    <col min="2055" max="2055" width="7.875" style="3029" customWidth="1"/>
    <col min="2056" max="2056" width="13.25" style="3029" customWidth="1"/>
    <col min="2057" max="2058" width="9" style="3029" customWidth="1"/>
    <col min="2059" max="2060" width="10.625" style="3029" customWidth="1"/>
    <col min="2061" max="2061" width="14.375" style="3029" customWidth="1"/>
    <col min="2062" max="2062" width="6.25" style="3029" customWidth="1"/>
    <col min="2063" max="2063" width="29.75" style="3029" customWidth="1"/>
    <col min="2064" max="2064" width="7.875" style="3029" customWidth="1"/>
    <col min="2065" max="2304" width="9" style="3029"/>
    <col min="2305" max="2305" width="20.125" style="3029" customWidth="1"/>
    <col min="2306" max="2306" width="6.25" style="3029" customWidth="1"/>
    <col min="2307" max="2307" width="11.75" style="3029" customWidth="1"/>
    <col min="2308" max="2309" width="13.875" style="3029" customWidth="1"/>
    <col min="2310" max="2310" width="15.75" style="3029" customWidth="1"/>
    <col min="2311" max="2311" width="7.875" style="3029" customWidth="1"/>
    <col min="2312" max="2312" width="13.25" style="3029" customWidth="1"/>
    <col min="2313" max="2314" width="9" style="3029" customWidth="1"/>
    <col min="2315" max="2316" width="10.625" style="3029" customWidth="1"/>
    <col min="2317" max="2317" width="14.375" style="3029" customWidth="1"/>
    <col min="2318" max="2318" width="6.25" style="3029" customWidth="1"/>
    <col min="2319" max="2319" width="29.75" style="3029" customWidth="1"/>
    <col min="2320" max="2320" width="7.875" style="3029" customWidth="1"/>
    <col min="2321" max="2560" width="9" style="3029"/>
    <col min="2561" max="2561" width="20.125" style="3029" customWidth="1"/>
    <col min="2562" max="2562" width="6.25" style="3029" customWidth="1"/>
    <col min="2563" max="2563" width="11.75" style="3029" customWidth="1"/>
    <col min="2564" max="2565" width="13.875" style="3029" customWidth="1"/>
    <col min="2566" max="2566" width="15.75" style="3029" customWidth="1"/>
    <col min="2567" max="2567" width="7.875" style="3029" customWidth="1"/>
    <col min="2568" max="2568" width="13.25" style="3029" customWidth="1"/>
    <col min="2569" max="2570" width="9" style="3029" customWidth="1"/>
    <col min="2571" max="2572" width="10.625" style="3029" customWidth="1"/>
    <col min="2573" max="2573" width="14.375" style="3029" customWidth="1"/>
    <col min="2574" max="2574" width="6.25" style="3029" customWidth="1"/>
    <col min="2575" max="2575" width="29.75" style="3029" customWidth="1"/>
    <col min="2576" max="2576" width="7.875" style="3029" customWidth="1"/>
    <col min="2577" max="2816" width="9" style="3029"/>
    <col min="2817" max="2817" width="20.125" style="3029" customWidth="1"/>
    <col min="2818" max="2818" width="6.25" style="3029" customWidth="1"/>
    <col min="2819" max="2819" width="11.75" style="3029" customWidth="1"/>
    <col min="2820" max="2821" width="13.875" style="3029" customWidth="1"/>
    <col min="2822" max="2822" width="15.75" style="3029" customWidth="1"/>
    <col min="2823" max="2823" width="7.875" style="3029" customWidth="1"/>
    <col min="2824" max="2824" width="13.25" style="3029" customWidth="1"/>
    <col min="2825" max="2826" width="9" style="3029" customWidth="1"/>
    <col min="2827" max="2828" width="10.625" style="3029" customWidth="1"/>
    <col min="2829" max="2829" width="14.375" style="3029" customWidth="1"/>
    <col min="2830" max="2830" width="6.25" style="3029" customWidth="1"/>
    <col min="2831" max="2831" width="29.75" style="3029" customWidth="1"/>
    <col min="2832" max="2832" width="7.875" style="3029" customWidth="1"/>
    <col min="2833" max="3072" width="9" style="3029"/>
    <col min="3073" max="3073" width="20.125" style="3029" customWidth="1"/>
    <col min="3074" max="3074" width="6.25" style="3029" customWidth="1"/>
    <col min="3075" max="3075" width="11.75" style="3029" customWidth="1"/>
    <col min="3076" max="3077" width="13.875" style="3029" customWidth="1"/>
    <col min="3078" max="3078" width="15.75" style="3029" customWidth="1"/>
    <col min="3079" max="3079" width="7.875" style="3029" customWidth="1"/>
    <col min="3080" max="3080" width="13.25" style="3029" customWidth="1"/>
    <col min="3081" max="3082" width="9" style="3029" customWidth="1"/>
    <col min="3083" max="3084" width="10.625" style="3029" customWidth="1"/>
    <col min="3085" max="3085" width="14.375" style="3029" customWidth="1"/>
    <col min="3086" max="3086" width="6.25" style="3029" customWidth="1"/>
    <col min="3087" max="3087" width="29.75" style="3029" customWidth="1"/>
    <col min="3088" max="3088" width="7.875" style="3029" customWidth="1"/>
    <col min="3089" max="3328" width="9" style="3029"/>
    <col min="3329" max="3329" width="20.125" style="3029" customWidth="1"/>
    <col min="3330" max="3330" width="6.25" style="3029" customWidth="1"/>
    <col min="3331" max="3331" width="11.75" style="3029" customWidth="1"/>
    <col min="3332" max="3333" width="13.875" style="3029" customWidth="1"/>
    <col min="3334" max="3334" width="15.75" style="3029" customWidth="1"/>
    <col min="3335" max="3335" width="7.875" style="3029" customWidth="1"/>
    <col min="3336" max="3336" width="13.25" style="3029" customWidth="1"/>
    <col min="3337" max="3338" width="9" style="3029" customWidth="1"/>
    <col min="3339" max="3340" width="10.625" style="3029" customWidth="1"/>
    <col min="3341" max="3341" width="14.375" style="3029" customWidth="1"/>
    <col min="3342" max="3342" width="6.25" style="3029" customWidth="1"/>
    <col min="3343" max="3343" width="29.75" style="3029" customWidth="1"/>
    <col min="3344" max="3344" width="7.875" style="3029" customWidth="1"/>
    <col min="3345" max="3584" width="9" style="3029"/>
    <col min="3585" max="3585" width="20.125" style="3029" customWidth="1"/>
    <col min="3586" max="3586" width="6.25" style="3029" customWidth="1"/>
    <col min="3587" max="3587" width="11.75" style="3029" customWidth="1"/>
    <col min="3588" max="3589" width="13.875" style="3029" customWidth="1"/>
    <col min="3590" max="3590" width="15.75" style="3029" customWidth="1"/>
    <col min="3591" max="3591" width="7.875" style="3029" customWidth="1"/>
    <col min="3592" max="3592" width="13.25" style="3029" customWidth="1"/>
    <col min="3593" max="3594" width="9" style="3029" customWidth="1"/>
    <col min="3595" max="3596" width="10.625" style="3029" customWidth="1"/>
    <col min="3597" max="3597" width="14.375" style="3029" customWidth="1"/>
    <col min="3598" max="3598" width="6.25" style="3029" customWidth="1"/>
    <col min="3599" max="3599" width="29.75" style="3029" customWidth="1"/>
    <col min="3600" max="3600" width="7.875" style="3029" customWidth="1"/>
    <col min="3601" max="3840" width="9" style="3029"/>
    <col min="3841" max="3841" width="20.125" style="3029" customWidth="1"/>
    <col min="3842" max="3842" width="6.25" style="3029" customWidth="1"/>
    <col min="3843" max="3843" width="11.75" style="3029" customWidth="1"/>
    <col min="3844" max="3845" width="13.875" style="3029" customWidth="1"/>
    <col min="3846" max="3846" width="15.75" style="3029" customWidth="1"/>
    <col min="3847" max="3847" width="7.875" style="3029" customWidth="1"/>
    <col min="3848" max="3848" width="13.25" style="3029" customWidth="1"/>
    <col min="3849" max="3850" width="9" style="3029" customWidth="1"/>
    <col min="3851" max="3852" width="10.625" style="3029" customWidth="1"/>
    <col min="3853" max="3853" width="14.375" style="3029" customWidth="1"/>
    <col min="3854" max="3854" width="6.25" style="3029" customWidth="1"/>
    <col min="3855" max="3855" width="29.75" style="3029" customWidth="1"/>
    <col min="3856" max="3856" width="7.875" style="3029" customWidth="1"/>
    <col min="3857" max="4096" width="9" style="3029"/>
    <col min="4097" max="4097" width="20.125" style="3029" customWidth="1"/>
    <col min="4098" max="4098" width="6.25" style="3029" customWidth="1"/>
    <col min="4099" max="4099" width="11.75" style="3029" customWidth="1"/>
    <col min="4100" max="4101" width="13.875" style="3029" customWidth="1"/>
    <col min="4102" max="4102" width="15.75" style="3029" customWidth="1"/>
    <col min="4103" max="4103" width="7.875" style="3029" customWidth="1"/>
    <col min="4104" max="4104" width="13.25" style="3029" customWidth="1"/>
    <col min="4105" max="4106" width="9" style="3029" customWidth="1"/>
    <col min="4107" max="4108" width="10.625" style="3029" customWidth="1"/>
    <col min="4109" max="4109" width="14.375" style="3029" customWidth="1"/>
    <col min="4110" max="4110" width="6.25" style="3029" customWidth="1"/>
    <col min="4111" max="4111" width="29.75" style="3029" customWidth="1"/>
    <col min="4112" max="4112" width="7.875" style="3029" customWidth="1"/>
    <col min="4113" max="4352" width="9" style="3029"/>
    <col min="4353" max="4353" width="20.125" style="3029" customWidth="1"/>
    <col min="4354" max="4354" width="6.25" style="3029" customWidth="1"/>
    <col min="4355" max="4355" width="11.75" style="3029" customWidth="1"/>
    <col min="4356" max="4357" width="13.875" style="3029" customWidth="1"/>
    <col min="4358" max="4358" width="15.75" style="3029" customWidth="1"/>
    <col min="4359" max="4359" width="7.875" style="3029" customWidth="1"/>
    <col min="4360" max="4360" width="13.25" style="3029" customWidth="1"/>
    <col min="4361" max="4362" width="9" style="3029" customWidth="1"/>
    <col min="4363" max="4364" width="10.625" style="3029" customWidth="1"/>
    <col min="4365" max="4365" width="14.375" style="3029" customWidth="1"/>
    <col min="4366" max="4366" width="6.25" style="3029" customWidth="1"/>
    <col min="4367" max="4367" width="29.75" style="3029" customWidth="1"/>
    <col min="4368" max="4368" width="7.875" style="3029" customWidth="1"/>
    <col min="4369" max="4608" width="9" style="3029"/>
    <col min="4609" max="4609" width="20.125" style="3029" customWidth="1"/>
    <col min="4610" max="4610" width="6.25" style="3029" customWidth="1"/>
    <col min="4611" max="4611" width="11.75" style="3029" customWidth="1"/>
    <col min="4612" max="4613" width="13.875" style="3029" customWidth="1"/>
    <col min="4614" max="4614" width="15.75" style="3029" customWidth="1"/>
    <col min="4615" max="4615" width="7.875" style="3029" customWidth="1"/>
    <col min="4616" max="4616" width="13.25" style="3029" customWidth="1"/>
    <col min="4617" max="4618" width="9" style="3029" customWidth="1"/>
    <col min="4619" max="4620" width="10.625" style="3029" customWidth="1"/>
    <col min="4621" max="4621" width="14.375" style="3029" customWidth="1"/>
    <col min="4622" max="4622" width="6.25" style="3029" customWidth="1"/>
    <col min="4623" max="4623" width="29.75" style="3029" customWidth="1"/>
    <col min="4624" max="4624" width="7.875" style="3029" customWidth="1"/>
    <col min="4625" max="4864" width="9" style="3029"/>
    <col min="4865" max="4865" width="20.125" style="3029" customWidth="1"/>
    <col min="4866" max="4866" width="6.25" style="3029" customWidth="1"/>
    <col min="4867" max="4867" width="11.75" style="3029" customWidth="1"/>
    <col min="4868" max="4869" width="13.875" style="3029" customWidth="1"/>
    <col min="4870" max="4870" width="15.75" style="3029" customWidth="1"/>
    <col min="4871" max="4871" width="7.875" style="3029" customWidth="1"/>
    <col min="4872" max="4872" width="13.25" style="3029" customWidth="1"/>
    <col min="4873" max="4874" width="9" style="3029" customWidth="1"/>
    <col min="4875" max="4876" width="10.625" style="3029" customWidth="1"/>
    <col min="4877" max="4877" width="14.375" style="3029" customWidth="1"/>
    <col min="4878" max="4878" width="6.25" style="3029" customWidth="1"/>
    <col min="4879" max="4879" width="29.75" style="3029" customWidth="1"/>
    <col min="4880" max="4880" width="7.875" style="3029" customWidth="1"/>
    <col min="4881" max="5120" width="9" style="3029"/>
    <col min="5121" max="5121" width="20.125" style="3029" customWidth="1"/>
    <col min="5122" max="5122" width="6.25" style="3029" customWidth="1"/>
    <col min="5123" max="5123" width="11.75" style="3029" customWidth="1"/>
    <col min="5124" max="5125" width="13.875" style="3029" customWidth="1"/>
    <col min="5126" max="5126" width="15.75" style="3029" customWidth="1"/>
    <col min="5127" max="5127" width="7.875" style="3029" customWidth="1"/>
    <col min="5128" max="5128" width="13.25" style="3029" customWidth="1"/>
    <col min="5129" max="5130" width="9" style="3029" customWidth="1"/>
    <col min="5131" max="5132" width="10.625" style="3029" customWidth="1"/>
    <col min="5133" max="5133" width="14.375" style="3029" customWidth="1"/>
    <col min="5134" max="5134" width="6.25" style="3029" customWidth="1"/>
    <col min="5135" max="5135" width="29.75" style="3029" customWidth="1"/>
    <col min="5136" max="5136" width="7.875" style="3029" customWidth="1"/>
    <col min="5137" max="5376" width="9" style="3029"/>
    <col min="5377" max="5377" width="20.125" style="3029" customWidth="1"/>
    <col min="5378" max="5378" width="6.25" style="3029" customWidth="1"/>
    <col min="5379" max="5379" width="11.75" style="3029" customWidth="1"/>
    <col min="5380" max="5381" width="13.875" style="3029" customWidth="1"/>
    <col min="5382" max="5382" width="15.75" style="3029" customWidth="1"/>
    <col min="5383" max="5383" width="7.875" style="3029" customWidth="1"/>
    <col min="5384" max="5384" width="13.25" style="3029" customWidth="1"/>
    <col min="5385" max="5386" width="9" style="3029" customWidth="1"/>
    <col min="5387" max="5388" width="10.625" style="3029" customWidth="1"/>
    <col min="5389" max="5389" width="14.375" style="3029" customWidth="1"/>
    <col min="5390" max="5390" width="6.25" style="3029" customWidth="1"/>
    <col min="5391" max="5391" width="29.75" style="3029" customWidth="1"/>
    <col min="5392" max="5392" width="7.875" style="3029" customWidth="1"/>
    <col min="5393" max="5632" width="9" style="3029"/>
    <col min="5633" max="5633" width="20.125" style="3029" customWidth="1"/>
    <col min="5634" max="5634" width="6.25" style="3029" customWidth="1"/>
    <col min="5635" max="5635" width="11.75" style="3029" customWidth="1"/>
    <col min="5636" max="5637" width="13.875" style="3029" customWidth="1"/>
    <col min="5638" max="5638" width="15.75" style="3029" customWidth="1"/>
    <col min="5639" max="5639" width="7.875" style="3029" customWidth="1"/>
    <col min="5640" max="5640" width="13.25" style="3029" customWidth="1"/>
    <col min="5641" max="5642" width="9" style="3029" customWidth="1"/>
    <col min="5643" max="5644" width="10.625" style="3029" customWidth="1"/>
    <col min="5645" max="5645" width="14.375" style="3029" customWidth="1"/>
    <col min="5646" max="5646" width="6.25" style="3029" customWidth="1"/>
    <col min="5647" max="5647" width="29.75" style="3029" customWidth="1"/>
    <col min="5648" max="5648" width="7.875" style="3029" customWidth="1"/>
    <col min="5649" max="5888" width="9" style="3029"/>
    <col min="5889" max="5889" width="20.125" style="3029" customWidth="1"/>
    <col min="5890" max="5890" width="6.25" style="3029" customWidth="1"/>
    <col min="5891" max="5891" width="11.75" style="3029" customWidth="1"/>
    <col min="5892" max="5893" width="13.875" style="3029" customWidth="1"/>
    <col min="5894" max="5894" width="15.75" style="3029" customWidth="1"/>
    <col min="5895" max="5895" width="7.875" style="3029" customWidth="1"/>
    <col min="5896" max="5896" width="13.25" style="3029" customWidth="1"/>
    <col min="5897" max="5898" width="9" style="3029" customWidth="1"/>
    <col min="5899" max="5900" width="10.625" style="3029" customWidth="1"/>
    <col min="5901" max="5901" width="14.375" style="3029" customWidth="1"/>
    <col min="5902" max="5902" width="6.25" style="3029" customWidth="1"/>
    <col min="5903" max="5903" width="29.75" style="3029" customWidth="1"/>
    <col min="5904" max="5904" width="7.875" style="3029" customWidth="1"/>
    <col min="5905" max="6144" width="9" style="3029"/>
    <col min="6145" max="6145" width="20.125" style="3029" customWidth="1"/>
    <col min="6146" max="6146" width="6.25" style="3029" customWidth="1"/>
    <col min="6147" max="6147" width="11.75" style="3029" customWidth="1"/>
    <col min="6148" max="6149" width="13.875" style="3029" customWidth="1"/>
    <col min="6150" max="6150" width="15.75" style="3029" customWidth="1"/>
    <col min="6151" max="6151" width="7.875" style="3029" customWidth="1"/>
    <col min="6152" max="6152" width="13.25" style="3029" customWidth="1"/>
    <col min="6153" max="6154" width="9" style="3029" customWidth="1"/>
    <col min="6155" max="6156" width="10.625" style="3029" customWidth="1"/>
    <col min="6157" max="6157" width="14.375" style="3029" customWidth="1"/>
    <col min="6158" max="6158" width="6.25" style="3029" customWidth="1"/>
    <col min="6159" max="6159" width="29.75" style="3029" customWidth="1"/>
    <col min="6160" max="6160" width="7.875" style="3029" customWidth="1"/>
    <col min="6161" max="6400" width="9" style="3029"/>
    <col min="6401" max="6401" width="20.125" style="3029" customWidth="1"/>
    <col min="6402" max="6402" width="6.25" style="3029" customWidth="1"/>
    <col min="6403" max="6403" width="11.75" style="3029" customWidth="1"/>
    <col min="6404" max="6405" width="13.875" style="3029" customWidth="1"/>
    <col min="6406" max="6406" width="15.75" style="3029" customWidth="1"/>
    <col min="6407" max="6407" width="7.875" style="3029" customWidth="1"/>
    <col min="6408" max="6408" width="13.25" style="3029" customWidth="1"/>
    <col min="6409" max="6410" width="9" style="3029" customWidth="1"/>
    <col min="6411" max="6412" width="10.625" style="3029" customWidth="1"/>
    <col min="6413" max="6413" width="14.375" style="3029" customWidth="1"/>
    <col min="6414" max="6414" width="6.25" style="3029" customWidth="1"/>
    <col min="6415" max="6415" width="29.75" style="3029" customWidth="1"/>
    <col min="6416" max="6416" width="7.875" style="3029" customWidth="1"/>
    <col min="6417" max="6656" width="9" style="3029"/>
    <col min="6657" max="6657" width="20.125" style="3029" customWidth="1"/>
    <col min="6658" max="6658" width="6.25" style="3029" customWidth="1"/>
    <col min="6659" max="6659" width="11.75" style="3029" customWidth="1"/>
    <col min="6660" max="6661" width="13.875" style="3029" customWidth="1"/>
    <col min="6662" max="6662" width="15.75" style="3029" customWidth="1"/>
    <col min="6663" max="6663" width="7.875" style="3029" customWidth="1"/>
    <col min="6664" max="6664" width="13.25" style="3029" customWidth="1"/>
    <col min="6665" max="6666" width="9" style="3029" customWidth="1"/>
    <col min="6667" max="6668" width="10.625" style="3029" customWidth="1"/>
    <col min="6669" max="6669" width="14.375" style="3029" customWidth="1"/>
    <col min="6670" max="6670" width="6.25" style="3029" customWidth="1"/>
    <col min="6671" max="6671" width="29.75" style="3029" customWidth="1"/>
    <col min="6672" max="6672" width="7.875" style="3029" customWidth="1"/>
    <col min="6673" max="6912" width="9" style="3029"/>
    <col min="6913" max="6913" width="20.125" style="3029" customWidth="1"/>
    <col min="6914" max="6914" width="6.25" style="3029" customWidth="1"/>
    <col min="6915" max="6915" width="11.75" style="3029" customWidth="1"/>
    <col min="6916" max="6917" width="13.875" style="3029" customWidth="1"/>
    <col min="6918" max="6918" width="15.75" style="3029" customWidth="1"/>
    <col min="6919" max="6919" width="7.875" style="3029" customWidth="1"/>
    <col min="6920" max="6920" width="13.25" style="3029" customWidth="1"/>
    <col min="6921" max="6922" width="9" style="3029" customWidth="1"/>
    <col min="6923" max="6924" width="10.625" style="3029" customWidth="1"/>
    <col min="6925" max="6925" width="14.375" style="3029" customWidth="1"/>
    <col min="6926" max="6926" width="6.25" style="3029" customWidth="1"/>
    <col min="6927" max="6927" width="29.75" style="3029" customWidth="1"/>
    <col min="6928" max="6928" width="7.875" style="3029" customWidth="1"/>
    <col min="6929" max="7168" width="9" style="3029"/>
    <col min="7169" max="7169" width="20.125" style="3029" customWidth="1"/>
    <col min="7170" max="7170" width="6.25" style="3029" customWidth="1"/>
    <col min="7171" max="7171" width="11.75" style="3029" customWidth="1"/>
    <col min="7172" max="7173" width="13.875" style="3029" customWidth="1"/>
    <col min="7174" max="7174" width="15.75" style="3029" customWidth="1"/>
    <col min="7175" max="7175" width="7.875" style="3029" customWidth="1"/>
    <col min="7176" max="7176" width="13.25" style="3029" customWidth="1"/>
    <col min="7177" max="7178" width="9" style="3029" customWidth="1"/>
    <col min="7179" max="7180" width="10.625" style="3029" customWidth="1"/>
    <col min="7181" max="7181" width="14.375" style="3029" customWidth="1"/>
    <col min="7182" max="7182" width="6.25" style="3029" customWidth="1"/>
    <col min="7183" max="7183" width="29.75" style="3029" customWidth="1"/>
    <col min="7184" max="7184" width="7.875" style="3029" customWidth="1"/>
    <col min="7185" max="7424" width="9" style="3029"/>
    <col min="7425" max="7425" width="20.125" style="3029" customWidth="1"/>
    <col min="7426" max="7426" width="6.25" style="3029" customWidth="1"/>
    <col min="7427" max="7427" width="11.75" style="3029" customWidth="1"/>
    <col min="7428" max="7429" width="13.875" style="3029" customWidth="1"/>
    <col min="7430" max="7430" width="15.75" style="3029" customWidth="1"/>
    <col min="7431" max="7431" width="7.875" style="3029" customWidth="1"/>
    <col min="7432" max="7432" width="13.25" style="3029" customWidth="1"/>
    <col min="7433" max="7434" width="9" style="3029" customWidth="1"/>
    <col min="7435" max="7436" width="10.625" style="3029" customWidth="1"/>
    <col min="7437" max="7437" width="14.375" style="3029" customWidth="1"/>
    <col min="7438" max="7438" width="6.25" style="3029" customWidth="1"/>
    <col min="7439" max="7439" width="29.75" style="3029" customWidth="1"/>
    <col min="7440" max="7440" width="7.875" style="3029" customWidth="1"/>
    <col min="7441" max="7680" width="9" style="3029"/>
    <col min="7681" max="7681" width="20.125" style="3029" customWidth="1"/>
    <col min="7682" max="7682" width="6.25" style="3029" customWidth="1"/>
    <col min="7683" max="7683" width="11.75" style="3029" customWidth="1"/>
    <col min="7684" max="7685" width="13.875" style="3029" customWidth="1"/>
    <col min="7686" max="7686" width="15.75" style="3029" customWidth="1"/>
    <col min="7687" max="7687" width="7.875" style="3029" customWidth="1"/>
    <col min="7688" max="7688" width="13.25" style="3029" customWidth="1"/>
    <col min="7689" max="7690" width="9" style="3029" customWidth="1"/>
    <col min="7691" max="7692" width="10.625" style="3029" customWidth="1"/>
    <col min="7693" max="7693" width="14.375" style="3029" customWidth="1"/>
    <col min="7694" max="7694" width="6.25" style="3029" customWidth="1"/>
    <col min="7695" max="7695" width="29.75" style="3029" customWidth="1"/>
    <col min="7696" max="7696" width="7.875" style="3029" customWidth="1"/>
    <col min="7697" max="7936" width="9" style="3029"/>
    <col min="7937" max="7937" width="20.125" style="3029" customWidth="1"/>
    <col min="7938" max="7938" width="6.25" style="3029" customWidth="1"/>
    <col min="7939" max="7939" width="11.75" style="3029" customWidth="1"/>
    <col min="7940" max="7941" width="13.875" style="3029" customWidth="1"/>
    <col min="7942" max="7942" width="15.75" style="3029" customWidth="1"/>
    <col min="7943" max="7943" width="7.875" style="3029" customWidth="1"/>
    <col min="7944" max="7944" width="13.25" style="3029" customWidth="1"/>
    <col min="7945" max="7946" width="9" style="3029" customWidth="1"/>
    <col min="7947" max="7948" width="10.625" style="3029" customWidth="1"/>
    <col min="7949" max="7949" width="14.375" style="3029" customWidth="1"/>
    <col min="7950" max="7950" width="6.25" style="3029" customWidth="1"/>
    <col min="7951" max="7951" width="29.75" style="3029" customWidth="1"/>
    <col min="7952" max="7952" width="7.875" style="3029" customWidth="1"/>
    <col min="7953" max="8192" width="9" style="3029"/>
    <col min="8193" max="8193" width="20.125" style="3029" customWidth="1"/>
    <col min="8194" max="8194" width="6.25" style="3029" customWidth="1"/>
    <col min="8195" max="8195" width="11.75" style="3029" customWidth="1"/>
    <col min="8196" max="8197" width="13.875" style="3029" customWidth="1"/>
    <col min="8198" max="8198" width="15.75" style="3029" customWidth="1"/>
    <col min="8199" max="8199" width="7.875" style="3029" customWidth="1"/>
    <col min="8200" max="8200" width="13.25" style="3029" customWidth="1"/>
    <col min="8201" max="8202" width="9" style="3029" customWidth="1"/>
    <col min="8203" max="8204" width="10.625" style="3029" customWidth="1"/>
    <col min="8205" max="8205" width="14.375" style="3029" customWidth="1"/>
    <col min="8206" max="8206" width="6.25" style="3029" customWidth="1"/>
    <col min="8207" max="8207" width="29.75" style="3029" customWidth="1"/>
    <col min="8208" max="8208" width="7.875" style="3029" customWidth="1"/>
    <col min="8209" max="8448" width="9" style="3029"/>
    <col min="8449" max="8449" width="20.125" style="3029" customWidth="1"/>
    <col min="8450" max="8450" width="6.25" style="3029" customWidth="1"/>
    <col min="8451" max="8451" width="11.75" style="3029" customWidth="1"/>
    <col min="8452" max="8453" width="13.875" style="3029" customWidth="1"/>
    <col min="8454" max="8454" width="15.75" style="3029" customWidth="1"/>
    <col min="8455" max="8455" width="7.875" style="3029" customWidth="1"/>
    <col min="8456" max="8456" width="13.25" style="3029" customWidth="1"/>
    <col min="8457" max="8458" width="9" style="3029" customWidth="1"/>
    <col min="8459" max="8460" width="10.625" style="3029" customWidth="1"/>
    <col min="8461" max="8461" width="14.375" style="3029" customWidth="1"/>
    <col min="8462" max="8462" width="6.25" style="3029" customWidth="1"/>
    <col min="8463" max="8463" width="29.75" style="3029" customWidth="1"/>
    <col min="8464" max="8464" width="7.875" style="3029" customWidth="1"/>
    <col min="8465" max="8704" width="9" style="3029"/>
    <col min="8705" max="8705" width="20.125" style="3029" customWidth="1"/>
    <col min="8706" max="8706" width="6.25" style="3029" customWidth="1"/>
    <col min="8707" max="8707" width="11.75" style="3029" customWidth="1"/>
    <col min="8708" max="8709" width="13.875" style="3029" customWidth="1"/>
    <col min="8710" max="8710" width="15.75" style="3029" customWidth="1"/>
    <col min="8711" max="8711" width="7.875" style="3029" customWidth="1"/>
    <col min="8712" max="8712" width="13.25" style="3029" customWidth="1"/>
    <col min="8713" max="8714" width="9" style="3029" customWidth="1"/>
    <col min="8715" max="8716" width="10.625" style="3029" customWidth="1"/>
    <col min="8717" max="8717" width="14.375" style="3029" customWidth="1"/>
    <col min="8718" max="8718" width="6.25" style="3029" customWidth="1"/>
    <col min="8719" max="8719" width="29.75" style="3029" customWidth="1"/>
    <col min="8720" max="8720" width="7.875" style="3029" customWidth="1"/>
    <col min="8721" max="8960" width="9" style="3029"/>
    <col min="8961" max="8961" width="20.125" style="3029" customWidth="1"/>
    <col min="8962" max="8962" width="6.25" style="3029" customWidth="1"/>
    <col min="8963" max="8963" width="11.75" style="3029" customWidth="1"/>
    <col min="8964" max="8965" width="13.875" style="3029" customWidth="1"/>
    <col min="8966" max="8966" width="15.75" style="3029" customWidth="1"/>
    <col min="8967" max="8967" width="7.875" style="3029" customWidth="1"/>
    <col min="8968" max="8968" width="13.25" style="3029" customWidth="1"/>
    <col min="8969" max="8970" width="9" style="3029" customWidth="1"/>
    <col min="8971" max="8972" width="10.625" style="3029" customWidth="1"/>
    <col min="8973" max="8973" width="14.375" style="3029" customWidth="1"/>
    <col min="8974" max="8974" width="6.25" style="3029" customWidth="1"/>
    <col min="8975" max="8975" width="29.75" style="3029" customWidth="1"/>
    <col min="8976" max="8976" width="7.875" style="3029" customWidth="1"/>
    <col min="8977" max="9216" width="9" style="3029"/>
    <col min="9217" max="9217" width="20.125" style="3029" customWidth="1"/>
    <col min="9218" max="9218" width="6.25" style="3029" customWidth="1"/>
    <col min="9219" max="9219" width="11.75" style="3029" customWidth="1"/>
    <col min="9220" max="9221" width="13.875" style="3029" customWidth="1"/>
    <col min="9222" max="9222" width="15.75" style="3029" customWidth="1"/>
    <col min="9223" max="9223" width="7.875" style="3029" customWidth="1"/>
    <col min="9224" max="9224" width="13.25" style="3029" customWidth="1"/>
    <col min="9225" max="9226" width="9" style="3029" customWidth="1"/>
    <col min="9227" max="9228" width="10.625" style="3029" customWidth="1"/>
    <col min="9229" max="9229" width="14.375" style="3029" customWidth="1"/>
    <col min="9230" max="9230" width="6.25" style="3029" customWidth="1"/>
    <col min="9231" max="9231" width="29.75" style="3029" customWidth="1"/>
    <col min="9232" max="9232" width="7.875" style="3029" customWidth="1"/>
    <col min="9233" max="9472" width="9" style="3029"/>
    <col min="9473" max="9473" width="20.125" style="3029" customWidth="1"/>
    <col min="9474" max="9474" width="6.25" style="3029" customWidth="1"/>
    <col min="9475" max="9475" width="11.75" style="3029" customWidth="1"/>
    <col min="9476" max="9477" width="13.875" style="3029" customWidth="1"/>
    <col min="9478" max="9478" width="15.75" style="3029" customWidth="1"/>
    <col min="9479" max="9479" width="7.875" style="3029" customWidth="1"/>
    <col min="9480" max="9480" width="13.25" style="3029" customWidth="1"/>
    <col min="9481" max="9482" width="9" style="3029" customWidth="1"/>
    <col min="9483" max="9484" width="10.625" style="3029" customWidth="1"/>
    <col min="9485" max="9485" width="14.375" style="3029" customWidth="1"/>
    <col min="9486" max="9486" width="6.25" style="3029" customWidth="1"/>
    <col min="9487" max="9487" width="29.75" style="3029" customWidth="1"/>
    <col min="9488" max="9488" width="7.875" style="3029" customWidth="1"/>
    <col min="9489" max="9728" width="9" style="3029"/>
    <col min="9729" max="9729" width="20.125" style="3029" customWidth="1"/>
    <col min="9730" max="9730" width="6.25" style="3029" customWidth="1"/>
    <col min="9731" max="9731" width="11.75" style="3029" customWidth="1"/>
    <col min="9732" max="9733" width="13.875" style="3029" customWidth="1"/>
    <col min="9734" max="9734" width="15.75" style="3029" customWidth="1"/>
    <col min="9735" max="9735" width="7.875" style="3029" customWidth="1"/>
    <col min="9736" max="9736" width="13.25" style="3029" customWidth="1"/>
    <col min="9737" max="9738" width="9" style="3029" customWidth="1"/>
    <col min="9739" max="9740" width="10.625" style="3029" customWidth="1"/>
    <col min="9741" max="9741" width="14.375" style="3029" customWidth="1"/>
    <col min="9742" max="9742" width="6.25" style="3029" customWidth="1"/>
    <col min="9743" max="9743" width="29.75" style="3029" customWidth="1"/>
    <col min="9744" max="9744" width="7.875" style="3029" customWidth="1"/>
    <col min="9745" max="9984" width="9" style="3029"/>
    <col min="9985" max="9985" width="20.125" style="3029" customWidth="1"/>
    <col min="9986" max="9986" width="6.25" style="3029" customWidth="1"/>
    <col min="9987" max="9987" width="11.75" style="3029" customWidth="1"/>
    <col min="9988" max="9989" width="13.875" style="3029" customWidth="1"/>
    <col min="9990" max="9990" width="15.75" style="3029" customWidth="1"/>
    <col min="9991" max="9991" width="7.875" style="3029" customWidth="1"/>
    <col min="9992" max="9992" width="13.25" style="3029" customWidth="1"/>
    <col min="9993" max="9994" width="9" style="3029" customWidth="1"/>
    <col min="9995" max="9996" width="10.625" style="3029" customWidth="1"/>
    <col min="9997" max="9997" width="14.375" style="3029" customWidth="1"/>
    <col min="9998" max="9998" width="6.25" style="3029" customWidth="1"/>
    <col min="9999" max="9999" width="29.75" style="3029" customWidth="1"/>
    <col min="10000" max="10000" width="7.875" style="3029" customWidth="1"/>
    <col min="10001" max="10240" width="9" style="3029"/>
    <col min="10241" max="10241" width="20.125" style="3029" customWidth="1"/>
    <col min="10242" max="10242" width="6.25" style="3029" customWidth="1"/>
    <col min="10243" max="10243" width="11.75" style="3029" customWidth="1"/>
    <col min="10244" max="10245" width="13.875" style="3029" customWidth="1"/>
    <col min="10246" max="10246" width="15.75" style="3029" customWidth="1"/>
    <col min="10247" max="10247" width="7.875" style="3029" customWidth="1"/>
    <col min="10248" max="10248" width="13.25" style="3029" customWidth="1"/>
    <col min="10249" max="10250" width="9" style="3029" customWidth="1"/>
    <col min="10251" max="10252" width="10.625" style="3029" customWidth="1"/>
    <col min="10253" max="10253" width="14.375" style="3029" customWidth="1"/>
    <col min="10254" max="10254" width="6.25" style="3029" customWidth="1"/>
    <col min="10255" max="10255" width="29.75" style="3029" customWidth="1"/>
    <col min="10256" max="10256" width="7.875" style="3029" customWidth="1"/>
    <col min="10257" max="10496" width="9" style="3029"/>
    <col min="10497" max="10497" width="20.125" style="3029" customWidth="1"/>
    <col min="10498" max="10498" width="6.25" style="3029" customWidth="1"/>
    <col min="10499" max="10499" width="11.75" style="3029" customWidth="1"/>
    <col min="10500" max="10501" width="13.875" style="3029" customWidth="1"/>
    <col min="10502" max="10502" width="15.75" style="3029" customWidth="1"/>
    <col min="10503" max="10503" width="7.875" style="3029" customWidth="1"/>
    <col min="10504" max="10504" width="13.25" style="3029" customWidth="1"/>
    <col min="10505" max="10506" width="9" style="3029" customWidth="1"/>
    <col min="10507" max="10508" width="10.625" style="3029" customWidth="1"/>
    <col min="10509" max="10509" width="14.375" style="3029" customWidth="1"/>
    <col min="10510" max="10510" width="6.25" style="3029" customWidth="1"/>
    <col min="10511" max="10511" width="29.75" style="3029" customWidth="1"/>
    <col min="10512" max="10512" width="7.875" style="3029" customWidth="1"/>
    <col min="10513" max="10752" width="9" style="3029"/>
    <col min="10753" max="10753" width="20.125" style="3029" customWidth="1"/>
    <col min="10754" max="10754" width="6.25" style="3029" customWidth="1"/>
    <col min="10755" max="10755" width="11.75" style="3029" customWidth="1"/>
    <col min="10756" max="10757" width="13.875" style="3029" customWidth="1"/>
    <col min="10758" max="10758" width="15.75" style="3029" customWidth="1"/>
    <col min="10759" max="10759" width="7.875" style="3029" customWidth="1"/>
    <col min="10760" max="10760" width="13.25" style="3029" customWidth="1"/>
    <col min="10761" max="10762" width="9" style="3029" customWidth="1"/>
    <col min="10763" max="10764" width="10.625" style="3029" customWidth="1"/>
    <col min="10765" max="10765" width="14.375" style="3029" customWidth="1"/>
    <col min="10766" max="10766" width="6.25" style="3029" customWidth="1"/>
    <col min="10767" max="10767" width="29.75" style="3029" customWidth="1"/>
    <col min="10768" max="10768" width="7.875" style="3029" customWidth="1"/>
    <col min="10769" max="11008" width="9" style="3029"/>
    <col min="11009" max="11009" width="20.125" style="3029" customWidth="1"/>
    <col min="11010" max="11010" width="6.25" style="3029" customWidth="1"/>
    <col min="11011" max="11011" width="11.75" style="3029" customWidth="1"/>
    <col min="11012" max="11013" width="13.875" style="3029" customWidth="1"/>
    <col min="11014" max="11014" width="15.75" style="3029" customWidth="1"/>
    <col min="11015" max="11015" width="7.875" style="3029" customWidth="1"/>
    <col min="11016" max="11016" width="13.25" style="3029" customWidth="1"/>
    <col min="11017" max="11018" width="9" style="3029" customWidth="1"/>
    <col min="11019" max="11020" width="10.625" style="3029" customWidth="1"/>
    <col min="11021" max="11021" width="14.375" style="3029" customWidth="1"/>
    <col min="11022" max="11022" width="6.25" style="3029" customWidth="1"/>
    <col min="11023" max="11023" width="29.75" style="3029" customWidth="1"/>
    <col min="11024" max="11024" width="7.875" style="3029" customWidth="1"/>
    <col min="11025" max="11264" width="9" style="3029"/>
    <col min="11265" max="11265" width="20.125" style="3029" customWidth="1"/>
    <col min="11266" max="11266" width="6.25" style="3029" customWidth="1"/>
    <col min="11267" max="11267" width="11.75" style="3029" customWidth="1"/>
    <col min="11268" max="11269" width="13.875" style="3029" customWidth="1"/>
    <col min="11270" max="11270" width="15.75" style="3029" customWidth="1"/>
    <col min="11271" max="11271" width="7.875" style="3029" customWidth="1"/>
    <col min="11272" max="11272" width="13.25" style="3029" customWidth="1"/>
    <col min="11273" max="11274" width="9" style="3029" customWidth="1"/>
    <col min="11275" max="11276" width="10.625" style="3029" customWidth="1"/>
    <col min="11277" max="11277" width="14.375" style="3029" customWidth="1"/>
    <col min="11278" max="11278" width="6.25" style="3029" customWidth="1"/>
    <col min="11279" max="11279" width="29.75" style="3029" customWidth="1"/>
    <col min="11280" max="11280" width="7.875" style="3029" customWidth="1"/>
    <col min="11281" max="11520" width="9" style="3029"/>
    <col min="11521" max="11521" width="20.125" style="3029" customWidth="1"/>
    <col min="11522" max="11522" width="6.25" style="3029" customWidth="1"/>
    <col min="11523" max="11523" width="11.75" style="3029" customWidth="1"/>
    <col min="11524" max="11525" width="13.875" style="3029" customWidth="1"/>
    <col min="11526" max="11526" width="15.75" style="3029" customWidth="1"/>
    <col min="11527" max="11527" width="7.875" style="3029" customWidth="1"/>
    <col min="11528" max="11528" width="13.25" style="3029" customWidth="1"/>
    <col min="11529" max="11530" width="9" style="3029" customWidth="1"/>
    <col min="11531" max="11532" width="10.625" style="3029" customWidth="1"/>
    <col min="11533" max="11533" width="14.375" style="3029" customWidth="1"/>
    <col min="11534" max="11534" width="6.25" style="3029" customWidth="1"/>
    <col min="11535" max="11535" width="29.75" style="3029" customWidth="1"/>
    <col min="11536" max="11536" width="7.875" style="3029" customWidth="1"/>
    <col min="11537" max="11776" width="9" style="3029"/>
    <col min="11777" max="11777" width="20.125" style="3029" customWidth="1"/>
    <col min="11778" max="11778" width="6.25" style="3029" customWidth="1"/>
    <col min="11779" max="11779" width="11.75" style="3029" customWidth="1"/>
    <col min="11780" max="11781" width="13.875" style="3029" customWidth="1"/>
    <col min="11782" max="11782" width="15.75" style="3029" customWidth="1"/>
    <col min="11783" max="11783" width="7.875" style="3029" customWidth="1"/>
    <col min="11784" max="11784" width="13.25" style="3029" customWidth="1"/>
    <col min="11785" max="11786" width="9" style="3029" customWidth="1"/>
    <col min="11787" max="11788" width="10.625" style="3029" customWidth="1"/>
    <col min="11789" max="11789" width="14.375" style="3029" customWidth="1"/>
    <col min="11790" max="11790" width="6.25" style="3029" customWidth="1"/>
    <col min="11791" max="11791" width="29.75" style="3029" customWidth="1"/>
    <col min="11792" max="11792" width="7.875" style="3029" customWidth="1"/>
    <col min="11793" max="12032" width="9" style="3029"/>
    <col min="12033" max="12033" width="20.125" style="3029" customWidth="1"/>
    <col min="12034" max="12034" width="6.25" style="3029" customWidth="1"/>
    <col min="12035" max="12035" width="11.75" style="3029" customWidth="1"/>
    <col min="12036" max="12037" width="13.875" style="3029" customWidth="1"/>
    <col min="12038" max="12038" width="15.75" style="3029" customWidth="1"/>
    <col min="12039" max="12039" width="7.875" style="3029" customWidth="1"/>
    <col min="12040" max="12040" width="13.25" style="3029" customWidth="1"/>
    <col min="12041" max="12042" width="9" style="3029" customWidth="1"/>
    <col min="12043" max="12044" width="10.625" style="3029" customWidth="1"/>
    <col min="12045" max="12045" width="14.375" style="3029" customWidth="1"/>
    <col min="12046" max="12046" width="6.25" style="3029" customWidth="1"/>
    <col min="12047" max="12047" width="29.75" style="3029" customWidth="1"/>
    <col min="12048" max="12048" width="7.875" style="3029" customWidth="1"/>
    <col min="12049" max="12288" width="9" style="3029"/>
    <col min="12289" max="12289" width="20.125" style="3029" customWidth="1"/>
    <col min="12290" max="12290" width="6.25" style="3029" customWidth="1"/>
    <col min="12291" max="12291" width="11.75" style="3029" customWidth="1"/>
    <col min="12292" max="12293" width="13.875" style="3029" customWidth="1"/>
    <col min="12294" max="12294" width="15.75" style="3029" customWidth="1"/>
    <col min="12295" max="12295" width="7.875" style="3029" customWidth="1"/>
    <col min="12296" max="12296" width="13.25" style="3029" customWidth="1"/>
    <col min="12297" max="12298" width="9" style="3029" customWidth="1"/>
    <col min="12299" max="12300" width="10.625" style="3029" customWidth="1"/>
    <col min="12301" max="12301" width="14.375" style="3029" customWidth="1"/>
    <col min="12302" max="12302" width="6.25" style="3029" customWidth="1"/>
    <col min="12303" max="12303" width="29.75" style="3029" customWidth="1"/>
    <col min="12304" max="12304" width="7.875" style="3029" customWidth="1"/>
    <col min="12305" max="12544" width="9" style="3029"/>
    <col min="12545" max="12545" width="20.125" style="3029" customWidth="1"/>
    <col min="12546" max="12546" width="6.25" style="3029" customWidth="1"/>
    <col min="12547" max="12547" width="11.75" style="3029" customWidth="1"/>
    <col min="12548" max="12549" width="13.875" style="3029" customWidth="1"/>
    <col min="12550" max="12550" width="15.75" style="3029" customWidth="1"/>
    <col min="12551" max="12551" width="7.875" style="3029" customWidth="1"/>
    <col min="12552" max="12552" width="13.25" style="3029" customWidth="1"/>
    <col min="12553" max="12554" width="9" style="3029" customWidth="1"/>
    <col min="12555" max="12556" width="10.625" style="3029" customWidth="1"/>
    <col min="12557" max="12557" width="14.375" style="3029" customWidth="1"/>
    <col min="12558" max="12558" width="6.25" style="3029" customWidth="1"/>
    <col min="12559" max="12559" width="29.75" style="3029" customWidth="1"/>
    <col min="12560" max="12560" width="7.875" style="3029" customWidth="1"/>
    <col min="12561" max="12800" width="9" style="3029"/>
    <col min="12801" max="12801" width="20.125" style="3029" customWidth="1"/>
    <col min="12802" max="12802" width="6.25" style="3029" customWidth="1"/>
    <col min="12803" max="12803" width="11.75" style="3029" customWidth="1"/>
    <col min="12804" max="12805" width="13.875" style="3029" customWidth="1"/>
    <col min="12806" max="12806" width="15.75" style="3029" customWidth="1"/>
    <col min="12807" max="12807" width="7.875" style="3029" customWidth="1"/>
    <col min="12808" max="12808" width="13.25" style="3029" customWidth="1"/>
    <col min="12809" max="12810" width="9" style="3029" customWidth="1"/>
    <col min="12811" max="12812" width="10.625" style="3029" customWidth="1"/>
    <col min="12813" max="12813" width="14.375" style="3029" customWidth="1"/>
    <col min="12814" max="12814" width="6.25" style="3029" customWidth="1"/>
    <col min="12815" max="12815" width="29.75" style="3029" customWidth="1"/>
    <col min="12816" max="12816" width="7.875" style="3029" customWidth="1"/>
    <col min="12817" max="13056" width="9" style="3029"/>
    <col min="13057" max="13057" width="20.125" style="3029" customWidth="1"/>
    <col min="13058" max="13058" width="6.25" style="3029" customWidth="1"/>
    <col min="13059" max="13059" width="11.75" style="3029" customWidth="1"/>
    <col min="13060" max="13061" width="13.875" style="3029" customWidth="1"/>
    <col min="13062" max="13062" width="15.75" style="3029" customWidth="1"/>
    <col min="13063" max="13063" width="7.875" style="3029" customWidth="1"/>
    <col min="13064" max="13064" width="13.25" style="3029" customWidth="1"/>
    <col min="13065" max="13066" width="9" style="3029" customWidth="1"/>
    <col min="13067" max="13068" width="10.625" style="3029" customWidth="1"/>
    <col min="13069" max="13069" width="14.375" style="3029" customWidth="1"/>
    <col min="13070" max="13070" width="6.25" style="3029" customWidth="1"/>
    <col min="13071" max="13071" width="29.75" style="3029" customWidth="1"/>
    <col min="13072" max="13072" width="7.875" style="3029" customWidth="1"/>
    <col min="13073" max="13312" width="9" style="3029"/>
    <col min="13313" max="13313" width="20.125" style="3029" customWidth="1"/>
    <col min="13314" max="13314" width="6.25" style="3029" customWidth="1"/>
    <col min="13315" max="13315" width="11.75" style="3029" customWidth="1"/>
    <col min="13316" max="13317" width="13.875" style="3029" customWidth="1"/>
    <col min="13318" max="13318" width="15.75" style="3029" customWidth="1"/>
    <col min="13319" max="13319" width="7.875" style="3029" customWidth="1"/>
    <col min="13320" max="13320" width="13.25" style="3029" customWidth="1"/>
    <col min="13321" max="13322" width="9" style="3029" customWidth="1"/>
    <col min="13323" max="13324" width="10.625" style="3029" customWidth="1"/>
    <col min="13325" max="13325" width="14.375" style="3029" customWidth="1"/>
    <col min="13326" max="13326" width="6.25" style="3029" customWidth="1"/>
    <col min="13327" max="13327" width="29.75" style="3029" customWidth="1"/>
    <col min="13328" max="13328" width="7.875" style="3029" customWidth="1"/>
    <col min="13329" max="13568" width="9" style="3029"/>
    <col min="13569" max="13569" width="20.125" style="3029" customWidth="1"/>
    <col min="13570" max="13570" width="6.25" style="3029" customWidth="1"/>
    <col min="13571" max="13571" width="11.75" style="3029" customWidth="1"/>
    <col min="13572" max="13573" width="13.875" style="3029" customWidth="1"/>
    <col min="13574" max="13574" width="15.75" style="3029" customWidth="1"/>
    <col min="13575" max="13575" width="7.875" style="3029" customWidth="1"/>
    <col min="13576" max="13576" width="13.25" style="3029" customWidth="1"/>
    <col min="13577" max="13578" width="9" style="3029" customWidth="1"/>
    <col min="13579" max="13580" width="10.625" style="3029" customWidth="1"/>
    <col min="13581" max="13581" width="14.375" style="3029" customWidth="1"/>
    <col min="13582" max="13582" width="6.25" style="3029" customWidth="1"/>
    <col min="13583" max="13583" width="29.75" style="3029" customWidth="1"/>
    <col min="13584" max="13584" width="7.875" style="3029" customWidth="1"/>
    <col min="13585" max="13824" width="9" style="3029"/>
    <col min="13825" max="13825" width="20.125" style="3029" customWidth="1"/>
    <col min="13826" max="13826" width="6.25" style="3029" customWidth="1"/>
    <col min="13827" max="13827" width="11.75" style="3029" customWidth="1"/>
    <col min="13828" max="13829" width="13.875" style="3029" customWidth="1"/>
    <col min="13830" max="13830" width="15.75" style="3029" customWidth="1"/>
    <col min="13831" max="13831" width="7.875" style="3029" customWidth="1"/>
    <col min="13832" max="13832" width="13.25" style="3029" customWidth="1"/>
    <col min="13833" max="13834" width="9" style="3029" customWidth="1"/>
    <col min="13835" max="13836" width="10.625" style="3029" customWidth="1"/>
    <col min="13837" max="13837" width="14.375" style="3029" customWidth="1"/>
    <col min="13838" max="13838" width="6.25" style="3029" customWidth="1"/>
    <col min="13839" max="13839" width="29.75" style="3029" customWidth="1"/>
    <col min="13840" max="13840" width="7.875" style="3029" customWidth="1"/>
    <col min="13841" max="14080" width="9" style="3029"/>
    <col min="14081" max="14081" width="20.125" style="3029" customWidth="1"/>
    <col min="14082" max="14082" width="6.25" style="3029" customWidth="1"/>
    <col min="14083" max="14083" width="11.75" style="3029" customWidth="1"/>
    <col min="14084" max="14085" width="13.875" style="3029" customWidth="1"/>
    <col min="14086" max="14086" width="15.75" style="3029" customWidth="1"/>
    <col min="14087" max="14087" width="7.875" style="3029" customWidth="1"/>
    <col min="14088" max="14088" width="13.25" style="3029" customWidth="1"/>
    <col min="14089" max="14090" width="9" style="3029" customWidth="1"/>
    <col min="14091" max="14092" width="10.625" style="3029" customWidth="1"/>
    <col min="14093" max="14093" width="14.375" style="3029" customWidth="1"/>
    <col min="14094" max="14094" width="6.25" style="3029" customWidth="1"/>
    <col min="14095" max="14095" width="29.75" style="3029" customWidth="1"/>
    <col min="14096" max="14096" width="7.875" style="3029" customWidth="1"/>
    <col min="14097" max="14336" width="9" style="3029"/>
    <col min="14337" max="14337" width="20.125" style="3029" customWidth="1"/>
    <col min="14338" max="14338" width="6.25" style="3029" customWidth="1"/>
    <col min="14339" max="14339" width="11.75" style="3029" customWidth="1"/>
    <col min="14340" max="14341" width="13.875" style="3029" customWidth="1"/>
    <col min="14342" max="14342" width="15.75" style="3029" customWidth="1"/>
    <col min="14343" max="14343" width="7.875" style="3029" customWidth="1"/>
    <col min="14344" max="14344" width="13.25" style="3029" customWidth="1"/>
    <col min="14345" max="14346" width="9" style="3029" customWidth="1"/>
    <col min="14347" max="14348" width="10.625" style="3029" customWidth="1"/>
    <col min="14349" max="14349" width="14.375" style="3029" customWidth="1"/>
    <col min="14350" max="14350" width="6.25" style="3029" customWidth="1"/>
    <col min="14351" max="14351" width="29.75" style="3029" customWidth="1"/>
    <col min="14352" max="14352" width="7.875" style="3029" customWidth="1"/>
    <col min="14353" max="14592" width="9" style="3029"/>
    <col min="14593" max="14593" width="20.125" style="3029" customWidth="1"/>
    <col min="14594" max="14594" width="6.25" style="3029" customWidth="1"/>
    <col min="14595" max="14595" width="11.75" style="3029" customWidth="1"/>
    <col min="14596" max="14597" width="13.875" style="3029" customWidth="1"/>
    <col min="14598" max="14598" width="15.75" style="3029" customWidth="1"/>
    <col min="14599" max="14599" width="7.875" style="3029" customWidth="1"/>
    <col min="14600" max="14600" width="13.25" style="3029" customWidth="1"/>
    <col min="14601" max="14602" width="9" style="3029" customWidth="1"/>
    <col min="14603" max="14604" width="10.625" style="3029" customWidth="1"/>
    <col min="14605" max="14605" width="14.375" style="3029" customWidth="1"/>
    <col min="14606" max="14606" width="6.25" style="3029" customWidth="1"/>
    <col min="14607" max="14607" width="29.75" style="3029" customWidth="1"/>
    <col min="14608" max="14608" width="7.875" style="3029" customWidth="1"/>
    <col min="14609" max="14848" width="9" style="3029"/>
    <col min="14849" max="14849" width="20.125" style="3029" customWidth="1"/>
    <col min="14850" max="14850" width="6.25" style="3029" customWidth="1"/>
    <col min="14851" max="14851" width="11.75" style="3029" customWidth="1"/>
    <col min="14852" max="14853" width="13.875" style="3029" customWidth="1"/>
    <col min="14854" max="14854" width="15.75" style="3029" customWidth="1"/>
    <col min="14855" max="14855" width="7.875" style="3029" customWidth="1"/>
    <col min="14856" max="14856" width="13.25" style="3029" customWidth="1"/>
    <col min="14857" max="14858" width="9" style="3029" customWidth="1"/>
    <col min="14859" max="14860" width="10.625" style="3029" customWidth="1"/>
    <col min="14861" max="14861" width="14.375" style="3029" customWidth="1"/>
    <col min="14862" max="14862" width="6.25" style="3029" customWidth="1"/>
    <col min="14863" max="14863" width="29.75" style="3029" customWidth="1"/>
    <col min="14864" max="14864" width="7.875" style="3029" customWidth="1"/>
    <col min="14865" max="15104" width="9" style="3029"/>
    <col min="15105" max="15105" width="20.125" style="3029" customWidth="1"/>
    <col min="15106" max="15106" width="6.25" style="3029" customWidth="1"/>
    <col min="15107" max="15107" width="11.75" style="3029" customWidth="1"/>
    <col min="15108" max="15109" width="13.875" style="3029" customWidth="1"/>
    <col min="15110" max="15110" width="15.75" style="3029" customWidth="1"/>
    <col min="15111" max="15111" width="7.875" style="3029" customWidth="1"/>
    <col min="15112" max="15112" width="13.25" style="3029" customWidth="1"/>
    <col min="15113" max="15114" width="9" style="3029" customWidth="1"/>
    <col min="15115" max="15116" width="10.625" style="3029" customWidth="1"/>
    <col min="15117" max="15117" width="14.375" style="3029" customWidth="1"/>
    <col min="15118" max="15118" width="6.25" style="3029" customWidth="1"/>
    <col min="15119" max="15119" width="29.75" style="3029" customWidth="1"/>
    <col min="15120" max="15120" width="7.875" style="3029" customWidth="1"/>
    <col min="15121" max="15360" width="9" style="3029"/>
    <col min="15361" max="15361" width="20.125" style="3029" customWidth="1"/>
    <col min="15362" max="15362" width="6.25" style="3029" customWidth="1"/>
    <col min="15363" max="15363" width="11.75" style="3029" customWidth="1"/>
    <col min="15364" max="15365" width="13.875" style="3029" customWidth="1"/>
    <col min="15366" max="15366" width="15.75" style="3029" customWidth="1"/>
    <col min="15367" max="15367" width="7.875" style="3029" customWidth="1"/>
    <col min="15368" max="15368" width="13.25" style="3029" customWidth="1"/>
    <col min="15369" max="15370" width="9" style="3029" customWidth="1"/>
    <col min="15371" max="15372" width="10.625" style="3029" customWidth="1"/>
    <col min="15373" max="15373" width="14.375" style="3029" customWidth="1"/>
    <col min="15374" max="15374" width="6.25" style="3029" customWidth="1"/>
    <col min="15375" max="15375" width="29.75" style="3029" customWidth="1"/>
    <col min="15376" max="15376" width="7.875" style="3029" customWidth="1"/>
    <col min="15377" max="15616" width="9" style="3029"/>
    <col min="15617" max="15617" width="20.125" style="3029" customWidth="1"/>
    <col min="15618" max="15618" width="6.25" style="3029" customWidth="1"/>
    <col min="15619" max="15619" width="11.75" style="3029" customWidth="1"/>
    <col min="15620" max="15621" width="13.875" style="3029" customWidth="1"/>
    <col min="15622" max="15622" width="15.75" style="3029" customWidth="1"/>
    <col min="15623" max="15623" width="7.875" style="3029" customWidth="1"/>
    <col min="15624" max="15624" width="13.25" style="3029" customWidth="1"/>
    <col min="15625" max="15626" width="9" style="3029" customWidth="1"/>
    <col min="15627" max="15628" width="10.625" style="3029" customWidth="1"/>
    <col min="15629" max="15629" width="14.375" style="3029" customWidth="1"/>
    <col min="15630" max="15630" width="6.25" style="3029" customWidth="1"/>
    <col min="15631" max="15631" width="29.75" style="3029" customWidth="1"/>
    <col min="15632" max="15632" width="7.875" style="3029" customWidth="1"/>
    <col min="15633" max="15872" width="9" style="3029"/>
    <col min="15873" max="15873" width="20.125" style="3029" customWidth="1"/>
    <col min="15874" max="15874" width="6.25" style="3029" customWidth="1"/>
    <col min="15875" max="15875" width="11.75" style="3029" customWidth="1"/>
    <col min="15876" max="15877" width="13.875" style="3029" customWidth="1"/>
    <col min="15878" max="15878" width="15.75" style="3029" customWidth="1"/>
    <col min="15879" max="15879" width="7.875" style="3029" customWidth="1"/>
    <col min="15880" max="15880" width="13.25" style="3029" customWidth="1"/>
    <col min="15881" max="15882" width="9" style="3029" customWidth="1"/>
    <col min="15883" max="15884" width="10.625" style="3029" customWidth="1"/>
    <col min="15885" max="15885" width="14.375" style="3029" customWidth="1"/>
    <col min="15886" max="15886" width="6.25" style="3029" customWidth="1"/>
    <col min="15887" max="15887" width="29.75" style="3029" customWidth="1"/>
    <col min="15888" max="15888" width="7.875" style="3029" customWidth="1"/>
    <col min="15889" max="16128" width="9" style="3029"/>
    <col min="16129" max="16129" width="20.125" style="3029" customWidth="1"/>
    <col min="16130" max="16130" width="6.25" style="3029" customWidth="1"/>
    <col min="16131" max="16131" width="11.75" style="3029" customWidth="1"/>
    <col min="16132" max="16133" width="13.875" style="3029" customWidth="1"/>
    <col min="16134" max="16134" width="15.75" style="3029" customWidth="1"/>
    <col min="16135" max="16135" width="7.875" style="3029" customWidth="1"/>
    <col min="16136" max="16136" width="13.25" style="3029" customWidth="1"/>
    <col min="16137" max="16138" width="9" style="3029" customWidth="1"/>
    <col min="16139" max="16140" width="10.625" style="3029" customWidth="1"/>
    <col min="16141" max="16141" width="14.375" style="3029" customWidth="1"/>
    <col min="16142" max="16142" width="6.25" style="3029" customWidth="1"/>
    <col min="16143" max="16143" width="29.75" style="3029" customWidth="1"/>
    <col min="16144" max="16144" width="7.875" style="3029" customWidth="1"/>
    <col min="16145" max="16384" width="9" style="3029"/>
  </cols>
  <sheetData>
    <row r="1" spans="1:16">
      <c r="A1" s="3029" t="s">
        <v>3068</v>
      </c>
      <c r="B1" s="3029" t="s">
        <v>3069</v>
      </c>
      <c r="C1" s="3029" t="s">
        <v>3070</v>
      </c>
      <c r="D1" s="3029" t="s">
        <v>3077</v>
      </c>
      <c r="E1" s="3029" t="s">
        <v>3078</v>
      </c>
      <c r="F1" s="3029" t="s">
        <v>3079</v>
      </c>
      <c r="G1" s="3029" t="s">
        <v>3074</v>
      </c>
      <c r="H1" s="3029" t="s">
        <v>3076</v>
      </c>
      <c r="I1" s="3029" t="s">
        <v>3093</v>
      </c>
      <c r="J1" s="3029" t="s">
        <v>3094</v>
      </c>
      <c r="K1" s="3029" t="s">
        <v>3100</v>
      </c>
      <c r="L1" s="3029" t="s">
        <v>3101</v>
      </c>
      <c r="M1" s="3029" t="s">
        <v>3105</v>
      </c>
      <c r="N1" s="3029" t="s">
        <v>3108</v>
      </c>
      <c r="O1" s="3029" t="s">
        <v>3097</v>
      </c>
      <c r="P1" s="3029" t="s">
        <v>3113</v>
      </c>
    </row>
    <row r="2" spans="1:16">
      <c r="A2" s="3029" t="s">
        <v>3612</v>
      </c>
      <c r="B2" s="3029" t="s">
        <v>3613</v>
      </c>
      <c r="C2" s="3029" t="s">
        <v>3614</v>
      </c>
      <c r="D2" s="3029">
        <v>13142.79</v>
      </c>
      <c r="E2" s="3029">
        <v>26285.58</v>
      </c>
      <c r="F2" s="3029" t="s">
        <v>3615</v>
      </c>
      <c r="G2" s="3029" t="s">
        <v>3120</v>
      </c>
      <c r="H2" s="3029" t="s">
        <v>3616</v>
      </c>
      <c r="I2" s="3029" t="s">
        <v>3617</v>
      </c>
      <c r="J2" s="3029" t="s">
        <v>3617</v>
      </c>
      <c r="K2" s="3029">
        <v>441.6</v>
      </c>
      <c r="L2" s="3029">
        <v>441.6</v>
      </c>
      <c r="M2" s="3029">
        <v>168</v>
      </c>
      <c r="N2" s="3029">
        <v>0</v>
      </c>
      <c r="O2" s="3029" t="s">
        <v>3618</v>
      </c>
      <c r="P2" s="3029" t="s">
        <v>3215</v>
      </c>
    </row>
    <row r="3" spans="1:16">
      <c r="A3" s="3029" t="s">
        <v>3619</v>
      </c>
      <c r="B3" s="3029" t="s">
        <v>3613</v>
      </c>
      <c r="C3" s="3029" t="s">
        <v>3614</v>
      </c>
      <c r="D3" s="3029">
        <v>62695.66</v>
      </c>
      <c r="E3" s="3029">
        <v>109717.41</v>
      </c>
      <c r="F3" s="3029" t="s">
        <v>3620</v>
      </c>
      <c r="G3" s="3029" t="s">
        <v>3120</v>
      </c>
      <c r="H3" s="3029" t="s">
        <v>3621</v>
      </c>
      <c r="I3" s="3029" t="s">
        <v>3622</v>
      </c>
      <c r="J3" s="3029" t="s">
        <v>3622</v>
      </c>
      <c r="K3" s="3029">
        <v>5496</v>
      </c>
      <c r="L3" s="3029">
        <v>5496</v>
      </c>
      <c r="M3" s="3029">
        <v>500.92</v>
      </c>
      <c r="N3" s="3029">
        <v>0</v>
      </c>
      <c r="O3" s="3029" t="s">
        <v>3623</v>
      </c>
      <c r="P3" s="3029" t="s">
        <v>3149</v>
      </c>
    </row>
    <row r="4" spans="1:16" s="3030" customFormat="1">
      <c r="A4" s="3030" t="s">
        <v>3624</v>
      </c>
      <c r="B4" s="3030" t="s">
        <v>3613</v>
      </c>
      <c r="C4" s="3030" t="s">
        <v>3614</v>
      </c>
      <c r="D4" s="3030">
        <v>5881.6</v>
      </c>
      <c r="E4" s="3030">
        <v>14704</v>
      </c>
      <c r="F4" s="3030" t="s">
        <v>3625</v>
      </c>
      <c r="G4" s="3030" t="s">
        <v>3120</v>
      </c>
      <c r="H4" s="3030" t="s">
        <v>3626</v>
      </c>
      <c r="I4" s="3030" t="s">
        <v>3627</v>
      </c>
      <c r="J4" s="3030" t="s">
        <v>3627</v>
      </c>
      <c r="K4" s="3030">
        <v>2824</v>
      </c>
      <c r="L4" s="3030">
        <v>2824</v>
      </c>
      <c r="M4" s="3030">
        <v>1920.56</v>
      </c>
      <c r="N4" s="3030">
        <v>0</v>
      </c>
      <c r="O4" s="3030" t="s">
        <v>3628</v>
      </c>
      <c r="P4" s="3030" t="s">
        <v>3215</v>
      </c>
    </row>
    <row r="5" spans="1:16">
      <c r="A5" s="3029" t="s">
        <v>3629</v>
      </c>
      <c r="B5" s="3029" t="s">
        <v>3613</v>
      </c>
      <c r="C5" s="3029" t="s">
        <v>3614</v>
      </c>
      <c r="D5" s="3029">
        <v>13476.27</v>
      </c>
      <c r="E5" s="3029">
        <v>9972.44</v>
      </c>
      <c r="F5" s="3029" t="s">
        <v>3630</v>
      </c>
      <c r="G5" s="3029" t="s">
        <v>3120</v>
      </c>
      <c r="H5" s="3029" t="s">
        <v>3631</v>
      </c>
      <c r="I5" s="3029" t="s">
        <v>3632</v>
      </c>
      <c r="J5" s="3029" t="s">
        <v>3632</v>
      </c>
      <c r="K5" s="3029">
        <v>11927</v>
      </c>
      <c r="L5" s="3029">
        <v>11927</v>
      </c>
      <c r="M5" s="3029">
        <v>11959.95</v>
      </c>
      <c r="N5" s="3029">
        <v>0</v>
      </c>
      <c r="O5" s="3029" t="s">
        <v>3633</v>
      </c>
      <c r="P5" s="3029" t="s">
        <v>3215</v>
      </c>
    </row>
    <row r="6" spans="1:16">
      <c r="A6" s="3029" t="s">
        <v>3634</v>
      </c>
      <c r="B6" s="3029" t="s">
        <v>3613</v>
      </c>
      <c r="C6" s="3029" t="s">
        <v>3614</v>
      </c>
      <c r="D6" s="3029">
        <v>2941.21</v>
      </c>
      <c r="E6" s="3029">
        <v>1470.61</v>
      </c>
      <c r="F6" s="3029" t="s">
        <v>3635</v>
      </c>
      <c r="G6" s="3029" t="s">
        <v>3120</v>
      </c>
      <c r="H6" s="3029" t="s">
        <v>3631</v>
      </c>
      <c r="I6" s="3029" t="s">
        <v>3636</v>
      </c>
      <c r="J6" s="3029" t="s">
        <v>3636</v>
      </c>
      <c r="K6" s="3029">
        <v>3087</v>
      </c>
      <c r="L6" s="3029">
        <v>3087</v>
      </c>
      <c r="M6" s="3029">
        <v>20991.29</v>
      </c>
      <c r="N6" s="3029">
        <v>0</v>
      </c>
      <c r="O6" s="3029" t="s">
        <v>3637</v>
      </c>
      <c r="P6" s="3029" t="s">
        <v>3149</v>
      </c>
    </row>
    <row r="7" spans="1:16">
      <c r="A7" s="3029" t="s">
        <v>3629</v>
      </c>
      <c r="B7" s="3029" t="s">
        <v>3613</v>
      </c>
      <c r="C7" s="3029" t="s">
        <v>3614</v>
      </c>
      <c r="D7" s="3029">
        <v>6954.33</v>
      </c>
      <c r="E7" s="3029">
        <v>5007.12</v>
      </c>
      <c r="F7" s="3029" t="s">
        <v>3638</v>
      </c>
      <c r="G7" s="3029" t="s">
        <v>3120</v>
      </c>
      <c r="H7" s="3029" t="s">
        <v>3631</v>
      </c>
      <c r="I7" s="3029" t="s">
        <v>3639</v>
      </c>
      <c r="J7" s="3029" t="s">
        <v>3639</v>
      </c>
      <c r="K7" s="3029">
        <v>6155</v>
      </c>
      <c r="L7" s="3029">
        <v>6155</v>
      </c>
      <c r="M7" s="3029">
        <v>12292.5</v>
      </c>
      <c r="N7" s="3029">
        <v>0</v>
      </c>
      <c r="O7" s="3029" t="s">
        <v>3633</v>
      </c>
      <c r="P7" s="3029" t="s">
        <v>3215</v>
      </c>
    </row>
    <row r="8" spans="1:16">
      <c r="A8" s="3029" t="s">
        <v>3629</v>
      </c>
      <c r="B8" s="3029" t="s">
        <v>3613</v>
      </c>
      <c r="C8" s="3029" t="s">
        <v>3614</v>
      </c>
      <c r="D8" s="3029">
        <v>3577.18</v>
      </c>
      <c r="E8" s="3029">
        <v>3791.81</v>
      </c>
      <c r="F8" s="3029" t="s">
        <v>3640</v>
      </c>
      <c r="G8" s="3029" t="s">
        <v>3120</v>
      </c>
      <c r="H8" s="3029" t="s">
        <v>3631</v>
      </c>
      <c r="I8" s="3029" t="s">
        <v>3641</v>
      </c>
      <c r="J8" s="3029" t="s">
        <v>3641</v>
      </c>
      <c r="K8" s="3029">
        <v>3166</v>
      </c>
      <c r="L8" s="3029">
        <v>3166</v>
      </c>
      <c r="M8" s="3029">
        <v>8349.56</v>
      </c>
      <c r="N8" s="3029">
        <v>0</v>
      </c>
      <c r="O8" s="3029" t="s">
        <v>3633</v>
      </c>
      <c r="P8" s="3029" t="s">
        <v>3215</v>
      </c>
    </row>
    <row r="9" spans="1:16">
      <c r="A9" s="3029" t="s">
        <v>3642</v>
      </c>
      <c r="B9" s="3029" t="s">
        <v>3613</v>
      </c>
      <c r="C9" s="3029" t="s">
        <v>3614</v>
      </c>
      <c r="D9" s="3029">
        <v>3804.28</v>
      </c>
      <c r="E9" s="3029">
        <v>1902.14</v>
      </c>
      <c r="F9" s="3029" t="s">
        <v>3643</v>
      </c>
      <c r="G9" s="3029" t="s">
        <v>3120</v>
      </c>
      <c r="H9" s="3029" t="s">
        <v>3631</v>
      </c>
      <c r="I9" s="3029" t="s">
        <v>3644</v>
      </c>
      <c r="J9" s="3029" t="s">
        <v>3644</v>
      </c>
      <c r="K9" s="3029">
        <v>3990</v>
      </c>
      <c r="L9" s="3029">
        <v>3990</v>
      </c>
      <c r="M9" s="3029">
        <v>20976.36</v>
      </c>
      <c r="N9" s="3029">
        <v>0</v>
      </c>
      <c r="O9" s="3029" t="s">
        <v>3645</v>
      </c>
      <c r="P9" s="3029" t="s">
        <v>3215</v>
      </c>
    </row>
    <row r="10" spans="1:16">
      <c r="A10" s="3029" t="s">
        <v>3629</v>
      </c>
      <c r="B10" s="3029" t="s">
        <v>3613</v>
      </c>
      <c r="C10" s="3029" t="s">
        <v>3614</v>
      </c>
      <c r="D10" s="3029">
        <v>4830.28</v>
      </c>
      <c r="E10" s="3029">
        <v>6569.18</v>
      </c>
      <c r="F10" s="3029" t="s">
        <v>3646</v>
      </c>
      <c r="G10" s="3029" t="s">
        <v>3120</v>
      </c>
      <c r="H10" s="3029" t="s">
        <v>3631</v>
      </c>
      <c r="I10" s="3029" t="s">
        <v>3647</v>
      </c>
      <c r="J10" s="3029" t="s">
        <v>3647</v>
      </c>
      <c r="K10" s="3029">
        <v>4275</v>
      </c>
      <c r="L10" s="3029">
        <v>4275</v>
      </c>
      <c r="M10" s="3029">
        <v>6507.65</v>
      </c>
      <c r="N10" s="3029">
        <v>0</v>
      </c>
      <c r="O10" s="3029" t="s">
        <v>3633</v>
      </c>
      <c r="P10" s="3029" t="s">
        <v>3215</v>
      </c>
    </row>
    <row r="11" spans="1:16">
      <c r="A11" s="3029" t="s">
        <v>3648</v>
      </c>
      <c r="B11" s="3029" t="s">
        <v>3613</v>
      </c>
      <c r="C11" s="3029" t="s">
        <v>3614</v>
      </c>
      <c r="D11" s="3029">
        <v>63613.89</v>
      </c>
      <c r="E11" s="3029">
        <v>71883.7</v>
      </c>
      <c r="F11" s="3029" t="s">
        <v>3649</v>
      </c>
      <c r="G11" s="3029" t="s">
        <v>3120</v>
      </c>
      <c r="H11" s="3029" t="s">
        <v>3650</v>
      </c>
      <c r="I11" s="3029" t="s">
        <v>3651</v>
      </c>
      <c r="J11" s="3029" t="s">
        <v>3651</v>
      </c>
      <c r="K11" s="3029">
        <v>35305</v>
      </c>
      <c r="L11" s="3029">
        <v>35305</v>
      </c>
      <c r="M11" s="3029">
        <v>4911.3999999999996</v>
      </c>
      <c r="N11" s="3029">
        <v>0</v>
      </c>
      <c r="O11" s="3029" t="s">
        <v>3652</v>
      </c>
      <c r="P11" s="3029" t="s">
        <v>3215</v>
      </c>
    </row>
    <row r="12" spans="1:16">
      <c r="A12" s="3029" t="s">
        <v>3629</v>
      </c>
      <c r="B12" s="3029" t="s">
        <v>3613</v>
      </c>
      <c r="C12" s="3029" t="s">
        <v>3614</v>
      </c>
      <c r="D12" s="3029">
        <v>3898.85</v>
      </c>
      <c r="E12" s="3029">
        <v>3898.85</v>
      </c>
      <c r="F12" s="3029" t="s">
        <v>3653</v>
      </c>
      <c r="G12" s="3029" t="s">
        <v>3120</v>
      </c>
      <c r="H12" s="3029" t="s">
        <v>3650</v>
      </c>
      <c r="I12" s="3029" t="s">
        <v>3654</v>
      </c>
      <c r="J12" s="3029" t="s">
        <v>3654</v>
      </c>
      <c r="K12" s="3029">
        <v>193.3</v>
      </c>
      <c r="L12" s="3029">
        <v>193.3</v>
      </c>
      <c r="M12" s="3029">
        <v>495.79</v>
      </c>
      <c r="N12" s="3029">
        <v>0</v>
      </c>
      <c r="O12" s="3029" t="s">
        <v>3633</v>
      </c>
      <c r="P12" s="3029" t="s">
        <v>3215</v>
      </c>
    </row>
    <row r="13" spans="1:16">
      <c r="A13" s="3029" t="s">
        <v>3655</v>
      </c>
      <c r="B13" s="3029" t="s">
        <v>3613</v>
      </c>
      <c r="C13" s="3029" t="s">
        <v>3614</v>
      </c>
      <c r="D13" s="3029">
        <v>10024.4</v>
      </c>
      <c r="E13" s="3029">
        <v>25061</v>
      </c>
      <c r="F13" s="3029" t="s">
        <v>3656</v>
      </c>
      <c r="G13" s="3029" t="s">
        <v>3120</v>
      </c>
      <c r="H13" s="3029" t="s">
        <v>3650</v>
      </c>
      <c r="I13" s="3029" t="s">
        <v>3657</v>
      </c>
      <c r="J13" s="3029" t="s">
        <v>3657</v>
      </c>
      <c r="K13" s="3029">
        <v>2677.11</v>
      </c>
      <c r="L13" s="3029">
        <v>2677.11</v>
      </c>
      <c r="M13" s="3029">
        <v>1068.24</v>
      </c>
      <c r="N13" s="3029">
        <v>0</v>
      </c>
      <c r="O13" s="3029" t="s">
        <v>3658</v>
      </c>
      <c r="P13" s="3029" t="s">
        <v>3177</v>
      </c>
    </row>
    <row r="14" spans="1:16">
      <c r="A14" s="3029" t="s">
        <v>3659</v>
      </c>
      <c r="B14" s="3029" t="s">
        <v>3613</v>
      </c>
      <c r="C14" s="3029" t="s">
        <v>3614</v>
      </c>
      <c r="D14" s="3029">
        <v>41957.19</v>
      </c>
      <c r="E14" s="3029">
        <v>104893</v>
      </c>
      <c r="F14" s="3029" t="s">
        <v>3656</v>
      </c>
      <c r="G14" s="3029" t="s">
        <v>3120</v>
      </c>
      <c r="H14" s="3029" t="s">
        <v>3650</v>
      </c>
      <c r="I14" s="3029" t="s">
        <v>3660</v>
      </c>
      <c r="J14" s="3029" t="s">
        <v>3660</v>
      </c>
      <c r="K14" s="3029">
        <v>11080</v>
      </c>
      <c r="L14" s="3029">
        <v>11080</v>
      </c>
      <c r="M14" s="3029">
        <v>1056.3</v>
      </c>
      <c r="N14" s="3029">
        <v>0</v>
      </c>
      <c r="O14" s="3029" t="s">
        <v>3661</v>
      </c>
      <c r="P14" s="3029" t="s">
        <v>3215</v>
      </c>
    </row>
    <row r="15" spans="1:16">
      <c r="A15" s="3029" t="s">
        <v>3662</v>
      </c>
      <c r="B15" s="3029" t="s">
        <v>3613</v>
      </c>
      <c r="C15" s="3029" t="s">
        <v>3614</v>
      </c>
      <c r="D15" s="3029">
        <v>3911.43</v>
      </c>
      <c r="E15" s="3029">
        <v>704.06</v>
      </c>
      <c r="F15" s="3029">
        <v>0.18</v>
      </c>
      <c r="G15" s="3029" t="s">
        <v>3120</v>
      </c>
      <c r="H15" s="3029" t="s">
        <v>3631</v>
      </c>
      <c r="I15" s="3029" t="s">
        <v>3663</v>
      </c>
      <c r="J15" s="3029" t="s">
        <v>3663</v>
      </c>
      <c r="K15" s="3029">
        <v>3522</v>
      </c>
      <c r="L15" s="3029">
        <v>3522</v>
      </c>
      <c r="M15" s="3029">
        <v>50024.15</v>
      </c>
      <c r="N15" s="3029">
        <v>0</v>
      </c>
      <c r="O15" s="3029" t="s">
        <v>3664</v>
      </c>
      <c r="P15" s="3029" t="s">
        <v>3134</v>
      </c>
    </row>
    <row r="16" spans="1:16">
      <c r="A16" s="3029" t="s">
        <v>3665</v>
      </c>
      <c r="B16" s="3029" t="s">
        <v>3613</v>
      </c>
      <c r="C16" s="3029" t="s">
        <v>3614</v>
      </c>
      <c r="D16" s="3029">
        <v>155498</v>
      </c>
      <c r="E16" s="3029">
        <v>15549.8</v>
      </c>
      <c r="F16" s="3029" t="s">
        <v>3666</v>
      </c>
      <c r="G16" s="3029" t="s">
        <v>3120</v>
      </c>
      <c r="H16" s="3029" t="s">
        <v>3631</v>
      </c>
      <c r="I16" s="3029" t="s">
        <v>3667</v>
      </c>
      <c r="J16" s="3029" t="s">
        <v>3667</v>
      </c>
      <c r="K16" s="3029">
        <v>12783.11</v>
      </c>
      <c r="L16" s="3029">
        <v>12783.11</v>
      </c>
      <c r="M16" s="3029">
        <v>8220.76</v>
      </c>
      <c r="N16" s="3029">
        <v>0</v>
      </c>
      <c r="O16" s="3029" t="s">
        <v>3668</v>
      </c>
      <c r="P16" s="3029" t="s">
        <v>3134</v>
      </c>
    </row>
    <row r="17" spans="1:16">
      <c r="A17" s="3029" t="s">
        <v>3669</v>
      </c>
      <c r="B17" s="3029" t="s">
        <v>3613</v>
      </c>
      <c r="C17" s="3029" t="s">
        <v>3614</v>
      </c>
      <c r="D17" s="3029">
        <v>2411.3200000000002</v>
      </c>
      <c r="E17" s="3029">
        <v>2411.3200000000002</v>
      </c>
      <c r="F17" s="3029" t="s">
        <v>3670</v>
      </c>
      <c r="G17" s="3029" t="s">
        <v>3120</v>
      </c>
      <c r="H17" s="3029" t="s">
        <v>3631</v>
      </c>
      <c r="I17" s="3029" t="s">
        <v>3671</v>
      </c>
      <c r="J17" s="3029" t="s">
        <v>3671</v>
      </c>
      <c r="K17" s="3029">
        <v>2172</v>
      </c>
      <c r="L17" s="3029">
        <v>2322</v>
      </c>
      <c r="M17" s="3029">
        <v>9629.57</v>
      </c>
      <c r="N17" s="3029">
        <v>6.91</v>
      </c>
      <c r="O17" s="3029" t="s">
        <v>3672</v>
      </c>
      <c r="P17" s="3029" t="s">
        <v>3215</v>
      </c>
    </row>
    <row r="18" spans="1:16">
      <c r="A18" s="3029" t="s">
        <v>3673</v>
      </c>
      <c r="B18" s="3029" t="s">
        <v>3613</v>
      </c>
      <c r="C18" s="3029" t="s">
        <v>3614</v>
      </c>
      <c r="D18" s="3029">
        <v>2242.3000000000002</v>
      </c>
      <c r="E18" s="3029">
        <v>2242.3000000000002</v>
      </c>
      <c r="F18" s="3029" t="s">
        <v>3670</v>
      </c>
      <c r="G18" s="3029" t="s">
        <v>3120</v>
      </c>
      <c r="H18" s="3029" t="s">
        <v>3631</v>
      </c>
      <c r="I18" s="3029" t="s">
        <v>3674</v>
      </c>
      <c r="J18" s="3029" t="s">
        <v>3674</v>
      </c>
      <c r="K18" s="3029">
        <v>1848</v>
      </c>
      <c r="L18" s="3029">
        <v>1848</v>
      </c>
      <c r="M18" s="3029">
        <v>8241.5400000000009</v>
      </c>
      <c r="N18" s="3029">
        <v>0</v>
      </c>
      <c r="O18" s="3029" t="s">
        <v>3675</v>
      </c>
      <c r="P18" s="3029" t="s">
        <v>3215</v>
      </c>
    </row>
    <row r="19" spans="1:16" s="3030" customFormat="1">
      <c r="A19" s="3030" t="s">
        <v>3676</v>
      </c>
      <c r="B19" s="3030" t="s">
        <v>3613</v>
      </c>
      <c r="C19" s="3030" t="s">
        <v>3614</v>
      </c>
      <c r="D19" s="3030">
        <v>679.18</v>
      </c>
      <c r="E19" s="3030">
        <v>4075.08</v>
      </c>
      <c r="F19" s="3030">
        <v>6</v>
      </c>
      <c r="G19" s="3030" t="s">
        <v>3120</v>
      </c>
      <c r="H19" s="3030" t="s">
        <v>3631</v>
      </c>
      <c r="I19" s="3030" t="s">
        <v>3677</v>
      </c>
      <c r="J19" s="3030" t="s">
        <v>3677</v>
      </c>
      <c r="K19" s="3030">
        <v>621.5</v>
      </c>
      <c r="L19" s="3030">
        <v>621.5</v>
      </c>
      <c r="M19" s="3030">
        <v>1525.11</v>
      </c>
      <c r="N19" s="3030">
        <v>0</v>
      </c>
      <c r="O19" s="3030" t="s">
        <v>3678</v>
      </c>
      <c r="P19" s="3030" t="s">
        <v>3215</v>
      </c>
    </row>
    <row r="20" spans="1:16" s="3030" customFormat="1">
      <c r="A20" s="3030" t="s">
        <v>3679</v>
      </c>
      <c r="B20" s="3030" t="s">
        <v>3613</v>
      </c>
      <c r="C20" s="3030" t="s">
        <v>3614</v>
      </c>
      <c r="D20" s="3030">
        <v>11316.95</v>
      </c>
      <c r="E20" s="3030">
        <v>39609.33</v>
      </c>
      <c r="F20" s="3030">
        <v>3.5</v>
      </c>
      <c r="G20" s="3030" t="s">
        <v>3120</v>
      </c>
      <c r="H20" s="3030" t="s">
        <v>3626</v>
      </c>
      <c r="I20" s="3030" t="s">
        <v>3680</v>
      </c>
      <c r="J20" s="3030" t="s">
        <v>3680</v>
      </c>
      <c r="K20" s="3030">
        <v>8500</v>
      </c>
      <c r="L20" s="3030">
        <v>8500</v>
      </c>
      <c r="M20" s="3030">
        <v>2145.96</v>
      </c>
      <c r="N20" s="3030">
        <v>0</v>
      </c>
      <c r="O20" s="3030" t="s">
        <v>3681</v>
      </c>
      <c r="P20" s="3030" t="s">
        <v>3149</v>
      </c>
    </row>
    <row r="21" spans="1:16">
      <c r="A21" s="3029" t="s">
        <v>3682</v>
      </c>
      <c r="B21" s="3029" t="s">
        <v>3613</v>
      </c>
      <c r="C21" s="3029" t="s">
        <v>3614</v>
      </c>
      <c r="D21" s="3029">
        <v>33963.589999999997</v>
      </c>
      <c r="E21" s="3029">
        <v>40756.31</v>
      </c>
      <c r="F21" s="3029" t="s">
        <v>3683</v>
      </c>
      <c r="G21" s="3029" t="s">
        <v>3120</v>
      </c>
      <c r="H21" s="3029" t="s">
        <v>3631</v>
      </c>
      <c r="I21" s="3029" t="s">
        <v>3684</v>
      </c>
      <c r="J21" s="3029" t="s">
        <v>3684</v>
      </c>
      <c r="K21" s="3029">
        <v>40760</v>
      </c>
      <c r="L21" s="3029">
        <v>40760</v>
      </c>
      <c r="M21" s="3029">
        <v>10000.9</v>
      </c>
      <c r="N21" s="3029">
        <v>0</v>
      </c>
      <c r="O21" s="3029" t="s">
        <v>3685</v>
      </c>
      <c r="P21" s="3029" t="s">
        <v>3215</v>
      </c>
    </row>
    <row r="22" spans="1:16">
      <c r="A22" s="3029" t="s">
        <v>3686</v>
      </c>
      <c r="B22" s="3029" t="s">
        <v>3613</v>
      </c>
      <c r="C22" s="3029" t="s">
        <v>3614</v>
      </c>
      <c r="D22" s="3029">
        <v>49690.49</v>
      </c>
      <c r="E22" s="3029">
        <v>59628.59</v>
      </c>
      <c r="F22" s="3029" t="s">
        <v>3683</v>
      </c>
      <c r="G22" s="3029" t="s">
        <v>3120</v>
      </c>
      <c r="H22" s="3029" t="s">
        <v>3687</v>
      </c>
      <c r="I22" s="3029" t="s">
        <v>3688</v>
      </c>
      <c r="J22" s="3029" t="s">
        <v>3688</v>
      </c>
      <c r="K22" s="3029">
        <v>59632</v>
      </c>
      <c r="L22" s="3029">
        <v>59632</v>
      </c>
      <c r="M22" s="3029">
        <v>10000.56</v>
      </c>
      <c r="N22" s="3029">
        <v>0</v>
      </c>
      <c r="O22" s="3029" t="s">
        <v>3685</v>
      </c>
      <c r="P22" s="3029" t="s">
        <v>3215</v>
      </c>
    </row>
    <row r="23" spans="1:16">
      <c r="A23" s="3029" t="s">
        <v>3689</v>
      </c>
      <c r="B23" s="3029" t="s">
        <v>3613</v>
      </c>
      <c r="C23" s="3029" t="s">
        <v>3614</v>
      </c>
      <c r="D23" s="3029">
        <v>49690.49</v>
      </c>
      <c r="E23" s="3029">
        <v>59628.59</v>
      </c>
      <c r="F23" s="3029" t="s">
        <v>3683</v>
      </c>
      <c r="G23" s="3029" t="s">
        <v>3120</v>
      </c>
      <c r="H23" s="3029" t="s">
        <v>3631</v>
      </c>
      <c r="I23" s="3029" t="s">
        <v>3690</v>
      </c>
      <c r="J23" s="3029" t="s">
        <v>3690</v>
      </c>
      <c r="K23" s="3029" t="s">
        <v>1298</v>
      </c>
      <c r="L23" s="3029">
        <v>59632</v>
      </c>
      <c r="M23" s="3029">
        <v>10000.56</v>
      </c>
      <c r="N23" s="3029" t="s">
        <v>1298</v>
      </c>
      <c r="O23" s="3029" t="s">
        <v>3685</v>
      </c>
      <c r="P23" s="3029" t="s">
        <v>3149</v>
      </c>
    </row>
    <row r="24" spans="1:16">
      <c r="A24" s="3029" t="s">
        <v>3691</v>
      </c>
      <c r="B24" s="3029" t="s">
        <v>3613</v>
      </c>
      <c r="C24" s="3029" t="s">
        <v>3614</v>
      </c>
      <c r="D24" s="3029">
        <v>40669.96</v>
      </c>
      <c r="E24" s="3029">
        <v>122009.9</v>
      </c>
      <c r="F24" s="3029" t="s">
        <v>3692</v>
      </c>
      <c r="G24" s="3029" t="s">
        <v>3120</v>
      </c>
      <c r="H24" s="3029" t="s">
        <v>3631</v>
      </c>
      <c r="I24" s="3029" t="s">
        <v>3693</v>
      </c>
      <c r="J24" s="3029" t="s">
        <v>3693</v>
      </c>
      <c r="K24" s="3029">
        <v>7845.19</v>
      </c>
      <c r="L24" s="3029">
        <v>7845.19</v>
      </c>
      <c r="M24" s="3029">
        <v>643</v>
      </c>
      <c r="N24" s="3029">
        <v>0</v>
      </c>
      <c r="O24" s="3029" t="s">
        <v>3694</v>
      </c>
      <c r="P24" s="3029" t="s">
        <v>3134</v>
      </c>
    </row>
    <row r="25" spans="1:16">
      <c r="A25" s="3029" t="s">
        <v>3695</v>
      </c>
      <c r="B25" s="3029" t="s">
        <v>3613</v>
      </c>
      <c r="C25" s="3029" t="s">
        <v>3614</v>
      </c>
      <c r="D25" s="3029">
        <v>47763.23</v>
      </c>
      <c r="E25" s="3029">
        <v>52539.55</v>
      </c>
      <c r="F25" s="3029" t="s">
        <v>3696</v>
      </c>
      <c r="G25" s="3029" t="s">
        <v>3120</v>
      </c>
      <c r="H25" s="3029" t="s">
        <v>3631</v>
      </c>
      <c r="I25" s="3029" t="s">
        <v>3697</v>
      </c>
      <c r="J25" s="3029" t="s">
        <v>3697</v>
      </c>
      <c r="K25" s="3029">
        <v>12719.29</v>
      </c>
      <c r="L25" s="3029">
        <v>12719.29</v>
      </c>
      <c r="M25" s="3029">
        <v>2420.9</v>
      </c>
      <c r="N25" s="3029">
        <v>0</v>
      </c>
      <c r="O25" s="3029" t="s">
        <v>3698</v>
      </c>
      <c r="P25" s="3029" t="s">
        <v>3177</v>
      </c>
    </row>
    <row r="26" spans="1:16">
      <c r="A26" s="3029" t="s">
        <v>3699</v>
      </c>
      <c r="B26" s="3029" t="s">
        <v>3613</v>
      </c>
      <c r="C26" s="3029" t="s">
        <v>3614</v>
      </c>
      <c r="D26" s="3029">
        <v>95765.23</v>
      </c>
      <c r="E26" s="3029">
        <v>143647.79999999999</v>
      </c>
      <c r="F26" s="3029" t="s">
        <v>3700</v>
      </c>
      <c r="G26" s="3029" t="s">
        <v>3120</v>
      </c>
      <c r="H26" s="3029" t="s">
        <v>3631</v>
      </c>
      <c r="I26" s="3029" t="s">
        <v>3701</v>
      </c>
      <c r="J26" s="3029" t="s">
        <v>3701</v>
      </c>
      <c r="K26" s="3029">
        <v>35806.589999999997</v>
      </c>
      <c r="L26" s="3029">
        <v>35806.589999999997</v>
      </c>
      <c r="M26" s="3029">
        <v>2492.67</v>
      </c>
      <c r="N26" s="3029">
        <v>0</v>
      </c>
      <c r="O26" s="3029" t="s">
        <v>3702</v>
      </c>
      <c r="P26" s="3029" t="s">
        <v>3177</v>
      </c>
    </row>
    <row r="27" spans="1:16">
      <c r="A27" s="3029" t="s">
        <v>3703</v>
      </c>
      <c r="B27" s="3029" t="s">
        <v>3613</v>
      </c>
      <c r="C27" s="3029" t="s">
        <v>3614</v>
      </c>
      <c r="D27" s="3029">
        <v>86925.38</v>
      </c>
      <c r="E27" s="3029">
        <v>260776.1</v>
      </c>
      <c r="F27" s="3029" t="s">
        <v>3692</v>
      </c>
      <c r="G27" s="3029" t="s">
        <v>3120</v>
      </c>
      <c r="H27" s="3029" t="s">
        <v>3631</v>
      </c>
      <c r="I27" s="3029" t="s">
        <v>3704</v>
      </c>
      <c r="J27" s="3029" t="s">
        <v>3704</v>
      </c>
      <c r="K27" s="3029">
        <v>22168</v>
      </c>
      <c r="L27" s="3029">
        <v>22168</v>
      </c>
      <c r="M27" s="3029">
        <v>850.08</v>
      </c>
      <c r="N27" s="3029">
        <v>0</v>
      </c>
      <c r="O27" s="3029" t="s">
        <v>3705</v>
      </c>
      <c r="P27" s="3029" t="s">
        <v>3215</v>
      </c>
    </row>
    <row r="28" spans="1:16">
      <c r="A28" s="3029" t="s">
        <v>3706</v>
      </c>
      <c r="B28" s="3029" t="s">
        <v>3613</v>
      </c>
      <c r="C28" s="3029" t="s">
        <v>3614</v>
      </c>
      <c r="D28" s="3029">
        <v>33342.85</v>
      </c>
      <c r="E28" s="3029">
        <v>53348.56</v>
      </c>
      <c r="F28" s="3029" t="s">
        <v>3707</v>
      </c>
      <c r="G28" s="3029" t="s">
        <v>3120</v>
      </c>
      <c r="H28" s="3029" t="s">
        <v>3631</v>
      </c>
      <c r="I28" s="3029" t="s">
        <v>3708</v>
      </c>
      <c r="J28" s="3029" t="s">
        <v>3708</v>
      </c>
      <c r="K28" s="3029">
        <v>5501.1</v>
      </c>
      <c r="L28" s="3029">
        <v>6801.1</v>
      </c>
      <c r="M28" s="3029">
        <v>1274.83</v>
      </c>
      <c r="N28" s="3029">
        <v>23.63</v>
      </c>
      <c r="O28" s="3029" t="s">
        <v>3709</v>
      </c>
      <c r="P28" s="3029" t="s">
        <v>3177</v>
      </c>
    </row>
    <row r="29" spans="1:16">
      <c r="A29" s="3029" t="s">
        <v>3706</v>
      </c>
      <c r="B29" s="3029" t="s">
        <v>3613</v>
      </c>
      <c r="C29" s="3029" t="s">
        <v>3614</v>
      </c>
      <c r="D29" s="3029">
        <v>29141.19</v>
      </c>
      <c r="E29" s="3029">
        <v>46625.9</v>
      </c>
      <c r="F29" s="3029" t="s">
        <v>3707</v>
      </c>
      <c r="G29" s="3029" t="s">
        <v>3120</v>
      </c>
      <c r="H29" s="3029" t="s">
        <v>3631</v>
      </c>
      <c r="I29" s="3029" t="s">
        <v>3708</v>
      </c>
      <c r="J29" s="3029" t="s">
        <v>3708</v>
      </c>
      <c r="K29" s="3029">
        <v>4808.1000000000004</v>
      </c>
      <c r="L29" s="3029">
        <v>5908.1</v>
      </c>
      <c r="M29" s="3029">
        <v>1267.1300000000001</v>
      </c>
      <c r="N29" s="3029">
        <v>22.88</v>
      </c>
      <c r="O29" s="3029" t="s">
        <v>3709</v>
      </c>
      <c r="P29" s="3029" t="s">
        <v>3177</v>
      </c>
    </row>
    <row r="30" spans="1:16">
      <c r="A30" s="3029" t="s">
        <v>3710</v>
      </c>
      <c r="B30" s="3029" t="s">
        <v>3613</v>
      </c>
      <c r="C30" s="3029" t="s">
        <v>3614</v>
      </c>
      <c r="D30" s="3029">
        <v>49243.06</v>
      </c>
      <c r="E30" s="3029">
        <v>123107.6</v>
      </c>
      <c r="F30" s="3029" t="s">
        <v>3711</v>
      </c>
      <c r="G30" s="3029" t="s">
        <v>3120</v>
      </c>
      <c r="H30" s="3029" t="s">
        <v>3631</v>
      </c>
      <c r="I30" s="3029" t="s">
        <v>3712</v>
      </c>
      <c r="J30" s="3029" t="s">
        <v>3712</v>
      </c>
      <c r="K30" s="3029">
        <v>19953</v>
      </c>
      <c r="L30" s="3029">
        <v>19953</v>
      </c>
      <c r="M30" s="3029">
        <v>1620.77</v>
      </c>
      <c r="N30" s="3029">
        <v>0</v>
      </c>
      <c r="O30" s="3029" t="s">
        <v>3713</v>
      </c>
      <c r="P30" s="3029" t="s">
        <v>3134</v>
      </c>
    </row>
    <row r="31" spans="1:16">
      <c r="A31" s="3029" t="s">
        <v>3714</v>
      </c>
      <c r="B31" s="3029" t="s">
        <v>3613</v>
      </c>
      <c r="C31" s="3029" t="s">
        <v>3614</v>
      </c>
      <c r="D31" s="3029">
        <v>43337.02</v>
      </c>
      <c r="E31" s="3029">
        <v>135593</v>
      </c>
      <c r="F31" s="3029" t="s">
        <v>3715</v>
      </c>
      <c r="G31" s="3029" t="s">
        <v>3120</v>
      </c>
      <c r="H31" s="3029" t="s">
        <v>3716</v>
      </c>
      <c r="I31" s="3029" t="s">
        <v>3717</v>
      </c>
      <c r="J31" s="3029" t="s">
        <v>3717</v>
      </c>
      <c r="K31" s="3029">
        <v>3948</v>
      </c>
      <c r="L31" s="3029">
        <v>3948</v>
      </c>
      <c r="M31" s="3029">
        <v>291.17</v>
      </c>
      <c r="N31" s="3029">
        <v>0</v>
      </c>
      <c r="O31" s="3029" t="s">
        <v>3718</v>
      </c>
      <c r="P31" s="3029" t="s">
        <v>3215</v>
      </c>
    </row>
    <row r="32" spans="1:16">
      <c r="A32" s="3029" t="s">
        <v>3719</v>
      </c>
      <c r="B32" s="3029" t="s">
        <v>3613</v>
      </c>
      <c r="C32" s="3029" t="s">
        <v>3614</v>
      </c>
      <c r="D32" s="3029">
        <v>19253.95</v>
      </c>
      <c r="E32" s="3029">
        <v>48034.74</v>
      </c>
      <c r="F32" s="3029" t="s">
        <v>3715</v>
      </c>
      <c r="G32" s="3029" t="s">
        <v>3120</v>
      </c>
      <c r="H32" s="3029" t="s">
        <v>3716</v>
      </c>
      <c r="I32" s="3029" t="s">
        <v>3717</v>
      </c>
      <c r="J32" s="3029" t="s">
        <v>3717</v>
      </c>
      <c r="K32" s="3029">
        <v>1580</v>
      </c>
      <c r="L32" s="3029">
        <v>1580</v>
      </c>
      <c r="M32" s="3029">
        <v>328.93</v>
      </c>
      <c r="N32" s="3029">
        <v>0</v>
      </c>
      <c r="O32" s="3029" t="s">
        <v>3718</v>
      </c>
      <c r="P32" s="3029" t="s">
        <v>3215</v>
      </c>
    </row>
    <row r="33" spans="1:16">
      <c r="A33" s="3029" t="s">
        <v>3720</v>
      </c>
      <c r="B33" s="3029" t="s">
        <v>3613</v>
      </c>
      <c r="C33" s="3029" t="s">
        <v>3614</v>
      </c>
      <c r="D33" s="3029">
        <v>6725.63</v>
      </c>
      <c r="E33" s="3029">
        <v>14796.39</v>
      </c>
      <c r="F33" s="3029" t="s">
        <v>3721</v>
      </c>
      <c r="G33" s="3029" t="s">
        <v>3120</v>
      </c>
      <c r="H33" s="3029" t="s">
        <v>3631</v>
      </c>
      <c r="I33" s="3029" t="s">
        <v>3722</v>
      </c>
      <c r="J33" s="3029" t="s">
        <v>3722</v>
      </c>
      <c r="K33" s="3029">
        <v>1816</v>
      </c>
      <c r="L33" s="3029">
        <v>1816</v>
      </c>
      <c r="M33" s="3029">
        <v>1227.32</v>
      </c>
      <c r="N33" s="3029">
        <v>0</v>
      </c>
      <c r="O33" s="3029" t="s">
        <v>3723</v>
      </c>
      <c r="P33" s="3029" t="s">
        <v>3215</v>
      </c>
    </row>
    <row r="34" spans="1:16">
      <c r="A34" s="3029" t="s">
        <v>3720</v>
      </c>
      <c r="B34" s="3029" t="s">
        <v>3613</v>
      </c>
      <c r="C34" s="3029" t="s">
        <v>3614</v>
      </c>
      <c r="D34" s="3029">
        <v>111390.6</v>
      </c>
      <c r="E34" s="3029">
        <v>167086</v>
      </c>
      <c r="F34" s="3029" t="s">
        <v>3724</v>
      </c>
      <c r="G34" s="3029" t="s">
        <v>3120</v>
      </c>
      <c r="H34" s="3029" t="s">
        <v>3626</v>
      </c>
      <c r="I34" s="3029" t="s">
        <v>3722</v>
      </c>
      <c r="J34" s="3029" t="s">
        <v>3722</v>
      </c>
      <c r="K34" s="3029">
        <v>7455</v>
      </c>
      <c r="L34" s="3029">
        <v>7455</v>
      </c>
      <c r="M34" s="3029">
        <v>446.18</v>
      </c>
      <c r="N34" s="3029">
        <v>0</v>
      </c>
      <c r="O34" s="3029" t="s">
        <v>3725</v>
      </c>
      <c r="P34" s="3029" t="s">
        <v>3215</v>
      </c>
    </row>
    <row r="35" spans="1:16">
      <c r="A35" s="3029" t="s">
        <v>3726</v>
      </c>
      <c r="B35" s="3029" t="s">
        <v>3613</v>
      </c>
      <c r="C35" s="3029" t="s">
        <v>3614</v>
      </c>
      <c r="D35" s="3029">
        <v>33256.620000000003</v>
      </c>
      <c r="E35" s="3029">
        <v>83141.55</v>
      </c>
      <c r="F35" s="3029" t="s">
        <v>3727</v>
      </c>
      <c r="G35" s="3029" t="s">
        <v>3120</v>
      </c>
      <c r="H35" s="3029" t="s">
        <v>3631</v>
      </c>
      <c r="I35" s="3029" t="s">
        <v>3728</v>
      </c>
      <c r="J35" s="3029" t="s">
        <v>3728</v>
      </c>
      <c r="K35" s="3029">
        <v>6868.19</v>
      </c>
      <c r="L35" s="3029">
        <v>6868.19</v>
      </c>
      <c r="M35" s="3029">
        <v>826.09</v>
      </c>
      <c r="N35" s="3029">
        <v>0</v>
      </c>
      <c r="O35" s="3029" t="s">
        <v>3729</v>
      </c>
      <c r="P35" s="3029" t="s">
        <v>3215</v>
      </c>
    </row>
    <row r="36" spans="1:16">
      <c r="A36" s="3029" t="s">
        <v>3730</v>
      </c>
      <c r="B36" s="3029" t="s">
        <v>3613</v>
      </c>
      <c r="C36" s="3029" t="s">
        <v>3614</v>
      </c>
      <c r="D36" s="3029">
        <v>26895.17</v>
      </c>
      <c r="E36" s="3029">
        <v>80685.509999999995</v>
      </c>
      <c r="F36" s="3029" t="s">
        <v>3692</v>
      </c>
      <c r="G36" s="3029" t="s">
        <v>3120</v>
      </c>
      <c r="H36" s="3029" t="s">
        <v>3631</v>
      </c>
      <c r="I36" s="3029" t="s">
        <v>3731</v>
      </c>
      <c r="J36" s="3029" t="s">
        <v>3731</v>
      </c>
      <c r="K36" s="3029">
        <v>4062.19</v>
      </c>
      <c r="L36" s="3029">
        <v>4062.19</v>
      </c>
      <c r="M36" s="3029">
        <v>503.45</v>
      </c>
      <c r="N36" s="3029">
        <v>0</v>
      </c>
      <c r="O36" s="3029" t="s">
        <v>3705</v>
      </c>
      <c r="P36" s="3029" t="s">
        <v>3215</v>
      </c>
    </row>
    <row r="37" spans="1:16">
      <c r="A37" s="3029" t="s">
        <v>3732</v>
      </c>
      <c r="B37" s="3029" t="s">
        <v>3613</v>
      </c>
      <c r="C37" s="3029" t="s">
        <v>3614</v>
      </c>
      <c r="D37" s="3029">
        <v>75402.41</v>
      </c>
      <c r="E37" s="3029">
        <v>218666.99</v>
      </c>
      <c r="F37" s="3029" t="s">
        <v>3733</v>
      </c>
      <c r="G37" s="3029" t="s">
        <v>3120</v>
      </c>
      <c r="H37" s="3029" t="s">
        <v>3631</v>
      </c>
      <c r="I37" s="3029" t="s">
        <v>3734</v>
      </c>
      <c r="J37" s="3029" t="s">
        <v>3734</v>
      </c>
      <c r="K37" s="3029">
        <v>7804.14</v>
      </c>
      <c r="L37" s="3029">
        <v>7804.14</v>
      </c>
      <c r="M37" s="3029">
        <v>356.89</v>
      </c>
      <c r="N37" s="3029">
        <v>0</v>
      </c>
      <c r="O37" s="3029" t="s">
        <v>3735</v>
      </c>
      <c r="P37" s="3029" t="s">
        <v>3215</v>
      </c>
    </row>
    <row r="38" spans="1:16">
      <c r="A38" s="3029" t="s">
        <v>3732</v>
      </c>
      <c r="B38" s="3029" t="s">
        <v>3613</v>
      </c>
      <c r="C38" s="3029" t="s">
        <v>3614</v>
      </c>
      <c r="D38" s="3029">
        <v>97738.37</v>
      </c>
      <c r="E38" s="3029">
        <v>361631.97</v>
      </c>
      <c r="F38" s="3029" t="s">
        <v>3736</v>
      </c>
      <c r="G38" s="3029" t="s">
        <v>3120</v>
      </c>
      <c r="H38" s="3029" t="s">
        <v>3631</v>
      </c>
      <c r="I38" s="3029" t="s">
        <v>3734</v>
      </c>
      <c r="J38" s="3029" t="s">
        <v>3734</v>
      </c>
      <c r="K38" s="3029">
        <v>10115.92</v>
      </c>
      <c r="L38" s="3029">
        <v>10115.92</v>
      </c>
      <c r="M38" s="3029">
        <v>279.73</v>
      </c>
      <c r="N38" s="3029">
        <v>0</v>
      </c>
      <c r="O38" s="3029" t="s">
        <v>3735</v>
      </c>
      <c r="P38" s="3029" t="s">
        <v>3215</v>
      </c>
    </row>
    <row r="39" spans="1:16">
      <c r="A39" s="3029" t="s">
        <v>3737</v>
      </c>
      <c r="B39" s="3029" t="s">
        <v>3613</v>
      </c>
      <c r="C39" s="3029" t="s">
        <v>3614</v>
      </c>
      <c r="D39" s="3029">
        <v>21852.38</v>
      </c>
      <c r="E39" s="3029">
        <v>43704.76</v>
      </c>
      <c r="F39" s="3029" t="s">
        <v>3738</v>
      </c>
      <c r="G39" s="3029" t="s">
        <v>3120</v>
      </c>
      <c r="H39" s="3029" t="s">
        <v>3739</v>
      </c>
      <c r="I39" s="3029" t="s">
        <v>3740</v>
      </c>
      <c r="J39" s="3029" t="s">
        <v>3740</v>
      </c>
      <c r="K39" s="3029">
        <v>6567</v>
      </c>
      <c r="L39" s="3029">
        <v>6598.3</v>
      </c>
      <c r="M39" s="3029">
        <v>1509.74</v>
      </c>
      <c r="N39" s="3029">
        <v>0.48</v>
      </c>
      <c r="O39" s="3029" t="s">
        <v>3741</v>
      </c>
      <c r="P39" s="3029" t="s">
        <v>3134</v>
      </c>
    </row>
    <row r="40" spans="1:16">
      <c r="A40" s="3029" t="s">
        <v>3742</v>
      </c>
      <c r="B40" s="3029" t="s">
        <v>3613</v>
      </c>
      <c r="C40" s="3029" t="s">
        <v>3614</v>
      </c>
      <c r="D40" s="3029">
        <v>15619.88</v>
      </c>
      <c r="E40" s="3029">
        <v>31239.759999999998</v>
      </c>
      <c r="F40" s="3029" t="s">
        <v>3743</v>
      </c>
      <c r="G40" s="3029" t="s">
        <v>3120</v>
      </c>
      <c r="H40" s="3029" t="s">
        <v>3631</v>
      </c>
      <c r="I40" s="3029" t="s">
        <v>3740</v>
      </c>
      <c r="J40" s="3029" t="s">
        <v>3740</v>
      </c>
      <c r="K40" s="3029">
        <v>2359.19</v>
      </c>
      <c r="L40" s="3029">
        <v>2359.3000000000002</v>
      </c>
      <c r="M40" s="3029">
        <v>755.22</v>
      </c>
      <c r="N40" s="3029">
        <v>0</v>
      </c>
      <c r="O40" s="3029" t="s">
        <v>3744</v>
      </c>
      <c r="P40" s="3029" t="s">
        <v>3745</v>
      </c>
    </row>
    <row r="41" spans="1:16">
      <c r="A41" s="3029" t="s">
        <v>3737</v>
      </c>
      <c r="B41" s="3029" t="s">
        <v>3613</v>
      </c>
      <c r="C41" s="3029" t="s">
        <v>3614</v>
      </c>
      <c r="D41" s="3029">
        <v>4667.5</v>
      </c>
      <c r="E41" s="3029">
        <v>9335</v>
      </c>
      <c r="F41" s="3029" t="s">
        <v>3738</v>
      </c>
      <c r="G41" s="3029" t="s">
        <v>3120</v>
      </c>
      <c r="H41" s="3029" t="s">
        <v>3739</v>
      </c>
      <c r="I41" s="3029" t="s">
        <v>3740</v>
      </c>
      <c r="J41" s="3029" t="s">
        <v>3740</v>
      </c>
      <c r="K41" s="3029">
        <v>1410.7</v>
      </c>
      <c r="L41" s="3029">
        <v>1410.7</v>
      </c>
      <c r="M41" s="3029">
        <v>1511.19</v>
      </c>
      <c r="N41" s="3029">
        <v>0</v>
      </c>
      <c r="O41" s="3029" t="s">
        <v>3741</v>
      </c>
      <c r="P41" s="3029" t="s">
        <v>3215</v>
      </c>
    </row>
    <row r="42" spans="1:16">
      <c r="A42" s="3029" t="s">
        <v>3746</v>
      </c>
      <c r="B42" s="3029" t="s">
        <v>3613</v>
      </c>
      <c r="C42" s="3029" t="s">
        <v>3614</v>
      </c>
      <c r="D42" s="3029">
        <v>61482.99</v>
      </c>
      <c r="E42" s="3029">
        <v>73779.59</v>
      </c>
      <c r="F42" s="3029" t="s">
        <v>3747</v>
      </c>
      <c r="G42" s="3029" t="s">
        <v>3120</v>
      </c>
      <c r="H42" s="3029" t="s">
        <v>3631</v>
      </c>
      <c r="I42" s="3029" t="s">
        <v>3748</v>
      </c>
      <c r="J42" s="3029" t="s">
        <v>3748</v>
      </c>
      <c r="K42" s="3029">
        <v>10495.6</v>
      </c>
      <c r="L42" s="3029">
        <v>10495.6</v>
      </c>
      <c r="M42" s="3029">
        <v>1422.55</v>
      </c>
      <c r="N42" s="3029">
        <v>0</v>
      </c>
      <c r="O42" s="3029" t="s">
        <v>3749</v>
      </c>
      <c r="P42" s="3029" t="s">
        <v>3745</v>
      </c>
    </row>
    <row r="43" spans="1:16">
      <c r="A43" s="3029" t="s">
        <v>3750</v>
      </c>
      <c r="B43" s="3029" t="s">
        <v>3613</v>
      </c>
      <c r="C43" s="3029" t="s">
        <v>3614</v>
      </c>
      <c r="D43" s="3029">
        <v>66013.39</v>
      </c>
      <c r="E43" s="3029">
        <v>253095.7</v>
      </c>
      <c r="F43" s="3029" t="s">
        <v>3736</v>
      </c>
      <c r="G43" s="3029" t="s">
        <v>3120</v>
      </c>
      <c r="H43" s="3029" t="s">
        <v>1343</v>
      </c>
      <c r="I43" s="3029" t="s">
        <v>3751</v>
      </c>
      <c r="J43" s="3029" t="s">
        <v>3751</v>
      </c>
      <c r="K43" s="3029">
        <v>17824</v>
      </c>
      <c r="L43" s="3029">
        <v>17824</v>
      </c>
      <c r="M43" s="3029">
        <v>704.24</v>
      </c>
      <c r="N43" s="3029">
        <v>0</v>
      </c>
      <c r="O43" s="3029" t="s">
        <v>3752</v>
      </c>
      <c r="P43" s="3029" t="s">
        <v>3134</v>
      </c>
    </row>
    <row r="44" spans="1:16">
      <c r="A44" s="3029" t="s">
        <v>3753</v>
      </c>
      <c r="B44" s="3029" t="s">
        <v>3613</v>
      </c>
      <c r="C44" s="3029" t="s">
        <v>3614</v>
      </c>
      <c r="D44" s="3029">
        <v>43950</v>
      </c>
      <c r="E44" s="3029">
        <v>109875</v>
      </c>
      <c r="F44" s="3029" t="s">
        <v>3140</v>
      </c>
      <c r="G44" s="3029" t="s">
        <v>3120</v>
      </c>
      <c r="H44" s="3029" t="s">
        <v>3754</v>
      </c>
      <c r="I44" s="3029" t="s">
        <v>3755</v>
      </c>
      <c r="J44" s="3029" t="s">
        <v>3755</v>
      </c>
      <c r="K44" s="3029">
        <v>11811</v>
      </c>
      <c r="L44" s="3029">
        <v>11811</v>
      </c>
      <c r="M44" s="3029">
        <v>1074.95</v>
      </c>
      <c r="N44" s="3029">
        <v>0</v>
      </c>
      <c r="O44" s="3029" t="s">
        <v>3756</v>
      </c>
      <c r="P44" s="3029" t="s">
        <v>3149</v>
      </c>
    </row>
    <row r="45" spans="1:16">
      <c r="A45" s="3029" t="s">
        <v>3753</v>
      </c>
      <c r="B45" s="3029" t="s">
        <v>3613</v>
      </c>
      <c r="C45" s="3029" t="s">
        <v>3614</v>
      </c>
      <c r="D45" s="3029">
        <v>53095.4</v>
      </c>
      <c r="E45" s="3029">
        <v>132738.5</v>
      </c>
      <c r="F45" s="3029" t="s">
        <v>3140</v>
      </c>
      <c r="G45" s="3029" t="s">
        <v>3120</v>
      </c>
      <c r="H45" s="3029" t="s">
        <v>3754</v>
      </c>
      <c r="I45" s="3029" t="s">
        <v>3757</v>
      </c>
      <c r="J45" s="3029" t="s">
        <v>3757</v>
      </c>
      <c r="K45" s="3029">
        <v>10747</v>
      </c>
      <c r="L45" s="3029">
        <v>10747</v>
      </c>
      <c r="M45" s="3029">
        <v>809.63</v>
      </c>
      <c r="N45" s="3029">
        <v>0</v>
      </c>
      <c r="O45" s="3029" t="s">
        <v>3756</v>
      </c>
      <c r="P45" s="3029" t="s">
        <v>3149</v>
      </c>
    </row>
    <row r="46" spans="1:16">
      <c r="A46" s="3029" t="s">
        <v>3758</v>
      </c>
      <c r="B46" s="3029" t="s">
        <v>3613</v>
      </c>
      <c r="C46" s="3029" t="s">
        <v>3614</v>
      </c>
      <c r="D46" s="3029">
        <v>111020.2</v>
      </c>
      <c r="E46" s="3029">
        <v>122122.2</v>
      </c>
      <c r="F46" s="3029" t="s">
        <v>3696</v>
      </c>
      <c r="G46" s="3029" t="s">
        <v>3120</v>
      </c>
      <c r="H46" s="3029" t="s">
        <v>3631</v>
      </c>
      <c r="I46" s="3029" t="s">
        <v>3759</v>
      </c>
      <c r="J46" s="3029" t="s">
        <v>3759</v>
      </c>
      <c r="K46" s="3029">
        <v>18319</v>
      </c>
      <c r="L46" s="3029">
        <v>18319</v>
      </c>
      <c r="M46" s="3029">
        <v>1500.04</v>
      </c>
      <c r="N46" s="3029">
        <v>0</v>
      </c>
      <c r="O46" s="3029" t="s">
        <v>3705</v>
      </c>
      <c r="P46" s="3029" t="s">
        <v>3149</v>
      </c>
    </row>
    <row r="47" spans="1:16">
      <c r="A47" s="3029" t="s">
        <v>3753</v>
      </c>
      <c r="B47" s="3029" t="s">
        <v>3613</v>
      </c>
      <c r="C47" s="3029" t="s">
        <v>3614</v>
      </c>
      <c r="D47" s="3029">
        <v>63184.5</v>
      </c>
      <c r="E47" s="3029">
        <v>157961.25</v>
      </c>
      <c r="F47" s="3029" t="s">
        <v>3140</v>
      </c>
      <c r="G47" s="3029" t="s">
        <v>3120</v>
      </c>
      <c r="H47" s="3029" t="s">
        <v>3754</v>
      </c>
      <c r="I47" s="3029" t="s">
        <v>3759</v>
      </c>
      <c r="J47" s="3029" t="s">
        <v>3759</v>
      </c>
      <c r="K47" s="3029">
        <v>15409</v>
      </c>
      <c r="L47" s="3029">
        <v>15409</v>
      </c>
      <c r="M47" s="3029">
        <v>975.49</v>
      </c>
      <c r="N47" s="3029">
        <v>0</v>
      </c>
      <c r="O47" s="3029" t="s">
        <v>3756</v>
      </c>
      <c r="P47" s="3029" t="s">
        <v>3149</v>
      </c>
    </row>
    <row r="48" spans="1:16">
      <c r="A48" s="3029" t="s">
        <v>3760</v>
      </c>
      <c r="B48" s="3029" t="s">
        <v>3613</v>
      </c>
      <c r="C48" s="3029" t="s">
        <v>3614</v>
      </c>
      <c r="D48" s="3029">
        <v>26279</v>
      </c>
      <c r="E48" s="3029">
        <v>131395</v>
      </c>
      <c r="F48" s="3029" t="s">
        <v>3761</v>
      </c>
      <c r="G48" s="3029" t="s">
        <v>3120</v>
      </c>
      <c r="H48" s="3029" t="s">
        <v>3754</v>
      </c>
      <c r="I48" s="3029" t="s">
        <v>3762</v>
      </c>
      <c r="J48" s="3029" t="s">
        <v>3762</v>
      </c>
      <c r="K48" s="3029">
        <v>7727</v>
      </c>
      <c r="L48" s="3029">
        <v>7727</v>
      </c>
      <c r="M48" s="3029">
        <v>588.07000000000005</v>
      </c>
      <c r="N48" s="3029">
        <v>0</v>
      </c>
      <c r="O48" s="3029" t="s">
        <v>3763</v>
      </c>
      <c r="P48" s="3029" t="s">
        <v>3134</v>
      </c>
    </row>
    <row r="49" spans="1:16">
      <c r="A49" s="3029" t="s">
        <v>3764</v>
      </c>
      <c r="B49" s="3029" t="s">
        <v>3613</v>
      </c>
      <c r="C49" s="3029" t="s">
        <v>3614</v>
      </c>
      <c r="D49" s="3029">
        <v>98201.81</v>
      </c>
      <c r="E49" s="3029">
        <v>260234.8</v>
      </c>
      <c r="F49" s="3029" t="s">
        <v>3765</v>
      </c>
      <c r="G49" s="3029" t="s">
        <v>3120</v>
      </c>
      <c r="H49" s="3029" t="s">
        <v>3631</v>
      </c>
      <c r="I49" s="3029" t="s">
        <v>3766</v>
      </c>
      <c r="J49" s="3029" t="s">
        <v>3766</v>
      </c>
      <c r="K49" s="3029">
        <v>19886</v>
      </c>
      <c r="L49" s="3029">
        <v>19886</v>
      </c>
      <c r="M49" s="3029">
        <v>764.15</v>
      </c>
      <c r="N49" s="3029">
        <v>0</v>
      </c>
      <c r="O49" s="3029" t="s">
        <v>3661</v>
      </c>
      <c r="P49" s="3029" t="s">
        <v>3149</v>
      </c>
    </row>
    <row r="50" spans="1:16">
      <c r="A50" s="3029" t="s">
        <v>3767</v>
      </c>
      <c r="B50" s="3029" t="s">
        <v>3613</v>
      </c>
      <c r="C50" s="3029" t="s">
        <v>3614</v>
      </c>
      <c r="D50" s="3029">
        <v>8306.77</v>
      </c>
      <c r="E50" s="3029">
        <v>66454.16</v>
      </c>
      <c r="F50" s="3029" t="s">
        <v>3768</v>
      </c>
      <c r="G50" s="3029" t="s">
        <v>3120</v>
      </c>
      <c r="H50" s="3029" t="s">
        <v>1343</v>
      </c>
      <c r="I50" s="3029" t="s">
        <v>3769</v>
      </c>
      <c r="J50" s="3029" t="s">
        <v>3769</v>
      </c>
      <c r="K50" s="3029">
        <v>6882</v>
      </c>
      <c r="L50" s="3029">
        <v>9882</v>
      </c>
      <c r="M50" s="3029">
        <v>1487.03</v>
      </c>
      <c r="N50" s="3029">
        <v>43.59</v>
      </c>
      <c r="O50" s="3029" t="s">
        <v>3770</v>
      </c>
      <c r="P50" s="3029" t="s">
        <v>3215</v>
      </c>
    </row>
    <row r="51" spans="1:16">
      <c r="A51" s="3029" t="s">
        <v>3771</v>
      </c>
      <c r="B51" s="3029" t="s">
        <v>3613</v>
      </c>
      <c r="C51" s="3029" t="s">
        <v>3614</v>
      </c>
      <c r="D51" s="3029">
        <v>2202.94</v>
      </c>
      <c r="E51" s="3029">
        <v>11905.64</v>
      </c>
      <c r="F51" s="3029" t="s">
        <v>1298</v>
      </c>
      <c r="G51" s="3029" t="s">
        <v>3120</v>
      </c>
      <c r="H51" s="3029" t="s">
        <v>1343</v>
      </c>
      <c r="I51" s="3029" t="s">
        <v>3772</v>
      </c>
      <c r="J51" s="3029" t="s">
        <v>3772</v>
      </c>
      <c r="K51" s="3029">
        <v>6856</v>
      </c>
      <c r="L51" s="3029">
        <v>6856</v>
      </c>
      <c r="M51" s="3029">
        <v>5758.61</v>
      </c>
      <c r="N51" s="3029">
        <v>0</v>
      </c>
      <c r="O51" s="3029" t="s">
        <v>3773</v>
      </c>
      <c r="P51" s="3029" t="s">
        <v>3149</v>
      </c>
    </row>
  </sheetData>
  <phoneticPr fontId="140" type="noConversion"/>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2"/>
  <sheetViews>
    <sheetView view="pageLayout" zoomScale="90" zoomScaleNormal="100" zoomScalePageLayoutView="90" workbookViewId="0">
      <selection sqref="A1:XFD1048576"/>
    </sheetView>
  </sheetViews>
  <sheetFormatPr defaultColWidth="9" defaultRowHeight="14.25"/>
  <cols>
    <col min="1" max="1" width="27.625" style="1652" customWidth="1"/>
    <col min="2" max="9" width="12.125" style="1652" customWidth="1"/>
    <col min="10" max="16384" width="9" style="1652"/>
  </cols>
  <sheetData>
    <row r="1" spans="1:9" ht="18.75" thickBot="1">
      <c r="A1" s="3183" t="str">
        <f>IF(项目基本情况!B9="房地产市场价值","估价结果一览表","结果表-2")</f>
        <v>结果表-2</v>
      </c>
      <c r="B1" s="3183"/>
      <c r="C1" s="3183"/>
      <c r="D1" s="3183"/>
      <c r="E1" s="3183"/>
      <c r="F1" s="3183"/>
      <c r="G1" s="3183"/>
      <c r="H1" s="3183"/>
      <c r="I1" s="3183"/>
    </row>
    <row r="2" spans="1:9" ht="30" customHeight="1" thickTop="1">
      <c r="A2" s="3184" t="s">
        <v>1606</v>
      </c>
      <c r="B2" s="3184" t="s">
        <v>1607</v>
      </c>
      <c r="C2" s="3184" t="s">
        <v>1608</v>
      </c>
      <c r="D2" s="3184" t="str">
        <f>结果表!D116</f>
        <v>出让国有建设用地使用权价值</v>
      </c>
      <c r="E2" s="3184"/>
      <c r="F2" s="3184" t="str">
        <f>结果表!F116</f>
        <v>在建建筑物价值</v>
      </c>
      <c r="G2" s="3184"/>
      <c r="H2" s="3184" t="str">
        <f>IF(项目基本情况!B9="房地产市场价值","房地产市场价值","房地产价值")</f>
        <v>房地产价值</v>
      </c>
      <c r="I2" s="3184"/>
    </row>
    <row r="3" spans="1:9" ht="15">
      <c r="A3" s="3178"/>
      <c r="B3" s="3178"/>
      <c r="C3" s="3178"/>
      <c r="D3" s="960" t="s">
        <v>1603</v>
      </c>
      <c r="E3" s="960" t="s">
        <v>1609</v>
      </c>
      <c r="F3" s="960" t="s">
        <v>1603</v>
      </c>
      <c r="G3" s="960" t="s">
        <v>1604</v>
      </c>
      <c r="H3" s="960" t="s">
        <v>1603</v>
      </c>
      <c r="I3" s="960" t="s">
        <v>1604</v>
      </c>
    </row>
    <row r="4" spans="1:9" ht="45">
      <c r="A4" s="1680" t="str">
        <f>项目基本情况!S2</f>
        <v>湖南省湘潭市岳塘区芙蓉路以南、晓塘路以北万达酒店出让国有建设用地使用权及在建建筑物房地产</v>
      </c>
      <c r="B4" s="960">
        <f>项目基本情况!C17</f>
        <v>29932.760000000009</v>
      </c>
      <c r="C4" s="960">
        <f>项目基本情况!C18</f>
        <v>0</v>
      </c>
      <c r="D4" s="960" t="e">
        <f ca="1">结果表!D118</f>
        <v>#REF!</v>
      </c>
      <c r="E4" s="960" t="e">
        <f ca="1">结果表!E118</f>
        <v>#REF!</v>
      </c>
      <c r="F4" s="960" t="e">
        <f ca="1">结果表!F118</f>
        <v>#REF!</v>
      </c>
      <c r="G4" s="960" t="e">
        <f ca="1">结果表!G118</f>
        <v>#REF!</v>
      </c>
      <c r="H4" s="960" t="e">
        <f ca="1">结果表!H118</f>
        <v>#REF!</v>
      </c>
      <c r="I4" s="960" t="e">
        <f ca="1">结果表!I118</f>
        <v>#REF!</v>
      </c>
    </row>
    <row r="5" spans="1:9" ht="30" customHeight="1">
      <c r="A5" s="3178" t="s">
        <v>1605</v>
      </c>
      <c r="B5" s="3178"/>
      <c r="C5" s="3178"/>
      <c r="D5" s="3179" t="e">
        <f ca="1">结果表!D119</f>
        <v>#REF!</v>
      </c>
      <c r="E5" s="3179"/>
      <c r="F5" s="3179" t="e">
        <f ca="1">结果表!F119</f>
        <v>#REF!</v>
      </c>
      <c r="G5" s="3179"/>
      <c r="H5" s="3179" t="e">
        <f ca="1">结果表!H119</f>
        <v>#REF!</v>
      </c>
      <c r="I5" s="3179"/>
    </row>
    <row r="6" spans="1:9" ht="15.75">
      <c r="A6" s="3177" t="str">
        <f>结果表!A120</f>
        <v>估价师知悉的法定优先受偿款</v>
      </c>
      <c r="B6" s="3177"/>
      <c r="C6" s="3177"/>
      <c r="D6" s="3177">
        <f>结果表!D120</f>
        <v>0</v>
      </c>
      <c r="E6" s="3177"/>
      <c r="F6" s="3177"/>
      <c r="G6" s="3177"/>
      <c r="H6" s="3177"/>
      <c r="I6" s="3177"/>
    </row>
    <row r="7" spans="1:9" ht="15">
      <c r="A7" s="3178" t="s">
        <v>1605</v>
      </c>
      <c r="B7" s="3178"/>
      <c r="C7" s="3178"/>
      <c r="D7" s="3180" t="str">
        <f>结果表!D121</f>
        <v>零元整</v>
      </c>
      <c r="E7" s="3181"/>
      <c r="F7" s="3181"/>
      <c r="G7" s="3181"/>
      <c r="H7" s="3181"/>
      <c r="I7" s="3182"/>
    </row>
    <row r="8" spans="1:9" ht="15.75">
      <c r="A8" s="3177" t="str">
        <f>结果表!A122</f>
        <v>房地产抵押价值</v>
      </c>
      <c r="B8" s="3177"/>
      <c r="C8" s="3177"/>
      <c r="D8" s="3177" t="e">
        <f ca="1">结果表!D122</f>
        <v>#REF!</v>
      </c>
      <c r="E8" s="3177"/>
      <c r="F8" s="3177"/>
      <c r="G8" s="3177"/>
      <c r="H8" s="3177"/>
      <c r="I8" s="3177"/>
    </row>
    <row r="9" spans="1:9" ht="15">
      <c r="A9" s="3178" t="s">
        <v>1605</v>
      </c>
      <c r="B9" s="3178"/>
      <c r="C9" s="3178"/>
      <c r="D9" s="3179" t="e">
        <f ca="1">结果表!D123</f>
        <v>#REF!</v>
      </c>
      <c r="E9" s="3179"/>
      <c r="F9" s="3179"/>
      <c r="G9" s="3179"/>
      <c r="H9" s="3179"/>
      <c r="I9" s="3179"/>
    </row>
    <row r="10" spans="1:9" ht="15.75">
      <c r="A10" s="3177" t="str">
        <f>结果表!A124</f>
        <v/>
      </c>
      <c r="B10" s="3177"/>
      <c r="C10" s="3177"/>
      <c r="D10" s="3177" t="str">
        <f>结果表!D124</f>
        <v>——</v>
      </c>
      <c r="E10" s="3177"/>
      <c r="F10" s="3177"/>
      <c r="G10" s="3177"/>
      <c r="H10" s="3177"/>
      <c r="I10" s="3177"/>
    </row>
    <row r="11" spans="1:9" ht="15">
      <c r="A11" s="3178" t="s">
        <v>1605</v>
      </c>
      <c r="B11" s="3178"/>
      <c r="C11" s="3178"/>
      <c r="D11" s="3179" t="e">
        <f>结果表!D125</f>
        <v>#VALUE!</v>
      </c>
      <c r="E11" s="3179"/>
      <c r="F11" s="3179"/>
      <c r="G11" s="3179"/>
      <c r="H11" s="3179"/>
      <c r="I11" s="3179"/>
    </row>
    <row r="12" spans="1:9" ht="15.75">
      <c r="A12" s="3177" t="str">
        <f>结果表!A126</f>
        <v/>
      </c>
      <c r="B12" s="3177"/>
      <c r="C12" s="3177"/>
      <c r="D12" s="3177" t="str">
        <f>结果表!D126</f>
        <v>——</v>
      </c>
      <c r="E12" s="3177"/>
      <c r="F12" s="3177"/>
      <c r="G12" s="3177"/>
      <c r="H12" s="3177"/>
      <c r="I12" s="3177"/>
    </row>
    <row r="13" spans="1:9" ht="15.75" thickBot="1">
      <c r="A13" s="3174" t="s">
        <v>1605</v>
      </c>
      <c r="B13" s="3174"/>
      <c r="C13" s="3174"/>
      <c r="D13" s="3175" t="e">
        <f>结果表!D127</f>
        <v>#VALUE!</v>
      </c>
      <c r="E13" s="3175"/>
      <c r="F13" s="3175"/>
      <c r="G13" s="3175"/>
      <c r="H13" s="3175"/>
      <c r="I13" s="3175"/>
    </row>
    <row r="14" spans="1:9" ht="15" thickTop="1">
      <c r="A14" s="3176" t="s">
        <v>1610</v>
      </c>
      <c r="B14" s="3176"/>
      <c r="C14" s="3176"/>
      <c r="D14" s="3176"/>
      <c r="E14" s="3176"/>
      <c r="F14" s="3176"/>
      <c r="G14" s="3176"/>
      <c r="H14" s="3176"/>
      <c r="I14" s="3176"/>
    </row>
    <row r="16" spans="1:9" ht="18.75">
      <c r="A16" s="1681" t="s">
        <v>1593</v>
      </c>
      <c r="B16" s="1664"/>
      <c r="C16" s="1664"/>
      <c r="D16" s="1664"/>
      <c r="E16" s="1664"/>
      <c r="F16" s="1664"/>
      <c r="G16" s="1664"/>
      <c r="H16" s="1664"/>
      <c r="I16" s="1664"/>
    </row>
    <row r="17" spans="1:9">
      <c r="A17" s="1664"/>
      <c r="B17" s="1664"/>
      <c r="C17" s="1664"/>
      <c r="D17" s="1664"/>
      <c r="E17" s="1664"/>
      <c r="F17" s="1664"/>
      <c r="G17" s="1664"/>
      <c r="H17" s="1664"/>
      <c r="I17" s="1664"/>
    </row>
    <row r="18" spans="1:9">
      <c r="A18" s="1664"/>
      <c r="B18" s="1664"/>
      <c r="C18" s="1664"/>
      <c r="D18" s="1664"/>
      <c r="E18" s="1664"/>
      <c r="F18" s="1664"/>
      <c r="G18" s="1664"/>
      <c r="H18" s="1664"/>
      <c r="I18" s="1664"/>
    </row>
    <row r="19" spans="1:9">
      <c r="A19" s="1664"/>
      <c r="B19" s="1664"/>
      <c r="C19" s="1664"/>
      <c r="D19" s="1664"/>
      <c r="E19" s="1664"/>
      <c r="F19" s="1664"/>
      <c r="G19" s="1664"/>
      <c r="H19" s="1664"/>
      <c r="I19" s="1664"/>
    </row>
    <row r="20" spans="1:9">
      <c r="A20" s="1664"/>
      <c r="B20" s="1664"/>
      <c r="C20" s="1664"/>
      <c r="D20" s="1664"/>
      <c r="E20" s="1664"/>
      <c r="F20" s="1664"/>
      <c r="G20" s="1664"/>
      <c r="H20" s="1664"/>
      <c r="I20" s="1664"/>
    </row>
    <row r="21" spans="1:9">
      <c r="A21" s="1664"/>
      <c r="B21" s="1664"/>
      <c r="C21" s="1664"/>
      <c r="D21" s="1664"/>
      <c r="E21" s="1664"/>
      <c r="F21" s="1664"/>
      <c r="G21" s="1664"/>
      <c r="H21" s="1664"/>
      <c r="I21" s="1664"/>
    </row>
    <row r="22" spans="1:9">
      <c r="A22" s="1664"/>
      <c r="B22" s="1664"/>
      <c r="C22" s="1664"/>
      <c r="D22" s="1664"/>
      <c r="E22" s="1664"/>
      <c r="F22" s="1664"/>
      <c r="G22" s="1664"/>
      <c r="H22" s="1664"/>
      <c r="I22" s="1664"/>
    </row>
  </sheetData>
  <sheetProtection sheet="1" objects="1" scenarios="1" formatCells="0" formatRows="0"/>
  <mergeCells count="28">
    <mergeCell ref="A1:I1"/>
    <mergeCell ref="A2:A3"/>
    <mergeCell ref="B2:B3"/>
    <mergeCell ref="C2:C3"/>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3:C13"/>
    <mergeCell ref="D13:I13"/>
    <mergeCell ref="A14:I14"/>
    <mergeCell ref="A10:C10"/>
    <mergeCell ref="D10:I10"/>
    <mergeCell ref="A11:C11"/>
    <mergeCell ref="D11:I11"/>
    <mergeCell ref="A12:C12"/>
    <mergeCell ref="D12:I12"/>
  </mergeCells>
  <phoneticPr fontId="88"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31"/>
  <sheetViews>
    <sheetView view="pageLayout" topLeftCell="A19" zoomScale="80" zoomScaleNormal="100" zoomScaleSheetLayoutView="90" zoomScalePageLayoutView="80" workbookViewId="0">
      <selection activeCell="A19" sqref="A1:XFD1048576"/>
    </sheetView>
  </sheetViews>
  <sheetFormatPr defaultColWidth="9" defaultRowHeight="14.25"/>
  <cols>
    <col min="1" max="1" width="16.625" style="1652" customWidth="1"/>
    <col min="2" max="3" width="22.375" style="1652" customWidth="1"/>
    <col min="4" max="4" width="23" style="1652" customWidth="1"/>
    <col min="5" max="16384" width="9" style="1652"/>
  </cols>
  <sheetData>
    <row r="1" spans="1:4" ht="18.75">
      <c r="A1" s="3191" t="s">
        <v>1627</v>
      </c>
      <c r="B1" s="3191"/>
      <c r="C1" s="3191"/>
      <c r="D1" s="3191"/>
    </row>
    <row r="2" spans="1:4" ht="18">
      <c r="A2" s="3192" t="s">
        <v>1611</v>
      </c>
      <c r="B2" s="3192"/>
      <c r="C2" s="3192"/>
      <c r="D2" s="3192"/>
    </row>
    <row r="3" spans="1:4" ht="18.75">
      <c r="A3" s="1684" t="s">
        <v>1612</v>
      </c>
      <c r="B3" s="1684" t="s">
        <v>1613</v>
      </c>
      <c r="C3" s="1684" t="s">
        <v>1614</v>
      </c>
      <c r="D3" s="1684" t="s">
        <v>1615</v>
      </c>
    </row>
    <row r="4" spans="1:4" ht="56.25" customHeight="1">
      <c r="A4" s="1685">
        <f>项目基本情况!B4</f>
        <v>0</v>
      </c>
      <c r="B4" s="1686">
        <f>项目基本情况!C4</f>
        <v>0</v>
      </c>
      <c r="C4" s="1687"/>
      <c r="D4" s="1688" t="s">
        <v>1616</v>
      </c>
    </row>
    <row r="5" spans="1:4" ht="56.25" customHeight="1">
      <c r="A5" s="1685">
        <f>项目基本情况!D4</f>
        <v>0</v>
      </c>
      <c r="B5" s="1686">
        <f>项目基本情况!E4</f>
        <v>0</v>
      </c>
      <c r="C5" s="1689"/>
      <c r="D5" s="1688" t="s">
        <v>1616</v>
      </c>
    </row>
    <row r="6" spans="1:4" ht="18">
      <c r="A6" s="3192" t="s">
        <v>1617</v>
      </c>
      <c r="B6" s="3192"/>
      <c r="C6" s="3192"/>
      <c r="D6" s="3192"/>
    </row>
    <row r="7" spans="1:4" ht="18.75">
      <c r="A7" s="1684" t="s">
        <v>1612</v>
      </c>
      <c r="B7" s="1686" t="s">
        <v>1618</v>
      </c>
      <c r="C7" s="1684" t="s">
        <v>1614</v>
      </c>
      <c r="D7" s="1684" t="s">
        <v>1615</v>
      </c>
    </row>
    <row r="8" spans="1:4" ht="56.25" customHeight="1">
      <c r="A8" s="1690" t="s">
        <v>837</v>
      </c>
      <c r="B8" s="1690" t="s">
        <v>1</v>
      </c>
      <c r="C8" s="1687"/>
      <c r="D8" s="1688" t="s">
        <v>1616</v>
      </c>
    </row>
    <row r="9" spans="1:4">
      <c r="A9" s="682"/>
      <c r="B9" s="682"/>
      <c r="C9" s="682"/>
      <c r="D9" s="682"/>
    </row>
    <row r="10" spans="1:4" ht="18.75">
      <c r="A10" s="1691" t="s">
        <v>1619</v>
      </c>
      <c r="B10" s="682"/>
      <c r="C10" s="682"/>
      <c r="D10" s="682"/>
    </row>
    <row r="11" spans="1:4" ht="30" customHeight="1">
      <c r="A11" s="3193" t="s">
        <v>1620</v>
      </c>
      <c r="B11" s="3185"/>
      <c r="C11" s="3185"/>
      <c r="D11" s="3185"/>
    </row>
    <row r="12" spans="1:4" ht="15.75">
      <c r="A12" s="3185"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3190"/>
      <c r="C12" s="3190"/>
      <c r="D12" s="3190"/>
    </row>
    <row r="13" spans="1:4" ht="30" customHeight="1">
      <c r="A13" s="3185"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3190"/>
      <c r="C13" s="3190"/>
      <c r="D13" s="3190"/>
    </row>
    <row r="14" spans="1:4" ht="15.75" customHeight="1">
      <c r="A14" s="3185" t="str">
        <f>IF(项目基本情况!B8="抵押","4.本次评估估价师所知悉的法定优先受偿款情况说明如下：","——")</f>
        <v>4.本次评估估价师所知悉的法定优先受偿款情况说明如下：</v>
      </c>
      <c r="B14" s="3190"/>
      <c r="C14" s="3190"/>
      <c r="D14" s="3190"/>
    </row>
    <row r="15" spans="1:4" ht="42" customHeight="1">
      <c r="A15" s="3185" t="str">
        <f>IF(项目基本情况!B8="抵押","（1）"&amp;CONCATENATE(项目基本情况!L20,项目基本情况!L21,项目基本情况!L22),"——")</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5" s="3185"/>
      <c r="C15" s="3185"/>
      <c r="D15" s="3185"/>
    </row>
    <row r="16" spans="1:4" ht="30" customHeight="1">
      <c r="A16" s="3187" t="s">
        <v>1621</v>
      </c>
      <c r="B16" s="3187"/>
      <c r="C16" s="3187"/>
      <c r="D16" s="3187"/>
    </row>
    <row r="17" spans="1:4" ht="144" customHeight="1">
      <c r="A17" s="3187" t="s">
        <v>1622</v>
      </c>
      <c r="B17" s="3187"/>
      <c r="C17" s="3187"/>
      <c r="D17" s="3187"/>
    </row>
    <row r="18" spans="1:4" ht="15.75" customHeight="1">
      <c r="A18" s="3185" t="str">
        <f>IF(项目基本情况!B8="抵押",结果表!K120,"——")</f>
        <v>故，本次评估不存在估价师知悉的法定优先受偿款</v>
      </c>
      <c r="B18" s="3185"/>
      <c r="C18" s="3185"/>
      <c r="D18" s="3185"/>
    </row>
    <row r="19" spans="1:4" ht="46.5" customHeight="1">
      <c r="A19" s="3185"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185"/>
      <c r="C19" s="3185"/>
      <c r="D19" s="3185"/>
    </row>
    <row r="20" spans="1:4" ht="57.75" customHeight="1">
      <c r="A20" s="3185"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c r="B20" s="3185"/>
      <c r="C20" s="3185"/>
      <c r="D20" s="3185"/>
    </row>
    <row r="21" spans="1:4" ht="57.75" customHeight="1">
      <c r="A21" s="3188"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c r="B21" s="3188"/>
      <c r="C21" s="3188"/>
      <c r="D21" s="3188"/>
    </row>
    <row r="22" spans="1:4" ht="18.75" customHeight="1">
      <c r="A22" s="3189" t="s">
        <v>1623</v>
      </c>
      <c r="B22" s="3189"/>
      <c r="C22" s="3189"/>
      <c r="D22" s="3189"/>
    </row>
    <row r="23" spans="1:4">
      <c r="A23" s="1692"/>
      <c r="B23" s="1664"/>
      <c r="C23" s="1664"/>
      <c r="D23" s="1664"/>
    </row>
    <row r="24" spans="1:4">
      <c r="A24" s="1692"/>
      <c r="B24" s="1664"/>
      <c r="C24" s="1664"/>
      <c r="D24" s="1664"/>
    </row>
    <row r="25" spans="1:4" ht="18.75">
      <c r="A25" s="1693" t="s">
        <v>1624</v>
      </c>
    </row>
    <row r="26" spans="1:4" ht="18">
      <c r="A26" s="1662"/>
    </row>
    <row r="27" spans="1:4" ht="18.75">
      <c r="A27" s="1662" t="s">
        <v>1625</v>
      </c>
    </row>
    <row r="30" spans="1:4" ht="18.75">
      <c r="D30" s="1693" t="s">
        <v>1626</v>
      </c>
    </row>
    <row r="31" spans="1:4" ht="13.5" customHeight="1">
      <c r="C31" s="3186">
        <v>42551</v>
      </c>
      <c r="D31" s="3186"/>
    </row>
  </sheetData>
  <sheetProtection sheet="1" objects="1" scenarios="1" formatCells="0" insertRows="0" deleteRows="0"/>
  <mergeCells count="16">
    <mergeCell ref="A1:D1"/>
    <mergeCell ref="A2:D2"/>
    <mergeCell ref="A6:D6"/>
    <mergeCell ref="A11:D11"/>
    <mergeCell ref="A12:D12"/>
    <mergeCell ref="A13:D13"/>
    <mergeCell ref="A14:D14"/>
    <mergeCell ref="A15:D15"/>
    <mergeCell ref="A18:D18"/>
    <mergeCell ref="A19:D19"/>
    <mergeCell ref="A20:D20"/>
    <mergeCell ref="C31:D31"/>
    <mergeCell ref="A16:D16"/>
    <mergeCell ref="A17:D17"/>
    <mergeCell ref="A21:D21"/>
    <mergeCell ref="A22:D22"/>
  </mergeCells>
  <phoneticPr fontId="93" type="noConversion"/>
  <pageMargins left="0.98425196850393704" right="0.78740157480314965" top="0.98425196850393704" bottom="0.98425196850393704" header="0.59055118110236227" footer="0.78740157480314965"/>
  <pageSetup paperSize="9" orientation="portrait" r:id="rId1"/>
  <headerFooter>
    <oddHeader>&amp;C&amp;G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J31"/>
  <sheetViews>
    <sheetView view="pageLayout" zoomScaleNormal="100" workbookViewId="0">
      <selection activeCell="C5" sqref="C5"/>
    </sheetView>
  </sheetViews>
  <sheetFormatPr defaultColWidth="9" defaultRowHeight="13.5"/>
  <cols>
    <col min="1" max="2" width="13.125" style="1650" customWidth="1"/>
    <col min="3" max="10" width="12.5" style="1650" customWidth="1"/>
    <col min="11" max="16384" width="9" style="1650"/>
  </cols>
  <sheetData>
    <row r="1" spans="1:10" ht="18.75">
      <c r="A1" s="1683" t="s">
        <v>838</v>
      </c>
      <c r="B1" s="1694"/>
      <c r="C1" s="1694"/>
      <c r="D1" s="1694"/>
      <c r="E1" s="1694"/>
      <c r="F1" s="1694"/>
      <c r="G1" s="1694"/>
      <c r="H1" s="1694"/>
      <c r="I1" s="1694"/>
      <c r="J1" s="1694"/>
    </row>
    <row r="2" spans="1:10" ht="18.75">
      <c r="A2" s="1695"/>
      <c r="B2" s="1694"/>
      <c r="C2" s="1694"/>
      <c r="D2" s="1694"/>
      <c r="E2" s="1694"/>
      <c r="F2" s="1694"/>
      <c r="G2" s="1694"/>
      <c r="H2" s="1694"/>
      <c r="I2" s="1694"/>
      <c r="J2" s="1694"/>
    </row>
    <row r="3" spans="1:10">
      <c r="A3" s="1694"/>
      <c r="B3" s="1694"/>
      <c r="C3" s="1694"/>
      <c r="D3" s="1694"/>
      <c r="E3" s="1694"/>
      <c r="F3" s="1694"/>
      <c r="G3" s="1694"/>
      <c r="H3" s="1694"/>
      <c r="I3" s="1694"/>
      <c r="J3" s="1694"/>
    </row>
    <row r="4" spans="1:10">
      <c r="A4" s="1694"/>
      <c r="B4" s="1694"/>
      <c r="C4" s="1694"/>
      <c r="D4" s="1694"/>
      <c r="E4" s="1694"/>
      <c r="F4" s="1694"/>
      <c r="G4" s="1694"/>
      <c r="H4" s="1694"/>
      <c r="I4" s="1694"/>
      <c r="J4" s="1694"/>
    </row>
    <row r="5" spans="1:10">
      <c r="A5" s="1694"/>
      <c r="B5" s="1694"/>
      <c r="C5" s="1694"/>
      <c r="D5" s="1694"/>
      <c r="E5" s="1694"/>
      <c r="F5" s="1694"/>
      <c r="G5" s="1694"/>
      <c r="H5" s="1694"/>
      <c r="I5" s="1694"/>
      <c r="J5" s="1694"/>
    </row>
    <row r="6" spans="1:10">
      <c r="A6" s="1694"/>
      <c r="B6" s="1694"/>
      <c r="C6" s="1694"/>
      <c r="D6" s="1694"/>
      <c r="E6" s="1694"/>
      <c r="F6" s="1694"/>
      <c r="G6" s="1694"/>
      <c r="H6" s="1694"/>
      <c r="I6" s="1694"/>
      <c r="J6" s="1694"/>
    </row>
    <row r="7" spans="1:10">
      <c r="A7" s="1694"/>
      <c r="B7" s="1694"/>
      <c r="C7" s="1694"/>
      <c r="D7" s="1694"/>
      <c r="E7" s="1694"/>
      <c r="F7" s="1694"/>
      <c r="G7" s="1694"/>
      <c r="H7" s="1694"/>
      <c r="I7" s="1694"/>
      <c r="J7" s="1694"/>
    </row>
    <row r="8" spans="1:10">
      <c r="A8" s="1694"/>
      <c r="B8" s="1694"/>
      <c r="C8" s="1694"/>
      <c r="D8" s="1694"/>
      <c r="E8" s="1694"/>
      <c r="F8" s="1694"/>
      <c r="G8" s="1694"/>
      <c r="H8" s="1694"/>
      <c r="I8" s="1694"/>
      <c r="J8" s="1694"/>
    </row>
    <row r="9" spans="1:10">
      <c r="A9" s="1694"/>
      <c r="B9" s="1694"/>
      <c r="C9" s="1694"/>
      <c r="D9" s="1694"/>
      <c r="E9" s="1694"/>
      <c r="F9" s="1694"/>
      <c r="G9" s="1694"/>
      <c r="H9" s="1694"/>
      <c r="I9" s="1694"/>
      <c r="J9" s="1694"/>
    </row>
    <row r="10" spans="1:10">
      <c r="A10" s="1694"/>
      <c r="B10" s="1694"/>
      <c r="C10" s="1694"/>
      <c r="D10" s="1694"/>
      <c r="E10" s="1694"/>
      <c r="F10" s="1694"/>
      <c r="G10" s="1694"/>
      <c r="H10" s="1694"/>
      <c r="I10" s="1694"/>
      <c r="J10" s="1694"/>
    </row>
    <row r="11" spans="1:10">
      <c r="A11" s="1694"/>
      <c r="B11" s="1694"/>
      <c r="C11" s="1694"/>
      <c r="D11" s="1694"/>
      <c r="E11" s="1694"/>
      <c r="F11" s="1694"/>
      <c r="G11" s="1694"/>
      <c r="H11" s="1694"/>
      <c r="I11" s="1694"/>
      <c r="J11" s="1694"/>
    </row>
    <row r="12" spans="1:10">
      <c r="A12" s="1694"/>
      <c r="B12" s="1694"/>
      <c r="C12" s="1694"/>
      <c r="D12" s="1694"/>
      <c r="E12" s="1694"/>
      <c r="F12" s="1694"/>
      <c r="G12" s="1694"/>
      <c r="H12" s="1694"/>
      <c r="I12" s="1694"/>
      <c r="J12" s="1694"/>
    </row>
    <row r="13" spans="1:10">
      <c r="A13" s="1694"/>
      <c r="B13" s="1694"/>
      <c r="C13" s="1694"/>
      <c r="D13" s="1694"/>
      <c r="E13" s="1694"/>
      <c r="F13" s="1694"/>
      <c r="G13" s="1694"/>
      <c r="H13" s="1694"/>
      <c r="I13" s="1694"/>
      <c r="J13" s="1694"/>
    </row>
    <row r="14" spans="1:10">
      <c r="A14" s="1694"/>
      <c r="B14" s="1694"/>
      <c r="C14" s="1694"/>
      <c r="D14" s="1694"/>
      <c r="E14" s="1694"/>
      <c r="F14" s="1694"/>
      <c r="G14" s="1694"/>
      <c r="H14" s="1694"/>
      <c r="I14" s="1694"/>
      <c r="J14" s="1694"/>
    </row>
    <row r="15" spans="1:10">
      <c r="A15" s="1694"/>
      <c r="B15" s="1694"/>
      <c r="C15" s="1694"/>
      <c r="D15" s="1694"/>
      <c r="E15" s="1694"/>
      <c r="F15" s="1694"/>
      <c r="G15" s="1694"/>
      <c r="H15" s="1694"/>
      <c r="I15" s="1694"/>
      <c r="J15" s="1694"/>
    </row>
    <row r="16" spans="1:10">
      <c r="A16" s="1694"/>
      <c r="B16" s="1694"/>
      <c r="C16" s="1694"/>
      <c r="D16" s="1694"/>
      <c r="E16" s="1694"/>
      <c r="F16" s="1694"/>
      <c r="G16" s="1694"/>
      <c r="H16" s="1694"/>
      <c r="I16" s="1694"/>
      <c r="J16" s="1694"/>
    </row>
    <row r="17" spans="1:10">
      <c r="A17" s="1694"/>
      <c r="B17" s="1694"/>
      <c r="C17" s="1694"/>
      <c r="D17" s="1694"/>
      <c r="E17" s="1694"/>
      <c r="F17" s="1694"/>
      <c r="G17" s="1694"/>
      <c r="H17" s="1694"/>
      <c r="I17" s="1694"/>
      <c r="J17" s="1694"/>
    </row>
    <row r="18" spans="1:10">
      <c r="A18" s="1694"/>
      <c r="B18" s="1694"/>
      <c r="C18" s="1694"/>
      <c r="D18" s="1694"/>
      <c r="E18" s="1694"/>
      <c r="F18" s="1694"/>
      <c r="G18" s="1694"/>
      <c r="H18" s="1694"/>
      <c r="I18" s="1694"/>
      <c r="J18" s="1694"/>
    </row>
    <row r="19" spans="1:10">
      <c r="A19" s="1694"/>
      <c r="B19" s="1694"/>
      <c r="C19" s="1694"/>
      <c r="D19" s="1694"/>
      <c r="E19" s="1694"/>
      <c r="F19" s="1694"/>
      <c r="G19" s="1694"/>
      <c r="H19" s="1694"/>
      <c r="I19" s="1694"/>
      <c r="J19" s="1694"/>
    </row>
    <row r="20" spans="1:10">
      <c r="A20" s="1694"/>
      <c r="B20" s="1694"/>
      <c r="C20" s="1694"/>
      <c r="D20" s="1694"/>
      <c r="E20" s="1694"/>
      <c r="F20" s="1694"/>
      <c r="G20" s="1694"/>
      <c r="H20" s="1694"/>
      <c r="I20" s="1694"/>
      <c r="J20" s="1694"/>
    </row>
    <row r="21" spans="1:10">
      <c r="A21" s="1694"/>
      <c r="B21" s="1694"/>
      <c r="C21" s="1694"/>
      <c r="D21" s="1694"/>
      <c r="E21" s="1694"/>
      <c r="F21" s="1694"/>
      <c r="G21" s="1694"/>
      <c r="H21" s="1694"/>
      <c r="I21" s="1694"/>
      <c r="J21" s="1694"/>
    </row>
    <row r="22" spans="1:10">
      <c r="A22" s="1694"/>
      <c r="B22" s="1694"/>
      <c r="C22" s="1694"/>
      <c r="D22" s="1694"/>
      <c r="E22" s="1694"/>
      <c r="F22" s="1694"/>
      <c r="G22" s="1694"/>
      <c r="H22" s="1694"/>
      <c r="I22" s="1694"/>
      <c r="J22" s="1694"/>
    </row>
    <row r="23" spans="1:10">
      <c r="A23" s="1694"/>
      <c r="B23" s="1694"/>
      <c r="C23" s="1694"/>
      <c r="D23" s="1694"/>
      <c r="E23" s="1694"/>
      <c r="F23" s="1694"/>
      <c r="G23" s="1694"/>
      <c r="H23" s="1694"/>
      <c r="I23" s="1694"/>
      <c r="J23" s="1694"/>
    </row>
    <row r="24" spans="1:10">
      <c r="A24" s="1694"/>
      <c r="B24" s="1694"/>
      <c r="C24" s="1694"/>
      <c r="D24" s="1694"/>
      <c r="E24" s="1694"/>
      <c r="F24" s="1694"/>
      <c r="G24" s="1694"/>
      <c r="H24" s="1694"/>
      <c r="I24" s="1694"/>
      <c r="J24" s="1694"/>
    </row>
    <row r="25" spans="1:10">
      <c r="A25" s="1694"/>
      <c r="B25" s="1694"/>
      <c r="C25" s="1694"/>
      <c r="D25" s="1694"/>
      <c r="E25" s="1694"/>
      <c r="F25" s="1694"/>
      <c r="G25" s="1694"/>
      <c r="H25" s="1694"/>
      <c r="I25" s="1694"/>
      <c r="J25" s="1694"/>
    </row>
    <row r="26" spans="1:10">
      <c r="A26" s="1694"/>
      <c r="B26" s="1694"/>
      <c r="C26" s="1694"/>
      <c r="D26" s="1694"/>
      <c r="E26" s="1694"/>
      <c r="F26" s="1694"/>
      <c r="G26" s="1694"/>
      <c r="H26" s="1694"/>
      <c r="I26" s="1694"/>
      <c r="J26" s="1694"/>
    </row>
    <row r="27" spans="1:10">
      <c r="A27" s="1694"/>
      <c r="B27" s="1694"/>
      <c r="C27" s="1694"/>
      <c r="D27" s="1694"/>
      <c r="E27" s="1694"/>
      <c r="F27" s="1694"/>
      <c r="G27" s="1694"/>
      <c r="H27" s="1694"/>
      <c r="I27" s="1694"/>
      <c r="J27" s="1694"/>
    </row>
    <row r="28" spans="1:10">
      <c r="A28" s="1694"/>
      <c r="B28" s="1694"/>
      <c r="C28" s="1694"/>
      <c r="D28" s="1694"/>
      <c r="E28" s="1694"/>
      <c r="F28" s="1694"/>
      <c r="G28" s="1694"/>
      <c r="H28" s="1694"/>
      <c r="I28" s="1694"/>
      <c r="J28" s="1694"/>
    </row>
    <row r="29" spans="1:10">
      <c r="A29" s="1694"/>
      <c r="B29" s="1694"/>
      <c r="C29" s="1694"/>
      <c r="D29" s="1694"/>
      <c r="E29" s="1694"/>
      <c r="F29" s="1694"/>
      <c r="G29" s="1694"/>
      <c r="H29" s="1694"/>
      <c r="I29" s="1694"/>
      <c r="J29" s="1694"/>
    </row>
    <row r="30" spans="1:10">
      <c r="A30" s="1694"/>
      <c r="B30" s="1694"/>
      <c r="C30" s="1694"/>
      <c r="D30" s="1694"/>
      <c r="E30" s="1694"/>
      <c r="F30" s="1694"/>
      <c r="G30" s="1694"/>
      <c r="H30" s="1694"/>
      <c r="I30" s="1694"/>
      <c r="J30" s="1694"/>
    </row>
    <row r="31" spans="1:10">
      <c r="A31" s="1694"/>
      <c r="B31" s="1694"/>
      <c r="C31" s="1694"/>
      <c r="D31" s="1694"/>
      <c r="E31" s="1694"/>
      <c r="F31" s="1694"/>
      <c r="G31" s="1694"/>
      <c r="H31" s="1694"/>
      <c r="I31" s="1694"/>
      <c r="J31" s="1694"/>
    </row>
  </sheetData>
  <sheetProtection password="C66D" sheet="1" objects="1" scenarios="1" formatCells="0" formatColumns="0" formatRows="0" insertColumns="0" insertRows="0" deleteColumns="0" deleteRows="0"/>
  <phoneticPr fontId="94"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42"/>
  <sheetViews>
    <sheetView workbookViewId="0">
      <pane ySplit="1" topLeftCell="A2" activePane="bottomLeft" state="frozen"/>
      <selection activeCell="C50" sqref="C50"/>
      <selection pane="bottomLeft" activeCell="D26" sqref="D26"/>
    </sheetView>
  </sheetViews>
  <sheetFormatPr defaultColWidth="14.5" defaultRowHeight="14.25"/>
  <cols>
    <col min="1" max="1" width="14.5" style="1700" customWidth="1"/>
    <col min="2" max="16384" width="14.5" style="1682"/>
  </cols>
  <sheetData>
    <row r="1" spans="1:7" s="1697" customFormat="1" ht="18.75">
      <c r="A1" s="1696" t="s">
        <v>1628</v>
      </c>
    </row>
    <row r="3" spans="1:7">
      <c r="A3" s="1698" t="s">
        <v>82</v>
      </c>
      <c r="B3" s="1682" t="s">
        <v>1629</v>
      </c>
      <c r="G3" s="1699"/>
    </row>
    <row r="4" spans="1:7">
      <c r="G4" s="1699"/>
    </row>
    <row r="5" spans="1:7">
      <c r="A5" s="1701" t="s">
        <v>73</v>
      </c>
      <c r="B5" s="1682" t="s">
        <v>1630</v>
      </c>
      <c r="G5" s="1699"/>
    </row>
    <row r="6" spans="1:7">
      <c r="G6" s="1699"/>
    </row>
    <row r="7" spans="1:7">
      <c r="A7" s="1702" t="s">
        <v>135</v>
      </c>
      <c r="B7" s="1682" t="s">
        <v>1631</v>
      </c>
      <c r="G7" s="1699"/>
    </row>
    <row r="8" spans="1:7">
      <c r="G8" s="1699"/>
    </row>
    <row r="9" spans="1:7">
      <c r="A9" s="1703" t="s">
        <v>74</v>
      </c>
      <c r="B9" s="1682" t="s">
        <v>1632</v>
      </c>
    </row>
    <row r="11" spans="1:7">
      <c r="A11" s="1704" t="s">
        <v>75</v>
      </c>
      <c r="B11" s="1705" t="s">
        <v>72</v>
      </c>
    </row>
    <row r="13" spans="1:7">
      <c r="A13" s="1706" t="s">
        <v>1633</v>
      </c>
    </row>
    <row r="15" spans="1:7" ht="13.5">
      <c r="A15" s="3199" t="s">
        <v>1634</v>
      </c>
      <c r="B15" s="3194" t="s">
        <v>136</v>
      </c>
      <c r="C15" s="3195"/>
    </row>
    <row r="16" spans="1:7" ht="13.5">
      <c r="A16" s="3200"/>
      <c r="B16" s="3194" t="s">
        <v>69</v>
      </c>
      <c r="C16" s="3195"/>
    </row>
    <row r="17" spans="1:3" ht="13.5">
      <c r="A17" s="3200"/>
      <c r="B17" s="3197" t="s">
        <v>1635</v>
      </c>
      <c r="C17" s="1707" t="s">
        <v>1634</v>
      </c>
    </row>
    <row r="18" spans="1:3" ht="13.5">
      <c r="A18" s="3200"/>
      <c r="B18" s="3197"/>
      <c r="C18" s="1707" t="s">
        <v>1636</v>
      </c>
    </row>
    <row r="19" spans="1:3" ht="13.5">
      <c r="A19" s="3200"/>
      <c r="B19" s="3197"/>
      <c r="C19" s="1707" t="s">
        <v>1637</v>
      </c>
    </row>
    <row r="20" spans="1:3" ht="13.5">
      <c r="A20" s="3201"/>
      <c r="B20" s="3196" t="s">
        <v>1638</v>
      </c>
      <c r="C20" s="3195"/>
    </row>
    <row r="21" spans="1:3" ht="13.5">
      <c r="A21" s="1708" t="s">
        <v>1639</v>
      </c>
      <c r="B21" s="1709"/>
      <c r="C21" s="1710"/>
    </row>
    <row r="22" spans="1:3" ht="13.5">
      <c r="A22" s="3198" t="s">
        <v>1640</v>
      </c>
      <c r="B22" s="3196" t="s">
        <v>1641</v>
      </c>
      <c r="C22" s="3195"/>
    </row>
    <row r="23" spans="1:3" ht="13.5">
      <c r="A23" s="3198"/>
      <c r="B23" s="3196" t="s">
        <v>1642</v>
      </c>
      <c r="C23" s="3195"/>
    </row>
    <row r="24" spans="1:3" ht="13.5">
      <c r="A24" s="3198"/>
      <c r="B24" s="3196" t="s">
        <v>1643</v>
      </c>
      <c r="C24" s="3195"/>
    </row>
    <row r="25" spans="1:3" ht="13.5">
      <c r="A25" s="3198"/>
      <c r="B25" s="3197" t="s">
        <v>1644</v>
      </c>
      <c r="C25" s="1707" t="s">
        <v>1645</v>
      </c>
    </row>
    <row r="26" spans="1:3" ht="13.5">
      <c r="A26" s="3198"/>
      <c r="B26" s="3197"/>
      <c r="C26" s="1707" t="s">
        <v>1646</v>
      </c>
    </row>
    <row r="27" spans="1:3" ht="13.5">
      <c r="A27" s="3198"/>
      <c r="B27" s="3197"/>
      <c r="C27" s="1707" t="s">
        <v>1647</v>
      </c>
    </row>
    <row r="28" spans="1:3" ht="13.5">
      <c r="A28" s="3198"/>
      <c r="B28" s="3197"/>
      <c r="C28" s="1707" t="s">
        <v>1648</v>
      </c>
    </row>
    <row r="29" spans="1:3" ht="13.5">
      <c r="A29" s="3198"/>
      <c r="B29" s="3197"/>
      <c r="C29" s="1707" t="s">
        <v>1649</v>
      </c>
    </row>
    <row r="30" spans="1:3" ht="13.5">
      <c r="A30" s="3198"/>
      <c r="B30" s="3197"/>
      <c r="C30" s="1707" t="s">
        <v>1650</v>
      </c>
    </row>
    <row r="31" spans="1:3" ht="13.5">
      <c r="A31" s="3198"/>
      <c r="B31" s="3197"/>
      <c r="C31" s="1707" t="s">
        <v>1651</v>
      </c>
    </row>
    <row r="32" spans="1:3" ht="13.5">
      <c r="A32" s="3198"/>
      <c r="B32" s="3197"/>
      <c r="C32" s="1707" t="s">
        <v>1652</v>
      </c>
    </row>
    <row r="33" spans="1:3" ht="13.5">
      <c r="A33" s="3198"/>
      <c r="B33" s="3197"/>
      <c r="C33" s="1707" t="s">
        <v>1653</v>
      </c>
    </row>
    <row r="34" spans="1:3">
      <c r="A34" s="1711" t="s">
        <v>76</v>
      </c>
    </row>
    <row r="37" spans="1:3">
      <c r="A37" s="1711" t="s">
        <v>1654</v>
      </c>
    </row>
    <row r="38" spans="1:3" ht="13.5">
      <c r="A38" s="1712" t="s">
        <v>77</v>
      </c>
    </row>
    <row r="39" spans="1:3" ht="13.5">
      <c r="A39" s="1712" t="s">
        <v>78</v>
      </c>
    </row>
    <row r="40" spans="1:3" ht="13.5">
      <c r="A40" s="1712" t="s">
        <v>79</v>
      </c>
    </row>
    <row r="41" spans="1:3" ht="13.5">
      <c r="A41" s="1713" t="s">
        <v>80</v>
      </c>
    </row>
    <row r="42" spans="1:3" ht="13.5">
      <c r="A42" s="1712" t="s">
        <v>81</v>
      </c>
    </row>
  </sheetData>
  <sheetProtection password="C66D" sheet="1" objects="1" scenarios="1" formatCells="0" formatColumns="0" formatRows="0"/>
  <mergeCells count="10">
    <mergeCell ref="B15:C15"/>
    <mergeCell ref="B23:C23"/>
    <mergeCell ref="B24:C24"/>
    <mergeCell ref="B17:B19"/>
    <mergeCell ref="A22:A33"/>
    <mergeCell ref="B25:B33"/>
    <mergeCell ref="B16:C16"/>
    <mergeCell ref="B20:C20"/>
    <mergeCell ref="B22:C22"/>
    <mergeCell ref="A15:A20"/>
  </mergeCells>
  <phoneticPr fontId="34"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G22" sqref="G22"/>
    </sheetView>
  </sheetViews>
  <sheetFormatPr defaultColWidth="22.625" defaultRowHeight="24" customHeight="1"/>
  <cols>
    <col min="1" max="1" width="24.625" style="2544" customWidth="1"/>
    <col min="2" max="2" width="38.625" style="2544" customWidth="1"/>
    <col min="3" max="3" width="26" style="2544" customWidth="1"/>
    <col min="4" max="4" width="35" style="2544" hidden="1" customWidth="1"/>
    <col min="5" max="5" width="30.125" style="2544" customWidth="1"/>
    <col min="6" max="6" width="35.5" style="2544" customWidth="1"/>
    <col min="7" max="7" width="31" style="2544" customWidth="1"/>
    <col min="8" max="8" width="37.5" style="2544" hidden="1" customWidth="1"/>
    <col min="9" max="16384" width="22.625" style="2544"/>
  </cols>
  <sheetData>
    <row r="1" spans="1:8" ht="24" customHeight="1">
      <c r="A1" s="2543"/>
      <c r="B1" s="2543"/>
      <c r="C1" s="2543"/>
      <c r="D1" s="2543"/>
      <c r="E1" s="2543"/>
      <c r="F1" s="2543"/>
      <c r="G1" s="2543"/>
      <c r="H1" s="2543"/>
    </row>
    <row r="2" spans="1:8" ht="24" customHeight="1">
      <c r="A2" s="2545" t="s">
        <v>2865</v>
      </c>
      <c r="B2" s="2546">
        <f ca="1">TODAY()</f>
        <v>44284</v>
      </c>
      <c r="C2" s="2547" t="s">
        <v>2866</v>
      </c>
      <c r="D2" s="2547"/>
      <c r="E2" s="2547"/>
      <c r="F2" s="2543"/>
      <c r="G2" s="2543"/>
      <c r="H2" s="2543"/>
    </row>
    <row r="3" spans="1:8" ht="24" customHeight="1">
      <c r="A3" s="2548" t="s">
        <v>2867</v>
      </c>
      <c r="B3" s="2549" t="s">
        <v>2868</v>
      </c>
      <c r="C3" s="2549" t="s">
        <v>2869</v>
      </c>
      <c r="D3" s="2550" t="s">
        <v>2870</v>
      </c>
      <c r="E3" s="2551" t="s">
        <v>2871</v>
      </c>
      <c r="F3" s="1462" t="s">
        <v>2872</v>
      </c>
      <c r="G3" s="2549" t="s">
        <v>2869</v>
      </c>
      <c r="H3" s="2550" t="s">
        <v>2873</v>
      </c>
    </row>
    <row r="4" spans="1:8" ht="24" customHeight="1">
      <c r="A4" s="1462" t="s">
        <v>2874</v>
      </c>
      <c r="B4" s="1462">
        <f ca="1">IF(C4&lt;B2,"已过期",1119970066)</f>
        <v>1119970066</v>
      </c>
      <c r="C4" s="2552">
        <v>44876</v>
      </c>
      <c r="D4" s="2553" t="str">
        <f ca="1">A4&amp;"（注册号："&amp;B4&amp;"）"</f>
        <v>梁津（注册号：1119970066）</v>
      </c>
      <c r="E4" s="2554" t="s">
        <v>2874</v>
      </c>
      <c r="F4" s="1462">
        <f ca="1">IF(G4&lt;B2,"已过期",96010014)</f>
        <v>96010014</v>
      </c>
      <c r="G4" s="2555">
        <v>47118</v>
      </c>
      <c r="H4" s="2556" t="str">
        <f ca="1">E4&amp;"（注册号："&amp;F4&amp;"）"</f>
        <v>梁津（注册号：96010014）</v>
      </c>
    </row>
    <row r="5" spans="1:8" ht="24" customHeight="1">
      <c r="A5" s="1462" t="s">
        <v>2875</v>
      </c>
      <c r="B5" s="1462">
        <f ca="1">IF(C5&lt;B2,"已过期",1119970111)</f>
        <v>1119970111</v>
      </c>
      <c r="C5" s="2552">
        <v>44876</v>
      </c>
      <c r="D5" s="2553" t="str">
        <f t="shared" ref="D5:D15" ca="1" si="0">A5&amp;"（注册号："&amp;B5&amp;"）"</f>
        <v>叶凌（注册号：1119970111）</v>
      </c>
      <c r="E5" s="2554" t="s">
        <v>2875</v>
      </c>
      <c r="F5" s="1462">
        <f ca="1">IF(G5&lt;B2,"已过期",94010078)</f>
        <v>94010078</v>
      </c>
      <c r="G5" s="2555">
        <v>46387</v>
      </c>
      <c r="H5" s="2556" t="str">
        <f t="shared" ref="H5:H16" ca="1" si="1">E5&amp;"（注册号："&amp;F5&amp;"）"</f>
        <v>叶凌（注册号：94010078）</v>
      </c>
    </row>
    <row r="6" spans="1:8" ht="24" customHeight="1">
      <c r="A6" s="1462" t="s">
        <v>2876</v>
      </c>
      <c r="B6" s="1462">
        <f ca="1">IF(C6&lt;B2,"已过期",1120050019)</f>
        <v>1120050019</v>
      </c>
      <c r="C6" s="2552">
        <v>44395</v>
      </c>
      <c r="D6" s="2553" t="str">
        <f t="shared" ca="1" si="0"/>
        <v>王鹏（注册号：1120050019）</v>
      </c>
      <c r="E6" s="2554" t="s">
        <v>2876</v>
      </c>
      <c r="F6" s="1462">
        <f ca="1">IF(G6&lt;B2,"已过期",2002110030)</f>
        <v>2002110030</v>
      </c>
      <c r="G6" s="2555">
        <v>46387</v>
      </c>
      <c r="H6" s="2556" t="str">
        <f t="shared" ca="1" si="1"/>
        <v>王鹏（注册号：2002110030）</v>
      </c>
    </row>
    <row r="7" spans="1:8" ht="24" customHeight="1">
      <c r="A7" s="1462" t="s">
        <v>2877</v>
      </c>
      <c r="B7" s="1462">
        <f ca="1">IF(C7&lt;B2,"已过期",1120000080)</f>
        <v>1120000080</v>
      </c>
      <c r="C7" s="2552">
        <v>44876</v>
      </c>
      <c r="D7" s="2553" t="str">
        <f t="shared" ca="1" si="0"/>
        <v>欧红伟（注册号：1120000080）</v>
      </c>
      <c r="E7" s="2554" t="s">
        <v>2877</v>
      </c>
      <c r="F7" s="1462">
        <f ca="1">IF(G7&lt;B2,"已过期",2000110082)</f>
        <v>2000110082</v>
      </c>
      <c r="G7" s="2555">
        <v>46387</v>
      </c>
      <c r="H7" s="2556" t="str">
        <f t="shared" ca="1" si="1"/>
        <v>欧红伟（注册号：2000110082）</v>
      </c>
    </row>
    <row r="8" spans="1:8" ht="24" customHeight="1">
      <c r="A8" s="1462" t="s">
        <v>2878</v>
      </c>
      <c r="B8" s="1462">
        <f ca="1">IF(C8&lt;B2,"已过期",1419970001)</f>
        <v>1419970001</v>
      </c>
      <c r="C8" s="2552">
        <v>44899</v>
      </c>
      <c r="D8" s="2553" t="str">
        <f t="shared" ca="1" si="0"/>
        <v>吴薇（注册号：1419970001）</v>
      </c>
      <c r="E8" s="2554" t="s">
        <v>2878</v>
      </c>
      <c r="F8" s="1462">
        <f ca="1">IF(G8&lt;B2,"已过期",2002110125)</f>
        <v>2002110125</v>
      </c>
      <c r="G8" s="2555">
        <v>47118</v>
      </c>
      <c r="H8" s="2556" t="str">
        <f t="shared" ca="1" si="1"/>
        <v>吴薇（注册号：2002110125）</v>
      </c>
    </row>
    <row r="9" spans="1:8" ht="24" customHeight="1">
      <c r="A9" s="1462" t="s">
        <v>2879</v>
      </c>
      <c r="B9" s="1462">
        <f ca="1">IF(C9&lt;B2,"已过期",1120060040)</f>
        <v>1120060040</v>
      </c>
      <c r="C9" s="2557">
        <v>44554</v>
      </c>
      <c r="D9" s="2553" t="str">
        <f t="shared" ca="1" si="0"/>
        <v>陈颖（注册号：1120060040）</v>
      </c>
      <c r="E9" s="2554" t="s">
        <v>2879</v>
      </c>
      <c r="F9" s="1462">
        <f ca="1">IF(G9&lt;B2,"已过期",2004110096)</f>
        <v>2004110096</v>
      </c>
      <c r="G9" s="2555">
        <v>47118</v>
      </c>
      <c r="H9" s="2556" t="str">
        <f t="shared" ca="1" si="1"/>
        <v>陈颖（注册号：2004110096）</v>
      </c>
    </row>
    <row r="10" spans="1:8" ht="24" customHeight="1">
      <c r="A10" s="1462" t="s">
        <v>2880</v>
      </c>
      <c r="B10" s="1462">
        <f ca="1">IF(C10&lt;B2,"已过期",1120100036)</f>
        <v>1120100036</v>
      </c>
      <c r="C10" s="2557">
        <v>44675</v>
      </c>
      <c r="D10" s="2553" t="str">
        <f t="shared" ca="1" si="0"/>
        <v>崔锴（注册号：1120100036）</v>
      </c>
      <c r="E10" s="2554" t="s">
        <v>2880</v>
      </c>
      <c r="F10" s="1462">
        <f ca="1">IF(G10&lt;B2,"已过期",2010110070)</f>
        <v>2010110070</v>
      </c>
      <c r="G10" s="2555">
        <v>47907</v>
      </c>
      <c r="H10" s="2556" t="str">
        <f t="shared" ca="1" si="1"/>
        <v>崔锴（注册号：2010110070）</v>
      </c>
    </row>
    <row r="11" spans="1:8" ht="24" customHeight="1">
      <c r="A11" s="1462" t="s">
        <v>2881</v>
      </c>
      <c r="B11" s="1462">
        <f ca="1">IF(C11&lt;B2,"已过期",1120070131)</f>
        <v>1120070131</v>
      </c>
      <c r="C11" s="2552">
        <v>44849</v>
      </c>
      <c r="D11" s="2553" t="str">
        <f t="shared" ca="1" si="0"/>
        <v>郑燚（注册号：1120070131）</v>
      </c>
      <c r="E11" s="2554" t="s">
        <v>2881</v>
      </c>
      <c r="F11" s="1462">
        <f ca="1">IF(G11&lt;B2,"已过期",2014110011)</f>
        <v>2014110011</v>
      </c>
      <c r="G11" s="2555">
        <v>49302</v>
      </c>
      <c r="H11" s="2556" t="str">
        <f t="shared" ca="1" si="1"/>
        <v>郑燚（注册号：2014110011）</v>
      </c>
    </row>
    <row r="12" spans="1:8" ht="24" customHeight="1">
      <c r="A12" s="1462" t="s">
        <v>2882</v>
      </c>
      <c r="B12" s="1462">
        <f ca="1">IF(C12&lt;B2,"已过期",1120040230)</f>
        <v>1120040230</v>
      </c>
      <c r="C12" s="2557">
        <v>44864</v>
      </c>
      <c r="D12" s="2553" t="str">
        <f t="shared" ca="1" si="0"/>
        <v>苏海（注册号：1120040230）</v>
      </c>
      <c r="E12" s="2554" t="s">
        <v>2882</v>
      </c>
      <c r="F12" s="1462">
        <f ca="1">IF(G12&lt;B2,"已过期",98030020)</f>
        <v>98030020</v>
      </c>
      <c r="G12" s="2555">
        <v>47118</v>
      </c>
      <c r="H12" s="2556" t="str">
        <f t="shared" ca="1" si="1"/>
        <v>苏海（注册号：98030020）</v>
      </c>
    </row>
    <row r="13" spans="1:8" ht="24" customHeight="1">
      <c r="A13" s="1462" t="s">
        <v>2883</v>
      </c>
      <c r="B13" s="1462">
        <f ca="1">IF(C13&lt;B2,"已过期",1120020033)</f>
        <v>1120020033</v>
      </c>
      <c r="C13" s="2552">
        <v>44339</v>
      </c>
      <c r="D13" s="2553" t="str">
        <f t="shared" ca="1" si="0"/>
        <v>刘敬东（注册号：1120020033）</v>
      </c>
      <c r="E13" s="2554" t="s">
        <v>2883</v>
      </c>
      <c r="F13" s="1462">
        <f ca="1">IF(G13&lt;B2,"已过期",2000110137)</f>
        <v>2000110137</v>
      </c>
      <c r="G13" s="2555">
        <v>46387</v>
      </c>
      <c r="H13" s="2556" t="str">
        <f t="shared" ca="1" si="1"/>
        <v>刘敬东（注册号：2000110137）</v>
      </c>
    </row>
    <row r="14" spans="1:8" ht="24" customHeight="1">
      <c r="A14" s="1462" t="s">
        <v>2884</v>
      </c>
      <c r="B14" s="1462">
        <f ca="1">IF(C14&lt;B2,"已过期",1119980106)</f>
        <v>1119980106</v>
      </c>
      <c r="C14" s="2557">
        <v>44969</v>
      </c>
      <c r="D14" s="2553" t="str">
        <f t="shared" ca="1" si="0"/>
        <v>刘俊财（注册号：1119980106）</v>
      </c>
      <c r="E14" s="2554" t="s">
        <v>2884</v>
      </c>
      <c r="F14" s="1462">
        <f ca="1">IF(G14&lt;B2,"已过期",96010063)</f>
        <v>96010063</v>
      </c>
      <c r="G14" s="2555">
        <v>47483</v>
      </c>
      <c r="H14" s="2556" t="str">
        <f t="shared" ca="1" si="1"/>
        <v>刘俊财（注册号：96010063）</v>
      </c>
    </row>
    <row r="15" spans="1:8" ht="24" customHeight="1">
      <c r="A15" s="1462"/>
      <c r="B15" s="1462"/>
      <c r="C15" s="2557"/>
      <c r="D15" s="2553" t="str">
        <f t="shared" si="0"/>
        <v>（注册号：）</v>
      </c>
      <c r="E15" s="2554" t="s">
        <v>2885</v>
      </c>
      <c r="F15" s="1462">
        <f ca="1">IF(G15&lt;B2,"已过期",2011110090)</f>
        <v>2011110090</v>
      </c>
      <c r="G15" s="2555">
        <v>48302</v>
      </c>
      <c r="H15" s="2556" t="str">
        <f t="shared" ca="1" si="1"/>
        <v>赵雯（注册号：2011110090）</v>
      </c>
    </row>
    <row r="16" spans="1:8" s="2559" customFormat="1" ht="24" customHeight="1">
      <c r="A16" s="1462"/>
      <c r="B16" s="1462"/>
      <c r="C16" s="1462"/>
      <c r="D16" s="2553" t="str">
        <f>A16&amp;"（注册号："&amp;B16&amp;"）"</f>
        <v>（注册号：）</v>
      </c>
      <c r="E16" s="2554"/>
      <c r="F16" s="1462"/>
      <c r="G16" s="1462"/>
      <c r="H16" s="2558" t="str">
        <f t="shared" si="1"/>
        <v>（注册号：）</v>
      </c>
    </row>
    <row r="17" spans="1:8" ht="24" customHeight="1">
      <c r="A17" s="3202" t="s">
        <v>2886</v>
      </c>
      <c r="B17" s="3202"/>
      <c r="C17" s="3202"/>
      <c r="D17" s="3202"/>
      <c r="E17" s="3202"/>
      <c r="F17" s="3202"/>
      <c r="G17" s="3202"/>
      <c r="H17" s="3202"/>
    </row>
    <row r="18" spans="1:8" ht="24" customHeight="1">
      <c r="A18" s="3203" t="s">
        <v>2887</v>
      </c>
      <c r="B18" s="3203"/>
      <c r="C18" s="3203"/>
      <c r="D18" s="2550"/>
      <c r="E18" s="3204" t="s">
        <v>2888</v>
      </c>
      <c r="F18" s="3203"/>
      <c r="G18" s="3203"/>
    </row>
    <row r="19" spans="1:8" s="2561" customFormat="1" ht="24" customHeight="1">
      <c r="A19" s="2560" t="s">
        <v>2889</v>
      </c>
      <c r="B19" s="2549" t="s">
        <v>2890</v>
      </c>
      <c r="C19" s="2549" t="s">
        <v>2869</v>
      </c>
      <c r="D19" s="2550"/>
      <c r="E19" s="2554" t="s">
        <v>2889</v>
      </c>
      <c r="F19" s="2549" t="s">
        <v>2890</v>
      </c>
      <c r="G19" s="2549" t="s">
        <v>2869</v>
      </c>
    </row>
    <row r="20" spans="1:8" s="2561" customFormat="1" ht="24" customHeight="1">
      <c r="A20" s="2562" t="s">
        <v>2891</v>
      </c>
      <c r="B20" s="2562" t="s">
        <v>2892</v>
      </c>
      <c r="C20" s="2555">
        <v>44820</v>
      </c>
      <c r="D20" s="2563"/>
      <c r="E20" s="2564" t="s">
        <v>2893</v>
      </c>
      <c r="F20" s="2562" t="s">
        <v>2894</v>
      </c>
      <c r="G20" s="2565">
        <v>44377</v>
      </c>
    </row>
    <row r="21" spans="1:8" s="2561" customFormat="1" ht="24" customHeight="1">
      <c r="A21" s="2562"/>
      <c r="B21" s="2562"/>
      <c r="C21" s="2566"/>
      <c r="D21" s="2567"/>
      <c r="E21" s="2564" t="s">
        <v>2895</v>
      </c>
      <c r="F21" s="2568" t="s">
        <v>2896</v>
      </c>
      <c r="G21" s="2569">
        <v>44012</v>
      </c>
    </row>
    <row r="22" spans="1:8" ht="24" customHeight="1">
      <c r="C22" s="2570"/>
      <c r="D22" s="2570"/>
      <c r="E22" s="2571"/>
      <c r="F22" s="2572"/>
      <c r="G22" s="2573" t="s">
        <v>2897</v>
      </c>
    </row>
  </sheetData>
  <sheetProtection password="CEE9" sheet="1" objects="1" scenarios="1"/>
  <mergeCells count="3">
    <mergeCell ref="A17:H17"/>
    <mergeCell ref="A18:C18"/>
    <mergeCell ref="E18:G18"/>
  </mergeCells>
  <phoneticPr fontId="85" type="noConversion"/>
  <conditionalFormatting sqref="D16 C4:D5 D7:D12 C13:D13 C12">
    <cfRule type="expression" dxfId="230" priority="51">
      <formula>AND($C4-TODAY()&lt;30,TODAY()&lt;$C4)</formula>
    </cfRule>
  </conditionalFormatting>
  <conditionalFormatting sqref="C20:D20">
    <cfRule type="expression" dxfId="229" priority="50">
      <formula>AND($C20-TODAY()&lt;30,TODAY()&lt;$C20)</formula>
    </cfRule>
  </conditionalFormatting>
  <conditionalFormatting sqref="C20:D20 G4 C4:D5 C13:D13">
    <cfRule type="cellIs" dxfId="228" priority="52" stopIfTrue="1" operator="lessThan">
      <formula>$B$2</formula>
    </cfRule>
  </conditionalFormatting>
  <conditionalFormatting sqref="G5 G7 G9">
    <cfRule type="cellIs" dxfId="227" priority="49" stopIfTrue="1" operator="lessThan">
      <formula>$B$2</formula>
    </cfRule>
  </conditionalFormatting>
  <conditionalFormatting sqref="C6:D6 D14 D16">
    <cfRule type="expression" dxfId="226" priority="47">
      <formula>AND($C6-TODAY()&lt;30,TODAY()&lt;$C6)</formula>
    </cfRule>
  </conditionalFormatting>
  <conditionalFormatting sqref="G6 G8 G10 C6:D6 D7:D12 D14 D16">
    <cfRule type="cellIs" dxfId="225" priority="48" stopIfTrue="1" operator="lessThan">
      <formula>$B$2</formula>
    </cfRule>
  </conditionalFormatting>
  <conditionalFormatting sqref="D12">
    <cfRule type="expression" dxfId="224" priority="45">
      <formula>AND($C12-TODAY()&lt;30,TODAY()&lt;$C12)</formula>
    </cfRule>
  </conditionalFormatting>
  <conditionalFormatting sqref="D12">
    <cfRule type="cellIs" dxfId="223" priority="46" stopIfTrue="1" operator="lessThan">
      <formula>$B$2</formula>
    </cfRule>
  </conditionalFormatting>
  <conditionalFormatting sqref="C13:D13">
    <cfRule type="expression" dxfId="222" priority="43">
      <formula>AND($C13-TODAY()&lt;30,TODAY()&lt;$C13)</formula>
    </cfRule>
  </conditionalFormatting>
  <conditionalFormatting sqref="C13:D13">
    <cfRule type="cellIs" dxfId="221" priority="44" stopIfTrue="1" operator="lessThan">
      <formula>$B$2</formula>
    </cfRule>
  </conditionalFormatting>
  <conditionalFormatting sqref="D14">
    <cfRule type="expression" dxfId="220" priority="41">
      <formula>AND($C14-TODAY()&lt;30,TODAY()&lt;$C14)</formula>
    </cfRule>
  </conditionalFormatting>
  <conditionalFormatting sqref="D14">
    <cfRule type="cellIs" dxfId="219" priority="42" stopIfTrue="1" operator="lessThan">
      <formula>$B$2</formula>
    </cfRule>
  </conditionalFormatting>
  <conditionalFormatting sqref="G13">
    <cfRule type="cellIs" dxfId="218" priority="40" stopIfTrue="1" operator="lessThan">
      <formula>$B$2</formula>
    </cfRule>
  </conditionalFormatting>
  <conditionalFormatting sqref="B4:B11 F4:F11 B13 F13:F14">
    <cfRule type="cellIs" dxfId="217" priority="39" stopIfTrue="1" operator="equal">
      <formula>"已过期"</formula>
    </cfRule>
  </conditionalFormatting>
  <conditionalFormatting sqref="G20">
    <cfRule type="expression" dxfId="216" priority="37">
      <formula>AND($E20-TODAY()&lt;30,TODAY()&lt;$E20)</formula>
    </cfRule>
  </conditionalFormatting>
  <conditionalFormatting sqref="G20">
    <cfRule type="cellIs" dxfId="215" priority="38" stopIfTrue="1" operator="lessThan">
      <formula>$B$2</formula>
    </cfRule>
  </conditionalFormatting>
  <conditionalFormatting sqref="C7">
    <cfRule type="expression" dxfId="214" priority="35">
      <formula>AND($C7-TODAY()&lt;30,TODAY()&lt;$C7)</formula>
    </cfRule>
  </conditionalFormatting>
  <conditionalFormatting sqref="C7">
    <cfRule type="cellIs" dxfId="213" priority="36" stopIfTrue="1" operator="lessThan">
      <formula>$B$2</formula>
    </cfRule>
  </conditionalFormatting>
  <conditionalFormatting sqref="C8">
    <cfRule type="expression" dxfId="212" priority="33">
      <formula>AND($C8-TODAY()&lt;30,TODAY()&lt;$C8)</formula>
    </cfRule>
  </conditionalFormatting>
  <conditionalFormatting sqref="C8">
    <cfRule type="cellIs" dxfId="211" priority="34" stopIfTrue="1" operator="lessThan">
      <formula>$B$2</formula>
    </cfRule>
  </conditionalFormatting>
  <conditionalFormatting sqref="C11">
    <cfRule type="expression" dxfId="210" priority="31">
      <formula>AND($C11-TODAY()&lt;30,TODAY()&lt;$C11)</formula>
    </cfRule>
  </conditionalFormatting>
  <conditionalFormatting sqref="C11">
    <cfRule type="cellIs" dxfId="209" priority="32" stopIfTrue="1" operator="lessThan">
      <formula>$B$2</formula>
    </cfRule>
  </conditionalFormatting>
  <conditionalFormatting sqref="A16:C16">
    <cfRule type="cellIs" dxfId="208" priority="30" stopIfTrue="1" operator="equal">
      <formula>"已过期"</formula>
    </cfRule>
  </conditionalFormatting>
  <conditionalFormatting sqref="E16:G16">
    <cfRule type="cellIs" dxfId="207" priority="29" stopIfTrue="1" operator="equal">
      <formula>"已过期"</formula>
    </cfRule>
  </conditionalFormatting>
  <conditionalFormatting sqref="G11">
    <cfRule type="cellIs" dxfId="206" priority="28" stopIfTrue="1" operator="lessThan">
      <formula>$B$2</formula>
    </cfRule>
  </conditionalFormatting>
  <conditionalFormatting sqref="F12">
    <cfRule type="cellIs" dxfId="205" priority="27" stopIfTrue="1" operator="equal">
      <formula>"已过期"</formula>
    </cfRule>
  </conditionalFormatting>
  <conditionalFormatting sqref="G12">
    <cfRule type="cellIs" dxfId="204" priority="26" stopIfTrue="1" operator="lessThan">
      <formula>$B$2</formula>
    </cfRule>
  </conditionalFormatting>
  <conditionalFormatting sqref="C12">
    <cfRule type="cellIs" dxfId="203" priority="25" stopIfTrue="1" operator="lessThan">
      <formula>$B$2</formula>
    </cfRule>
  </conditionalFormatting>
  <conditionalFormatting sqref="C12">
    <cfRule type="expression" dxfId="202" priority="23">
      <formula>AND($C12-TODAY()&lt;30,TODAY()&lt;$C12)</formula>
    </cfRule>
  </conditionalFormatting>
  <conditionalFormatting sqref="C12">
    <cfRule type="cellIs" dxfId="201" priority="24" stopIfTrue="1" operator="lessThan">
      <formula>$B$2</formula>
    </cfRule>
  </conditionalFormatting>
  <conditionalFormatting sqref="B12">
    <cfRule type="cellIs" dxfId="200" priority="22" stopIfTrue="1" operator="equal">
      <formula>"已过期"</formula>
    </cfRule>
  </conditionalFormatting>
  <conditionalFormatting sqref="C9:C10">
    <cfRule type="expression" dxfId="199" priority="20">
      <formula>AND($C9-TODAY()&lt;30,TODAY()&lt;$C9)</formula>
    </cfRule>
  </conditionalFormatting>
  <conditionalFormatting sqref="C9:C10">
    <cfRule type="cellIs" dxfId="198" priority="21" stopIfTrue="1" operator="lessThan">
      <formula>$B$2</formula>
    </cfRule>
  </conditionalFormatting>
  <conditionalFormatting sqref="G21">
    <cfRule type="expression" dxfId="197" priority="18" stopIfTrue="1">
      <formula>AND(#REF!-TODAY()&lt;30,TODAY()&lt;#REF!)</formula>
    </cfRule>
  </conditionalFormatting>
  <conditionalFormatting sqref="G21">
    <cfRule type="cellIs" dxfId="196" priority="19" stopIfTrue="1" operator="lessThan">
      <formula>$B$2</formula>
    </cfRule>
  </conditionalFormatting>
  <conditionalFormatting sqref="C14">
    <cfRule type="expression" dxfId="195" priority="16">
      <formula>AND($C14-TODAY()&lt;30,TODAY()&lt;$C14)</formula>
    </cfRule>
  </conditionalFormatting>
  <conditionalFormatting sqref="C14">
    <cfRule type="cellIs" dxfId="194" priority="17" stopIfTrue="1" operator="lessThan">
      <formula>$B$2</formula>
    </cfRule>
  </conditionalFormatting>
  <conditionalFormatting sqref="C14">
    <cfRule type="expression" dxfId="193" priority="14">
      <formula>AND($C14-TODAY()&lt;30,TODAY()&lt;$C14)</formula>
    </cfRule>
  </conditionalFormatting>
  <conditionalFormatting sqref="C14">
    <cfRule type="cellIs" dxfId="192" priority="15" stopIfTrue="1" operator="lessThan">
      <formula>$B$2</formula>
    </cfRule>
  </conditionalFormatting>
  <conditionalFormatting sqref="B14">
    <cfRule type="cellIs" dxfId="191" priority="13" stopIfTrue="1" operator="equal">
      <formula>"已过期"</formula>
    </cfRule>
  </conditionalFormatting>
  <conditionalFormatting sqref="G14">
    <cfRule type="cellIs" dxfId="190" priority="12" stopIfTrue="1" operator="lessThan">
      <formula>$B$2</formula>
    </cfRule>
  </conditionalFormatting>
  <conditionalFormatting sqref="D15">
    <cfRule type="expression" dxfId="189" priority="10">
      <formula>AND($C15-TODAY()&lt;30,TODAY()&lt;$C15)</formula>
    </cfRule>
  </conditionalFormatting>
  <conditionalFormatting sqref="D15">
    <cfRule type="cellIs" dxfId="188" priority="11" stopIfTrue="1" operator="lessThan">
      <formula>$B$2</formula>
    </cfRule>
  </conditionalFormatting>
  <conditionalFormatting sqref="D15">
    <cfRule type="expression" dxfId="187" priority="8">
      <formula>AND($C15-TODAY()&lt;30,TODAY()&lt;$C15)</formula>
    </cfRule>
  </conditionalFormatting>
  <conditionalFormatting sqref="D15">
    <cfRule type="cellIs" dxfId="186" priority="9" stopIfTrue="1" operator="lessThan">
      <formula>$B$2</formula>
    </cfRule>
  </conditionalFormatting>
  <conditionalFormatting sqref="F15">
    <cfRule type="cellIs" dxfId="185" priority="7" stopIfTrue="1" operator="equal">
      <formula>"已过期"</formula>
    </cfRule>
  </conditionalFormatting>
  <conditionalFormatting sqref="C15">
    <cfRule type="expression" dxfId="184" priority="5">
      <formula>AND($C15-TODAY()&lt;30,TODAY()&lt;$C15)</formula>
    </cfRule>
  </conditionalFormatting>
  <conditionalFormatting sqref="C15">
    <cfRule type="cellIs" dxfId="183" priority="6" stopIfTrue="1" operator="lessThan">
      <formula>$B$2</formula>
    </cfRule>
  </conditionalFormatting>
  <conditionalFormatting sqref="C15">
    <cfRule type="expression" dxfId="182" priority="3">
      <formula>AND($C15-TODAY()&lt;30,TODAY()&lt;$C15)</formula>
    </cfRule>
  </conditionalFormatting>
  <conditionalFormatting sqref="C15">
    <cfRule type="cellIs" dxfId="181" priority="4" stopIfTrue="1" operator="lessThan">
      <formula>$B$2</formula>
    </cfRule>
  </conditionalFormatting>
  <conditionalFormatting sqref="B15">
    <cfRule type="cellIs" dxfId="180" priority="2" stopIfTrue="1" operator="equal">
      <formula>"已过期"</formula>
    </cfRule>
  </conditionalFormatting>
  <conditionalFormatting sqref="G15">
    <cfRule type="cellIs" dxfId="179" priority="1" stopIfTrue="1" operator="lessThan">
      <formula>$B$2</formula>
    </cfRule>
  </conditionalFormatting>
  <pageMargins left="0.70866141732283472" right="0.70866141732283472" top="0.74803149606299213" bottom="0.74803149606299213" header="0.31496062992125984" footer="0.31496062992125984"/>
  <pageSetup paperSize="9" scale="71"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49</vt:i4>
      </vt:variant>
      <vt:variant>
        <vt:lpstr>命名范围</vt:lpstr>
      </vt:variant>
      <vt:variant>
        <vt:i4>152</vt:i4>
      </vt:variant>
    </vt:vector>
  </HeadingPairs>
  <TitlesOfParts>
    <vt:vector size="201"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项目基本情况</vt:lpstr>
      <vt:lpstr>面积指标</vt:lpstr>
      <vt:lpstr>数据-基础表</vt:lpstr>
      <vt:lpstr>抵押物清单（分楼）</vt:lpstr>
      <vt:lpstr>数据-汇总表</vt:lpstr>
      <vt:lpstr>数据-取费表</vt:lpstr>
      <vt:lpstr>估价对象房地状况</vt:lpstr>
      <vt:lpstr>系统读取表</vt:lpstr>
      <vt:lpstr>结果表</vt:lpstr>
      <vt:lpstr>土地比较法-住宅、综合</vt:lpstr>
      <vt:lpstr>基准地价修正</vt:lpstr>
      <vt:lpstr>成本法</vt:lpstr>
      <vt:lpstr>成本法 (元)</vt:lpstr>
      <vt:lpstr>假设开发法</vt:lpstr>
      <vt:lpstr>收益法</vt:lpstr>
      <vt:lpstr>收益法 (元)</vt:lpstr>
      <vt:lpstr>收益法（汇总）</vt:lpstr>
      <vt:lpstr>酒店收入计算</vt:lpstr>
      <vt:lpstr>比较法-住宅</vt:lpstr>
      <vt:lpstr>比较法-商业</vt:lpstr>
      <vt:lpstr>比较法-办公</vt:lpstr>
      <vt:lpstr>比较法-工业</vt:lpstr>
      <vt:lpstr>比较法-车位</vt:lpstr>
      <vt:lpstr>比较法-仓储</vt:lpstr>
      <vt:lpstr>土地比较法-工业</vt:lpstr>
      <vt:lpstr>修正</vt:lpstr>
      <vt:lpstr>容积率修正</vt:lpstr>
      <vt:lpstr>基准地价（汇总）</vt:lpstr>
      <vt:lpstr>地价</vt:lpstr>
      <vt:lpstr>典型户型修正</vt:lpstr>
      <vt:lpstr>成本法（废）</vt:lpstr>
      <vt:lpstr>区片价</vt:lpstr>
      <vt:lpstr>因素修正幅度</vt:lpstr>
      <vt:lpstr>存贷款利率</vt:lpstr>
      <vt:lpstr>区片价（范围）</vt:lpstr>
      <vt:lpstr>资产证券化现金流预测</vt:lpstr>
      <vt:lpstr>土地案例</vt:lpstr>
      <vt:lpstr>面积清单</vt:lpstr>
      <vt:lpstr>Sheet1</vt:lpstr>
      <vt:lpstr>'比较法-办公'!Print_Area</vt:lpstr>
      <vt:lpstr>'比较法-仓储'!Print_Area</vt:lpstr>
      <vt:lpstr>'比较法-车位'!Print_Area</vt:lpstr>
      <vt:lpstr>'比较法-工业'!Print_Area</vt:lpstr>
      <vt:lpstr>'比较法-商业'!Print_Area</vt:lpstr>
      <vt:lpstr>'比较法-住宅'!Print_Area</vt:lpstr>
      <vt:lpstr>成本法!Print_Area</vt:lpstr>
      <vt:lpstr>'成本法 (元)'!Print_Area</vt:lpstr>
      <vt:lpstr>估价对象房地状况!Print_Area</vt:lpstr>
      <vt:lpstr>估价师及机构信息!Print_Area</vt:lpstr>
      <vt:lpstr>'基准地价（汇总）'!Print_Area</vt:lpstr>
      <vt:lpstr>基准地价修正!Print_Area</vt:lpstr>
      <vt:lpstr>假设开发法!Print_Area</vt:lpstr>
      <vt:lpstr>结果表!Print_Area</vt:lpstr>
      <vt:lpstr>收益法!Print_Area</vt:lpstr>
      <vt:lpstr>'收益法 (元)'!Print_Area</vt:lpstr>
      <vt:lpstr>'收益法（汇总）'!Print_Area</vt:lpstr>
      <vt:lpstr>'数据-汇总表'!Print_Area</vt:lpstr>
      <vt:lpstr>'土地比较法-工业'!Print_Area</vt:lpstr>
      <vt:lpstr>'土地比较法-住宅、综合'!Print_Area</vt:lpstr>
      <vt:lpstr>系统读取表!Print_Area</vt:lpstr>
      <vt:lpstr>项目基本情况!Print_Area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环境</vt:lpstr>
      <vt:lpstr>基础设施水平</vt:lpstr>
      <vt:lpstr>季度</vt:lpstr>
      <vt:lpstr>价值类型2</vt:lpstr>
      <vt:lpstr>交通便捷度</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Windows User</cp:lastModifiedBy>
  <cp:lastPrinted>2017-03-01T09:15:43Z</cp:lastPrinted>
  <dcterms:created xsi:type="dcterms:W3CDTF">2015-07-13T07:17:23Z</dcterms:created>
  <dcterms:modified xsi:type="dcterms:W3CDTF">2021-03-29T09:13:29Z</dcterms:modified>
</cp:coreProperties>
</file>